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d.docs.live.net/571516a0b173bb69/Documents/Climate Activism/SafeAvon/Resources to Share/"/>
    </mc:Choice>
  </mc:AlternateContent>
  <xr:revisionPtr revIDLastSave="0" documentId="8_{7457A993-DD70-449E-B82B-4CFD7F03294B}" xr6:coauthVersionLast="47" xr6:coauthVersionMax="47" xr10:uidLastSave="{00000000-0000-0000-0000-000000000000}"/>
  <bookViews>
    <workbookView xWindow="-120" yWindow="-120" windowWidth="29040" windowHeight="15720" tabRatio="819" xr2:uid="{00000000-000D-0000-FFFF-FFFF00000000}"/>
  </bookViews>
  <sheets>
    <sheet name="All Data" sheetId="8" r:id="rId1"/>
    <sheet name="Sites" sheetId="9" state="hidden" r:id="rId2"/>
    <sheet name="Tables" sheetId="10" r:id="rId3"/>
    <sheet name="Code for MapCustomiser" sheetId="18" state="hidden" r:id="rId4"/>
    <sheet name="Charts" sheetId="13" r:id="rId5"/>
    <sheet name="Map" sheetId="19" r:id="rId6"/>
    <sheet name="Data for Excel 3D Map" sheetId="20" r:id="rId7"/>
  </sheets>
  <definedNames>
    <definedName name="_xlnm._FilterDatabase" localSheetId="1" hidden="1">Sites!$K$2:$L$52</definedName>
    <definedName name="_xlnm._FilterDatabase" localSheetId="2" hidden="1">Tables!$B$11:$AO$77</definedName>
    <definedName name="_xlcn.WorksheetConnection_AllData1" hidden="1">AllData[]</definedName>
    <definedName name="_xlcn.WorksheetConnection_AllDataMap1" hidden="1">AllDataCorrected[]</definedName>
    <definedName name="_xlcn.WorksheetConnection_CodeforMapCustomiserA1C671" hidden="1">'Code for MapCustomiser'!$A$1:$C$67</definedName>
    <definedName name="_xlcn.WorksheetConnection_Excel3DMapA1I671" hidden="1">'Data for Excel 3D Map'!$A$1:$H$67</definedName>
    <definedName name="_xlcn.WorksheetConnection_TablesB11D771" hidden="1">Tables!$B$11:$D$77</definedName>
    <definedName name="_xlcn.WorksheetConnection_TablesH11H771" hidden="1">Tables!$H$11:$H$77</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Tables!$H$11:$H$77"/>
          <x15:modelTable id="Range 1" name="Range 1" connection="WorksheetConnection_Tables!$B$11:$D$77"/>
          <x15:modelTable id="Range 3" name="Range 3" connection="WorksheetConnection_Excel 3D Map!$A$1:$I$67"/>
          <x15:modelTable id="Range" name="Range" connection="WorksheetConnection_Code for MapCustomiser!$A$1:$C$67"/>
          <x15:modelTable id="AllDataMap" name="AllDataMap" connection="WorksheetConnection_AllDataMap"/>
          <x15:modelTable id="AllData" name="AllData" connection="WorksheetConnection_All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238" i="20" l="1"/>
  <c r="R1237" i="20"/>
  <c r="R1236" i="20"/>
  <c r="R1235" i="20"/>
  <c r="R1234" i="20"/>
  <c r="R1233" i="20"/>
  <c r="R1232" i="20"/>
  <c r="R1231" i="20"/>
  <c r="R1230" i="20"/>
  <c r="R1229" i="20"/>
  <c r="R1228" i="20"/>
  <c r="R1227" i="20"/>
  <c r="R1226" i="20"/>
  <c r="R1225" i="20"/>
  <c r="R1224" i="20"/>
  <c r="R1223" i="20"/>
  <c r="R1222" i="20"/>
  <c r="R1221" i="20"/>
  <c r="R1220" i="20"/>
  <c r="R1219" i="20"/>
  <c r="R1218" i="20"/>
  <c r="R1217" i="20"/>
  <c r="R1216" i="20"/>
  <c r="R1215" i="20"/>
  <c r="R1214" i="20"/>
  <c r="R1213" i="20"/>
  <c r="R1212" i="20"/>
  <c r="R1211" i="20"/>
  <c r="R1210" i="20"/>
  <c r="R1209" i="20"/>
  <c r="R1208" i="20"/>
  <c r="R1207" i="20"/>
  <c r="R1206" i="20"/>
  <c r="R1205" i="20"/>
  <c r="R1204" i="20"/>
  <c r="R1203" i="20"/>
  <c r="R1202" i="20"/>
  <c r="R1201" i="20"/>
  <c r="R1200" i="20"/>
  <c r="R1199" i="20"/>
  <c r="R1198" i="20"/>
  <c r="R1197" i="20"/>
  <c r="R1196" i="20"/>
  <c r="R1195" i="20"/>
  <c r="R1194" i="20"/>
  <c r="R1193" i="20"/>
  <c r="R1192" i="20"/>
  <c r="R1191" i="20"/>
  <c r="R1190" i="20"/>
  <c r="R1189" i="20"/>
  <c r="R1188" i="20"/>
  <c r="R1187" i="20"/>
  <c r="R1186" i="20"/>
  <c r="R1185" i="20"/>
  <c r="R1184" i="20"/>
  <c r="R1183" i="20"/>
  <c r="R1182" i="20"/>
  <c r="R1181" i="20"/>
  <c r="R1180" i="20"/>
  <c r="R1179" i="20"/>
  <c r="R1178" i="20"/>
  <c r="R1177" i="20"/>
  <c r="R1176" i="20"/>
  <c r="R1175" i="20"/>
  <c r="R1174" i="20"/>
  <c r="R1173" i="20"/>
  <c r="R1172" i="20"/>
  <c r="R1171" i="20"/>
  <c r="R1170" i="20"/>
  <c r="R1169" i="20"/>
  <c r="R1168" i="20"/>
  <c r="R1167" i="20"/>
  <c r="R1166" i="20"/>
  <c r="R1165" i="20"/>
  <c r="R1164" i="20"/>
  <c r="R1163" i="20"/>
  <c r="R1162" i="20"/>
  <c r="R1161" i="20"/>
  <c r="R1160" i="20"/>
  <c r="R1159" i="20"/>
  <c r="R1158" i="20"/>
  <c r="R1157" i="20"/>
  <c r="R1156" i="20"/>
  <c r="R1155" i="20"/>
  <c r="R1154" i="20"/>
  <c r="R1153" i="20"/>
  <c r="R1152" i="20"/>
  <c r="R1151" i="20"/>
  <c r="R1150" i="20"/>
  <c r="R1149" i="20"/>
  <c r="R1148" i="20"/>
  <c r="R1147" i="20"/>
  <c r="R1146" i="20"/>
  <c r="R1145" i="20"/>
  <c r="R1144" i="20"/>
  <c r="R1143" i="20"/>
  <c r="R1142" i="20"/>
  <c r="R1141" i="20"/>
  <c r="R1140" i="20"/>
  <c r="R1139" i="20"/>
  <c r="R1138" i="20"/>
  <c r="R1137" i="20"/>
  <c r="R1136" i="20"/>
  <c r="R1135" i="20"/>
  <c r="R1134" i="20"/>
  <c r="R1133" i="20"/>
  <c r="R1132" i="20"/>
  <c r="R1131" i="20"/>
  <c r="R1130" i="20"/>
  <c r="R1129" i="20"/>
  <c r="R1128" i="20"/>
  <c r="R1127" i="20"/>
  <c r="R1126" i="20"/>
  <c r="R1125" i="20"/>
  <c r="R1124" i="20"/>
  <c r="R1123" i="20"/>
  <c r="R1122" i="20"/>
  <c r="R1121" i="20"/>
  <c r="R1120" i="20"/>
  <c r="R1119" i="20"/>
  <c r="R1118" i="20"/>
  <c r="R1117" i="20"/>
  <c r="R1116" i="20"/>
  <c r="R1115" i="20"/>
  <c r="R1114" i="20"/>
  <c r="R1113" i="20"/>
  <c r="R1112" i="20"/>
  <c r="R1111" i="20"/>
  <c r="R1110" i="20"/>
  <c r="R1109" i="20"/>
  <c r="R1108" i="20"/>
  <c r="R1107" i="20"/>
  <c r="R1106" i="20"/>
  <c r="R1105" i="20"/>
  <c r="R1104" i="20"/>
  <c r="R1103" i="20"/>
  <c r="R1102" i="20"/>
  <c r="R1101" i="20"/>
  <c r="R1100" i="20"/>
  <c r="R1099" i="20"/>
  <c r="R1098" i="20"/>
  <c r="R1097" i="20"/>
  <c r="R1096" i="20"/>
  <c r="R1095" i="20"/>
  <c r="R1094" i="20"/>
  <c r="R1093" i="20"/>
  <c r="R1092" i="20"/>
  <c r="R1091" i="20"/>
  <c r="R1090" i="20"/>
  <c r="R1089" i="20"/>
  <c r="R1088" i="20"/>
  <c r="R1087" i="20"/>
  <c r="R1086" i="20"/>
  <c r="R1085" i="20"/>
  <c r="R1084" i="20"/>
  <c r="R1083" i="20"/>
  <c r="R1082" i="20"/>
  <c r="R1081" i="20"/>
  <c r="R1080" i="20"/>
  <c r="R1079" i="20"/>
  <c r="R1078" i="20"/>
  <c r="R1077" i="20"/>
  <c r="R1076" i="20"/>
  <c r="R1075" i="20"/>
  <c r="R1074" i="20"/>
  <c r="R1073" i="20"/>
  <c r="R1072" i="20"/>
  <c r="R1071" i="20"/>
  <c r="R1070" i="20"/>
  <c r="R1069" i="20"/>
  <c r="R1068" i="20"/>
  <c r="R1067" i="20"/>
  <c r="R1066" i="20"/>
  <c r="R1065" i="20"/>
  <c r="R1064" i="20"/>
  <c r="R1063" i="20"/>
  <c r="R1062" i="20"/>
  <c r="R1061" i="20"/>
  <c r="R1060" i="20"/>
  <c r="R1059" i="20"/>
  <c r="R1058" i="20"/>
  <c r="R1057" i="20"/>
  <c r="R1056" i="20"/>
  <c r="R1055" i="20"/>
  <c r="R1054" i="20"/>
  <c r="R1053" i="20"/>
  <c r="R1052" i="20"/>
  <c r="R1051" i="20"/>
  <c r="R1050" i="20"/>
  <c r="R1049" i="20"/>
  <c r="R1048" i="20"/>
  <c r="R1047" i="20"/>
  <c r="R1046" i="20"/>
  <c r="R1045" i="20"/>
  <c r="R1044" i="20"/>
  <c r="R1043" i="20"/>
  <c r="R1042" i="20"/>
  <c r="R1041" i="20"/>
  <c r="R1040" i="20"/>
  <c r="R1039" i="20"/>
  <c r="R1038" i="20"/>
  <c r="R1037" i="20"/>
  <c r="R1036" i="20"/>
  <c r="R1035" i="20"/>
  <c r="R1034" i="20"/>
  <c r="R1033" i="20"/>
  <c r="R1032" i="20"/>
  <c r="R1031" i="20"/>
  <c r="R1030" i="20"/>
  <c r="R1029" i="20"/>
  <c r="R1028" i="20"/>
  <c r="R1027" i="20"/>
  <c r="R1026" i="20"/>
  <c r="R1025" i="20"/>
  <c r="R1024" i="20"/>
  <c r="R1023" i="20"/>
  <c r="R1022" i="20"/>
  <c r="R1021" i="20"/>
  <c r="R1020" i="20"/>
  <c r="R1019" i="20"/>
  <c r="R1018" i="20"/>
  <c r="R1017" i="20"/>
  <c r="R1016" i="20"/>
  <c r="R1015" i="20"/>
  <c r="R1014" i="20"/>
  <c r="R1013" i="20"/>
  <c r="R1012" i="20"/>
  <c r="R1011" i="20"/>
  <c r="R1010" i="20"/>
  <c r="R1009" i="20"/>
  <c r="R1008" i="20"/>
  <c r="R1007" i="20"/>
  <c r="R1006" i="20"/>
  <c r="R1005" i="20"/>
  <c r="R1004" i="20"/>
  <c r="R1003" i="20"/>
  <c r="R1002" i="20"/>
  <c r="R1001" i="20"/>
  <c r="R1000" i="20"/>
  <c r="R999" i="20"/>
  <c r="R998" i="20"/>
  <c r="R997" i="20"/>
  <c r="R996" i="20"/>
  <c r="R995" i="20"/>
  <c r="R994" i="20"/>
  <c r="R993" i="20"/>
  <c r="R992" i="20"/>
  <c r="R991" i="20"/>
  <c r="R990" i="20"/>
  <c r="R989" i="20"/>
  <c r="R988" i="20"/>
  <c r="R987" i="20"/>
  <c r="R986" i="20"/>
  <c r="R985" i="20"/>
  <c r="R984" i="20"/>
  <c r="R983" i="20"/>
  <c r="R982" i="20"/>
  <c r="R981" i="20"/>
  <c r="R980" i="20"/>
  <c r="R979" i="20"/>
  <c r="R978" i="20"/>
  <c r="R977" i="20"/>
  <c r="R976" i="20"/>
  <c r="R975" i="20"/>
  <c r="R974" i="20"/>
  <c r="R973" i="20"/>
  <c r="R972" i="20"/>
  <c r="R971" i="20"/>
  <c r="R970" i="20"/>
  <c r="R969" i="20"/>
  <c r="R968" i="20"/>
  <c r="R967" i="20"/>
  <c r="R966" i="20"/>
  <c r="R965" i="20"/>
  <c r="R964" i="20"/>
  <c r="R963" i="20"/>
  <c r="R962" i="20"/>
  <c r="R961" i="20"/>
  <c r="R960" i="20"/>
  <c r="R959" i="20"/>
  <c r="R958" i="20"/>
  <c r="R957" i="20"/>
  <c r="R956" i="20"/>
  <c r="R955" i="20"/>
  <c r="R954" i="20"/>
  <c r="R953" i="20"/>
  <c r="R952" i="20"/>
  <c r="R951" i="20"/>
  <c r="R950" i="20"/>
  <c r="R949" i="20"/>
  <c r="R948" i="20"/>
  <c r="R947" i="20"/>
  <c r="R946" i="20"/>
  <c r="R945" i="20"/>
  <c r="R944" i="20"/>
  <c r="R943" i="20"/>
  <c r="R942" i="20"/>
  <c r="R941" i="20"/>
  <c r="R940" i="20"/>
  <c r="R939" i="20"/>
  <c r="R938" i="20"/>
  <c r="R937" i="20"/>
  <c r="R936" i="20"/>
  <c r="R935" i="20"/>
  <c r="R934" i="20"/>
  <c r="R933" i="20"/>
  <c r="R932" i="20"/>
  <c r="R931" i="20"/>
  <c r="R930" i="20"/>
  <c r="R929" i="20"/>
  <c r="R928" i="20"/>
  <c r="R927" i="20"/>
  <c r="R926" i="20"/>
  <c r="R925" i="20"/>
  <c r="R924" i="20"/>
  <c r="R923" i="20"/>
  <c r="R922" i="20"/>
  <c r="R921" i="20"/>
  <c r="R920" i="20"/>
  <c r="R919" i="20"/>
  <c r="R918" i="20"/>
  <c r="R917" i="20"/>
  <c r="R916" i="20"/>
  <c r="R915" i="20"/>
  <c r="R914" i="20"/>
  <c r="R913" i="20"/>
  <c r="R912" i="20"/>
  <c r="R911" i="20"/>
  <c r="R910" i="20"/>
  <c r="R909" i="20"/>
  <c r="R908" i="20"/>
  <c r="R907" i="20"/>
  <c r="R906" i="20"/>
  <c r="R905" i="20"/>
  <c r="R904" i="20"/>
  <c r="R903" i="20"/>
  <c r="R902" i="20"/>
  <c r="R901" i="20"/>
  <c r="R900" i="20"/>
  <c r="R899" i="20"/>
  <c r="R898" i="20"/>
  <c r="R897" i="20"/>
  <c r="R896" i="20"/>
  <c r="R895" i="20"/>
  <c r="R894" i="20"/>
  <c r="R893" i="20"/>
  <c r="R892" i="20"/>
  <c r="R891" i="20"/>
  <c r="R890" i="20"/>
  <c r="R889" i="20"/>
  <c r="R888" i="20"/>
  <c r="R887" i="20"/>
  <c r="R886" i="20"/>
  <c r="R885" i="20"/>
  <c r="R884" i="20"/>
  <c r="R883" i="20"/>
  <c r="R882" i="20"/>
  <c r="R881" i="20"/>
  <c r="R880" i="20"/>
  <c r="R879" i="20"/>
  <c r="R878" i="20"/>
  <c r="R877" i="20"/>
  <c r="R876" i="20"/>
  <c r="R875" i="20"/>
  <c r="R874" i="20"/>
  <c r="R873" i="20"/>
  <c r="R872" i="20"/>
  <c r="R871" i="20"/>
  <c r="R870" i="20"/>
  <c r="R869" i="20"/>
  <c r="R868" i="20"/>
  <c r="R867" i="20"/>
  <c r="R866" i="20"/>
  <c r="R865" i="20"/>
  <c r="R864" i="20"/>
  <c r="R863" i="20"/>
  <c r="R862" i="20"/>
  <c r="R861" i="20"/>
  <c r="R860" i="20"/>
  <c r="R859" i="20"/>
  <c r="R858" i="20"/>
  <c r="R857" i="20"/>
  <c r="R856" i="20"/>
  <c r="R855" i="20"/>
  <c r="R854" i="20"/>
  <c r="R853" i="20"/>
  <c r="R852" i="20"/>
  <c r="R851" i="20"/>
  <c r="R850" i="20"/>
  <c r="R849" i="20"/>
  <c r="R848" i="20"/>
  <c r="R847" i="20"/>
  <c r="R846" i="20"/>
  <c r="R845" i="20"/>
  <c r="R844" i="20"/>
  <c r="R843" i="20"/>
  <c r="R842" i="20"/>
  <c r="R841" i="20"/>
  <c r="R840" i="20"/>
  <c r="R839" i="20"/>
  <c r="R838" i="20"/>
  <c r="R837" i="20"/>
  <c r="R836" i="20"/>
  <c r="R835" i="20"/>
  <c r="R834" i="20"/>
  <c r="R833" i="20"/>
  <c r="R832" i="20"/>
  <c r="R831" i="20"/>
  <c r="R830" i="20"/>
  <c r="R829" i="20"/>
  <c r="R828" i="20"/>
  <c r="R827" i="20"/>
  <c r="R826" i="20"/>
  <c r="R825" i="20"/>
  <c r="R824" i="20"/>
  <c r="R823" i="20"/>
  <c r="R822" i="20"/>
  <c r="R821" i="20"/>
  <c r="R820" i="20"/>
  <c r="R819" i="20"/>
  <c r="R818" i="20"/>
  <c r="R817" i="20"/>
  <c r="R816" i="20"/>
  <c r="R815" i="20"/>
  <c r="R814" i="20"/>
  <c r="R813" i="20"/>
  <c r="R812" i="20"/>
  <c r="R811" i="20"/>
  <c r="R810" i="20"/>
  <c r="R809" i="20"/>
  <c r="R808" i="20"/>
  <c r="R807" i="20"/>
  <c r="R806" i="20"/>
  <c r="R805" i="20"/>
  <c r="R804" i="20"/>
  <c r="R803" i="20"/>
  <c r="R802" i="20"/>
  <c r="R801" i="20"/>
  <c r="R800" i="20"/>
  <c r="R799" i="20"/>
  <c r="R798" i="20"/>
  <c r="R797" i="20"/>
  <c r="R796" i="20"/>
  <c r="R795" i="20"/>
  <c r="R794" i="20"/>
  <c r="R793" i="20"/>
  <c r="R792" i="20"/>
  <c r="R791" i="20"/>
  <c r="R790" i="20"/>
  <c r="R789" i="20"/>
  <c r="R788" i="20"/>
  <c r="R787" i="20"/>
  <c r="R786" i="20"/>
  <c r="R785" i="20"/>
  <c r="R784" i="20"/>
  <c r="R783" i="20"/>
  <c r="R782" i="20"/>
  <c r="R781" i="20"/>
  <c r="R780" i="20"/>
  <c r="R779" i="20"/>
  <c r="R778" i="20"/>
  <c r="R777" i="20"/>
  <c r="R776" i="20"/>
  <c r="R775" i="20"/>
  <c r="R774" i="20"/>
  <c r="R773" i="20"/>
  <c r="R772" i="20"/>
  <c r="R771" i="20"/>
  <c r="R770" i="20"/>
  <c r="R769" i="20"/>
  <c r="R768" i="20"/>
  <c r="R767" i="20"/>
  <c r="R766" i="20"/>
  <c r="R765" i="20"/>
  <c r="R764" i="20"/>
  <c r="R763" i="20"/>
  <c r="R762" i="20"/>
  <c r="R761" i="20"/>
  <c r="R760" i="20"/>
  <c r="R759" i="20"/>
  <c r="R758" i="20"/>
  <c r="R757" i="20"/>
  <c r="R756" i="20"/>
  <c r="R755" i="20"/>
  <c r="R754" i="20"/>
  <c r="R753" i="20"/>
  <c r="R752" i="20"/>
  <c r="R751" i="20"/>
  <c r="R750" i="20"/>
  <c r="R749" i="20"/>
  <c r="R748" i="20"/>
  <c r="R747" i="20"/>
  <c r="R746" i="20"/>
  <c r="R745" i="20"/>
  <c r="R744" i="20"/>
  <c r="R743" i="20"/>
  <c r="R742" i="20"/>
  <c r="R741" i="20"/>
  <c r="R740" i="20"/>
  <c r="R739" i="20"/>
  <c r="R738" i="20"/>
  <c r="R737" i="20"/>
  <c r="R736" i="20"/>
  <c r="R735" i="20"/>
  <c r="R734" i="20"/>
  <c r="R733" i="20"/>
  <c r="R732" i="20"/>
  <c r="R731" i="20"/>
  <c r="R730" i="20"/>
  <c r="R729" i="20"/>
  <c r="R728" i="20"/>
  <c r="R727" i="20"/>
  <c r="R726" i="20"/>
  <c r="R725" i="20"/>
  <c r="R724" i="20"/>
  <c r="R723" i="20"/>
  <c r="R722" i="20"/>
  <c r="R721" i="20"/>
  <c r="R720" i="20"/>
  <c r="R719" i="20"/>
  <c r="R718" i="20"/>
  <c r="R717" i="20"/>
  <c r="R716" i="20"/>
  <c r="R715" i="20"/>
  <c r="R714" i="20"/>
  <c r="R713" i="20"/>
  <c r="R712" i="20"/>
  <c r="R711" i="20"/>
  <c r="R710" i="20"/>
  <c r="R709" i="20"/>
  <c r="R708" i="20"/>
  <c r="R707" i="20"/>
  <c r="R706" i="20"/>
  <c r="R705" i="20"/>
  <c r="R704" i="20"/>
  <c r="R703" i="20"/>
  <c r="R702" i="20"/>
  <c r="R701" i="20"/>
  <c r="R700" i="20"/>
  <c r="R699" i="20"/>
  <c r="R698" i="20"/>
  <c r="R697" i="20"/>
  <c r="R696" i="20"/>
  <c r="R695" i="20"/>
  <c r="R694" i="20"/>
  <c r="R693" i="20"/>
  <c r="R692" i="20"/>
  <c r="R691" i="20"/>
  <c r="R690" i="20"/>
  <c r="R689" i="20"/>
  <c r="R688" i="20"/>
  <c r="R687" i="20"/>
  <c r="R686" i="20"/>
  <c r="R685" i="20"/>
  <c r="R684" i="20"/>
  <c r="R683" i="20"/>
  <c r="R682" i="20"/>
  <c r="R681" i="20"/>
  <c r="R680" i="20"/>
  <c r="R679" i="20"/>
  <c r="R678" i="20"/>
  <c r="R677" i="20"/>
  <c r="R676" i="20"/>
  <c r="R675" i="20"/>
  <c r="R674" i="20"/>
  <c r="R673" i="20"/>
  <c r="R672" i="20"/>
  <c r="R671" i="20"/>
  <c r="R670" i="20"/>
  <c r="R669" i="20"/>
  <c r="R668" i="20"/>
  <c r="R667" i="20"/>
  <c r="R666" i="20"/>
  <c r="R665" i="20"/>
  <c r="R664" i="20"/>
  <c r="R663" i="20"/>
  <c r="R662" i="20"/>
  <c r="R661" i="20"/>
  <c r="R660" i="20"/>
  <c r="R659" i="20"/>
  <c r="R658" i="20"/>
  <c r="R657" i="20"/>
  <c r="R656" i="20"/>
  <c r="R655" i="20"/>
  <c r="R654" i="20"/>
  <c r="R653" i="20"/>
  <c r="R652" i="20"/>
  <c r="R651" i="20"/>
  <c r="R650" i="20"/>
  <c r="R649" i="20"/>
  <c r="R648" i="20"/>
  <c r="R647" i="20"/>
  <c r="R646" i="20"/>
  <c r="R645" i="20"/>
  <c r="R644" i="20"/>
  <c r="R643" i="20"/>
  <c r="R642" i="20"/>
  <c r="R641" i="20"/>
  <c r="R640" i="20"/>
  <c r="R639" i="20"/>
  <c r="R638" i="20"/>
  <c r="R637" i="20"/>
  <c r="R636" i="20"/>
  <c r="R635" i="20"/>
  <c r="R634" i="20"/>
  <c r="R633" i="20"/>
  <c r="R632" i="20"/>
  <c r="R631" i="20"/>
  <c r="R630" i="20"/>
  <c r="R629" i="20"/>
  <c r="R628" i="20"/>
  <c r="R627" i="20"/>
  <c r="R626" i="20"/>
  <c r="R625" i="20"/>
  <c r="R624" i="20"/>
  <c r="R623" i="20"/>
  <c r="R622" i="20"/>
  <c r="R621" i="20"/>
  <c r="R620" i="20"/>
  <c r="R619" i="20"/>
  <c r="R618" i="20"/>
  <c r="R617" i="20"/>
  <c r="R616" i="20"/>
  <c r="R615" i="20"/>
  <c r="R614" i="20"/>
  <c r="R613" i="20"/>
  <c r="R612" i="20"/>
  <c r="R611" i="20"/>
  <c r="R610" i="20"/>
  <c r="R609" i="20"/>
  <c r="R608" i="20"/>
  <c r="R607" i="20"/>
  <c r="R606" i="20"/>
  <c r="R605" i="20"/>
  <c r="R604" i="20"/>
  <c r="R603" i="20"/>
  <c r="R602" i="20"/>
  <c r="R601" i="20"/>
  <c r="R600" i="20"/>
  <c r="R599" i="20"/>
  <c r="R598" i="20"/>
  <c r="R597" i="20"/>
  <c r="R596" i="20"/>
  <c r="R595" i="20"/>
  <c r="R594" i="20"/>
  <c r="R593" i="20"/>
  <c r="R592" i="20"/>
  <c r="R591" i="20"/>
  <c r="R590" i="20"/>
  <c r="R589" i="20"/>
  <c r="R588" i="20"/>
  <c r="R587" i="20"/>
  <c r="R586" i="20"/>
  <c r="R585" i="20"/>
  <c r="R584" i="20"/>
  <c r="R583" i="20"/>
  <c r="R582" i="20"/>
  <c r="R581" i="20"/>
  <c r="R580" i="20"/>
  <c r="R579" i="20"/>
  <c r="R578" i="20"/>
  <c r="R577" i="20"/>
  <c r="R576" i="20"/>
  <c r="R575" i="20"/>
  <c r="R574" i="20"/>
  <c r="R573" i="20"/>
  <c r="R572" i="20"/>
  <c r="R571" i="20"/>
  <c r="R570" i="20"/>
  <c r="R569" i="20"/>
  <c r="R568" i="20"/>
  <c r="R567" i="20"/>
  <c r="R566" i="20"/>
  <c r="R565" i="20"/>
  <c r="R564" i="20"/>
  <c r="R563" i="20"/>
  <c r="R562" i="20"/>
  <c r="R561" i="20"/>
  <c r="R560" i="20"/>
  <c r="R559" i="20"/>
  <c r="R558" i="20"/>
  <c r="R557" i="20"/>
  <c r="R556" i="20"/>
  <c r="R555" i="20"/>
  <c r="R554" i="20"/>
  <c r="R553" i="20"/>
  <c r="R552" i="20"/>
  <c r="R551" i="20"/>
  <c r="R550" i="20"/>
  <c r="R549" i="20"/>
  <c r="R548" i="20"/>
  <c r="R547" i="20"/>
  <c r="R546" i="20"/>
  <c r="R545" i="20"/>
  <c r="R544" i="20"/>
  <c r="R543" i="20"/>
  <c r="R542" i="20"/>
  <c r="R541" i="20"/>
  <c r="R540" i="20"/>
  <c r="R539" i="20"/>
  <c r="R538" i="20"/>
  <c r="R537" i="20"/>
  <c r="R536" i="20"/>
  <c r="R535" i="20"/>
  <c r="R534" i="20"/>
  <c r="R533" i="20"/>
  <c r="R532" i="20"/>
  <c r="R531" i="20"/>
  <c r="R530" i="20"/>
  <c r="R529" i="20"/>
  <c r="R528" i="20"/>
  <c r="R527" i="20"/>
  <c r="R526" i="20"/>
  <c r="R525" i="20"/>
  <c r="R524" i="20"/>
  <c r="R523" i="20"/>
  <c r="R522" i="20"/>
  <c r="R521" i="20"/>
  <c r="R520" i="20"/>
  <c r="R519" i="20"/>
  <c r="R518" i="20"/>
  <c r="R517" i="20"/>
  <c r="R516" i="20"/>
  <c r="R515" i="20"/>
  <c r="R514" i="20"/>
  <c r="R513" i="20"/>
  <c r="R512" i="20"/>
  <c r="R511" i="20"/>
  <c r="R510" i="20"/>
  <c r="R509" i="20"/>
  <c r="R508" i="20"/>
  <c r="R507" i="20"/>
  <c r="R506" i="20"/>
  <c r="R505" i="20"/>
  <c r="R504" i="20"/>
  <c r="R503" i="20"/>
  <c r="R502" i="20"/>
  <c r="R501" i="20"/>
  <c r="R500" i="20"/>
  <c r="R499" i="20"/>
  <c r="R498" i="20"/>
  <c r="R497" i="20"/>
  <c r="R496" i="20"/>
  <c r="R495" i="20"/>
  <c r="R494" i="20"/>
  <c r="R493" i="20"/>
  <c r="R492" i="20"/>
  <c r="R491" i="20"/>
  <c r="R490" i="20"/>
  <c r="R489" i="20"/>
  <c r="R488" i="20"/>
  <c r="R487" i="20"/>
  <c r="R486" i="20"/>
  <c r="R485" i="20"/>
  <c r="R484" i="20"/>
  <c r="R483" i="20"/>
  <c r="R482" i="20"/>
  <c r="R481" i="20"/>
  <c r="R480" i="20"/>
  <c r="R479" i="20"/>
  <c r="R478" i="20"/>
  <c r="R477" i="20"/>
  <c r="R476" i="20"/>
  <c r="R475" i="20"/>
  <c r="R474" i="20"/>
  <c r="R473" i="20"/>
  <c r="R472" i="20"/>
  <c r="R471" i="20"/>
  <c r="R470" i="20"/>
  <c r="R469" i="20"/>
  <c r="R468" i="20"/>
  <c r="R467" i="20"/>
  <c r="R466" i="20"/>
  <c r="R465" i="20"/>
  <c r="R464" i="20"/>
  <c r="R463" i="20"/>
  <c r="R462" i="20"/>
  <c r="R461" i="20"/>
  <c r="R460" i="20"/>
  <c r="R459" i="20"/>
  <c r="R458" i="20"/>
  <c r="R457" i="20"/>
  <c r="R456" i="20"/>
  <c r="R455" i="20"/>
  <c r="R453" i="20"/>
  <c r="R452" i="20"/>
  <c r="R451" i="20"/>
  <c r="R450" i="20"/>
  <c r="R449" i="20"/>
  <c r="R448" i="20"/>
  <c r="R447" i="20"/>
  <c r="R446" i="20"/>
  <c r="R445" i="20"/>
  <c r="R444" i="20"/>
  <c r="R443" i="20"/>
  <c r="R442" i="20"/>
  <c r="R441" i="20"/>
  <c r="R440" i="20"/>
  <c r="R439" i="20"/>
  <c r="R438" i="20"/>
  <c r="R437" i="20"/>
  <c r="R436" i="20"/>
  <c r="R435" i="20"/>
  <c r="R434" i="20"/>
  <c r="R433" i="20"/>
  <c r="R432" i="20"/>
  <c r="R431" i="20"/>
  <c r="R430" i="20"/>
  <c r="R429" i="20"/>
  <c r="R428" i="20"/>
  <c r="R427" i="20"/>
  <c r="R426" i="20"/>
  <c r="R425" i="20"/>
  <c r="R424" i="20"/>
  <c r="R423" i="20"/>
  <c r="R422" i="20"/>
  <c r="R421" i="20"/>
  <c r="R420" i="20"/>
  <c r="R419" i="20"/>
  <c r="R418" i="20"/>
  <c r="R417" i="20"/>
  <c r="R416" i="20"/>
  <c r="R415" i="20"/>
  <c r="R414" i="20"/>
  <c r="R413" i="20"/>
  <c r="R412" i="20"/>
  <c r="R411" i="20"/>
  <c r="R410" i="20"/>
  <c r="R409" i="20"/>
  <c r="R408" i="20"/>
  <c r="R407" i="20"/>
  <c r="R406" i="20"/>
  <c r="R405" i="20"/>
  <c r="R404" i="20"/>
  <c r="R403" i="20"/>
  <c r="R402" i="20"/>
  <c r="R401" i="20"/>
  <c r="R400" i="20"/>
  <c r="R399" i="20"/>
  <c r="R398" i="20"/>
  <c r="R397" i="20"/>
  <c r="R396" i="20"/>
  <c r="R395" i="20"/>
  <c r="R394" i="20"/>
  <c r="R393" i="20"/>
  <c r="R392" i="20"/>
  <c r="R391" i="20"/>
  <c r="R390" i="20"/>
  <c r="R389" i="20"/>
  <c r="R388" i="20"/>
  <c r="R387" i="20"/>
  <c r="R386" i="20"/>
  <c r="R385" i="20"/>
  <c r="R384" i="20"/>
  <c r="R383" i="20"/>
  <c r="R382" i="20"/>
  <c r="R381" i="20"/>
  <c r="R380" i="20"/>
  <c r="R379" i="20"/>
  <c r="R378" i="20"/>
  <c r="R377" i="20"/>
  <c r="R376" i="20"/>
  <c r="R375" i="20"/>
  <c r="R374" i="20"/>
  <c r="R373" i="20"/>
  <c r="R372" i="20"/>
  <c r="R371" i="20"/>
  <c r="R370" i="20"/>
  <c r="R369" i="20"/>
  <c r="R368" i="20"/>
  <c r="R367" i="20"/>
  <c r="R366" i="20"/>
  <c r="R365" i="20"/>
  <c r="R364" i="20"/>
  <c r="R363" i="20"/>
  <c r="R362" i="20"/>
  <c r="R361" i="20"/>
  <c r="R360" i="20"/>
  <c r="R359" i="20"/>
  <c r="R358" i="20"/>
  <c r="R357" i="20"/>
  <c r="R356" i="20"/>
  <c r="R355" i="20"/>
  <c r="R354" i="20"/>
  <c r="R353" i="20"/>
  <c r="R352" i="20"/>
  <c r="R351" i="20"/>
  <c r="R350" i="20"/>
  <c r="R349" i="20"/>
  <c r="R348" i="20"/>
  <c r="R347" i="20"/>
  <c r="R346" i="20"/>
  <c r="R345" i="20"/>
  <c r="R344" i="20"/>
  <c r="R343" i="20"/>
  <c r="R342" i="20"/>
  <c r="R341" i="20"/>
  <c r="R340" i="20"/>
  <c r="R339" i="20"/>
  <c r="R338" i="20"/>
  <c r="R337" i="20"/>
  <c r="R336" i="20"/>
  <c r="R335" i="20"/>
  <c r="R334" i="20"/>
  <c r="R333" i="20"/>
  <c r="R332" i="20"/>
  <c r="R331" i="20"/>
  <c r="R330" i="20"/>
  <c r="R329" i="20"/>
  <c r="R328" i="20"/>
  <c r="R327" i="20"/>
  <c r="R326" i="20"/>
  <c r="R325" i="20"/>
  <c r="R324" i="20"/>
  <c r="R323" i="20"/>
  <c r="R322" i="20"/>
  <c r="R321" i="20"/>
  <c r="R320" i="20"/>
  <c r="R319" i="20"/>
  <c r="R318" i="20"/>
  <c r="R317" i="20"/>
  <c r="R316" i="20"/>
  <c r="R315" i="20"/>
  <c r="R314" i="20"/>
  <c r="R313" i="20"/>
  <c r="R312" i="20"/>
  <c r="R311" i="20"/>
  <c r="R310" i="20"/>
  <c r="R309" i="20"/>
  <c r="R308" i="20"/>
  <c r="R307" i="20"/>
  <c r="R306" i="20"/>
  <c r="R305" i="20"/>
  <c r="R304" i="20"/>
  <c r="R303" i="20"/>
  <c r="R302" i="20"/>
  <c r="R301" i="20"/>
  <c r="R300" i="20"/>
  <c r="R299" i="20"/>
  <c r="R298" i="20"/>
  <c r="R297" i="20"/>
  <c r="R296" i="20"/>
  <c r="R295" i="20"/>
  <c r="R294" i="20"/>
  <c r="R293" i="20"/>
  <c r="R292" i="20"/>
  <c r="R291" i="20"/>
  <c r="R290" i="20"/>
  <c r="R289" i="20"/>
  <c r="R288" i="20"/>
  <c r="R287" i="20"/>
  <c r="R286" i="20"/>
  <c r="R285" i="20"/>
  <c r="R284" i="20"/>
  <c r="R283" i="20"/>
  <c r="R282" i="20"/>
  <c r="R281" i="20"/>
  <c r="R280" i="20"/>
  <c r="R279" i="20"/>
  <c r="R278" i="20"/>
  <c r="R277" i="20"/>
  <c r="R276" i="20"/>
  <c r="R275" i="20"/>
  <c r="R274" i="20"/>
  <c r="R273" i="20"/>
  <c r="R272" i="20"/>
  <c r="R271" i="20"/>
  <c r="R270" i="20"/>
  <c r="R269" i="20"/>
  <c r="R268" i="20"/>
  <c r="R267" i="20"/>
  <c r="R266" i="20"/>
  <c r="R265" i="20"/>
  <c r="R264" i="20"/>
  <c r="R263" i="20"/>
  <c r="R262" i="20"/>
  <c r="R261" i="20"/>
  <c r="R260" i="20"/>
  <c r="R259" i="20"/>
  <c r="R258" i="20"/>
  <c r="R257" i="20"/>
  <c r="R256" i="20"/>
  <c r="R255" i="20"/>
  <c r="R254" i="20"/>
  <c r="R253" i="20"/>
  <c r="R252" i="20"/>
  <c r="R251" i="20"/>
  <c r="R250" i="20"/>
  <c r="R249" i="20"/>
  <c r="R248" i="20"/>
  <c r="R247" i="20"/>
  <c r="R246" i="20"/>
  <c r="R245" i="20"/>
  <c r="R244" i="20"/>
  <c r="R243" i="20"/>
  <c r="R242" i="20"/>
  <c r="R241" i="20"/>
  <c r="R240" i="20"/>
  <c r="R239" i="20"/>
  <c r="R238" i="20"/>
  <c r="R237" i="20"/>
  <c r="R236" i="20"/>
  <c r="R235" i="20"/>
  <c r="R234" i="20"/>
  <c r="R233" i="20"/>
  <c r="R232" i="20"/>
  <c r="R231" i="20"/>
  <c r="R230" i="20"/>
  <c r="R229" i="20"/>
  <c r="R228" i="20"/>
  <c r="R227" i="20"/>
  <c r="R226" i="20"/>
  <c r="R225" i="20"/>
  <c r="R224" i="20"/>
  <c r="R223" i="20"/>
  <c r="R222" i="20"/>
  <c r="R221" i="20"/>
  <c r="R220" i="20"/>
  <c r="R219" i="20"/>
  <c r="R218" i="20"/>
  <c r="R217" i="20"/>
  <c r="R216" i="20"/>
  <c r="R215" i="20"/>
  <c r="R214" i="20"/>
  <c r="R213" i="20"/>
  <c r="R212" i="20"/>
  <c r="R211" i="20"/>
  <c r="R210" i="20"/>
  <c r="R209" i="20"/>
  <c r="R208" i="20"/>
  <c r="R207" i="20"/>
  <c r="R206" i="20"/>
  <c r="R205" i="20"/>
  <c r="R204" i="20"/>
  <c r="R203" i="20"/>
  <c r="R202" i="20"/>
  <c r="R201" i="20"/>
  <c r="R200" i="20"/>
  <c r="R199" i="20"/>
  <c r="R198" i="20"/>
  <c r="R197" i="20"/>
  <c r="R196" i="20"/>
  <c r="R195" i="20"/>
  <c r="R194" i="20"/>
  <c r="R193" i="20"/>
  <c r="R192" i="20"/>
  <c r="R191" i="20"/>
  <c r="R190" i="20"/>
  <c r="R189" i="20"/>
  <c r="R188" i="20"/>
  <c r="R187" i="20"/>
  <c r="R186" i="20"/>
  <c r="R185" i="20"/>
  <c r="R184"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2" i="20"/>
  <c r="R11" i="20"/>
  <c r="R10" i="20"/>
  <c r="R9" i="20"/>
  <c r="R8" i="20"/>
  <c r="R7" i="20"/>
  <c r="R6" i="20"/>
  <c r="R5" i="20"/>
  <c r="R3" i="20"/>
  <c r="R2" i="20"/>
  <c r="T1238" i="20"/>
  <c r="T1237" i="20"/>
  <c r="T1236" i="20"/>
  <c r="T1235" i="20"/>
  <c r="T1234" i="20"/>
  <c r="T1233" i="20"/>
  <c r="T1232" i="20"/>
  <c r="T1231" i="20"/>
  <c r="T1230" i="20"/>
  <c r="T1229" i="20"/>
  <c r="T1228" i="20"/>
  <c r="T1227" i="20"/>
  <c r="T1226" i="20"/>
  <c r="T1225" i="20"/>
  <c r="T1224" i="20"/>
  <c r="T1223" i="20"/>
  <c r="T1222" i="20"/>
  <c r="T1221" i="20"/>
  <c r="T1220" i="20"/>
  <c r="T1219" i="20"/>
  <c r="T1218" i="20"/>
  <c r="T1217" i="20"/>
  <c r="T1216" i="20"/>
  <c r="T1215" i="20"/>
  <c r="T1214" i="20"/>
  <c r="T1213" i="20"/>
  <c r="T1212" i="20"/>
  <c r="T1211" i="20"/>
  <c r="T1210" i="20"/>
  <c r="T1209" i="20"/>
  <c r="T1208" i="20"/>
  <c r="T1207" i="20"/>
  <c r="T1206" i="20"/>
  <c r="T1205" i="20"/>
  <c r="T1204" i="20"/>
  <c r="T1203" i="20"/>
  <c r="T1202" i="20"/>
  <c r="T1201" i="20"/>
  <c r="T1200" i="20"/>
  <c r="T1199" i="20"/>
  <c r="T1198" i="20"/>
  <c r="T1197" i="20"/>
  <c r="T1196" i="20"/>
  <c r="T1195" i="20"/>
  <c r="T1194" i="20"/>
  <c r="T1193" i="20"/>
  <c r="T1192" i="20"/>
  <c r="T1191" i="20"/>
  <c r="T1190" i="20"/>
  <c r="T1189" i="20"/>
  <c r="T1188" i="20"/>
  <c r="T1187" i="20"/>
  <c r="T1186" i="20"/>
  <c r="T1185" i="20"/>
  <c r="T1184" i="20"/>
  <c r="T1183" i="20"/>
  <c r="T1182" i="20"/>
  <c r="T1181" i="20"/>
  <c r="T1180" i="20"/>
  <c r="T1179" i="20"/>
  <c r="T1178" i="20"/>
  <c r="T1177" i="20"/>
  <c r="T1176" i="20"/>
  <c r="T1175" i="20"/>
  <c r="T1174" i="20"/>
  <c r="T1173" i="20"/>
  <c r="T1172" i="20"/>
  <c r="T1171" i="20"/>
  <c r="T1170" i="20"/>
  <c r="T1169" i="20"/>
  <c r="T1168" i="20"/>
  <c r="T1167" i="20"/>
  <c r="T1166" i="20"/>
  <c r="T1165" i="20"/>
  <c r="T1164" i="20"/>
  <c r="T1163" i="20"/>
  <c r="T1162" i="20"/>
  <c r="T1161" i="20"/>
  <c r="T1160" i="20"/>
  <c r="T1159" i="20"/>
  <c r="T1158" i="20"/>
  <c r="T1157" i="20"/>
  <c r="T1156" i="20"/>
  <c r="T1155" i="20"/>
  <c r="T1154" i="20"/>
  <c r="T1153" i="20"/>
  <c r="T1152" i="20"/>
  <c r="T1151" i="20"/>
  <c r="T1150" i="20"/>
  <c r="T1149" i="20"/>
  <c r="T1148" i="20"/>
  <c r="T1147" i="20"/>
  <c r="T1146" i="20"/>
  <c r="T1145" i="20"/>
  <c r="T1144" i="20"/>
  <c r="T1143" i="20"/>
  <c r="T1142" i="20"/>
  <c r="T1141" i="20"/>
  <c r="T1140" i="20"/>
  <c r="T1139" i="20"/>
  <c r="T1138" i="20"/>
  <c r="T1137" i="20"/>
  <c r="T1136" i="20"/>
  <c r="T1135" i="20"/>
  <c r="T1134" i="20"/>
  <c r="T1133" i="20"/>
  <c r="T1132" i="20"/>
  <c r="T1131" i="20"/>
  <c r="T1130" i="20"/>
  <c r="T1129" i="20"/>
  <c r="T1128" i="20"/>
  <c r="T1127" i="20"/>
  <c r="T1126" i="20"/>
  <c r="T1125" i="20"/>
  <c r="T1124" i="20"/>
  <c r="T1123" i="20"/>
  <c r="T1122" i="20"/>
  <c r="T1121" i="20"/>
  <c r="T1120" i="20"/>
  <c r="T1119" i="20"/>
  <c r="T1118" i="20"/>
  <c r="T1117" i="20"/>
  <c r="T1116" i="20"/>
  <c r="T1115" i="20"/>
  <c r="T1114" i="20"/>
  <c r="T1113" i="20"/>
  <c r="T1112" i="20"/>
  <c r="T1111" i="20"/>
  <c r="T1110" i="20"/>
  <c r="T1109" i="20"/>
  <c r="T1108" i="20"/>
  <c r="T1107" i="20"/>
  <c r="T1106" i="20"/>
  <c r="T1105" i="20"/>
  <c r="T1104" i="20"/>
  <c r="T1103" i="20"/>
  <c r="T1102" i="20"/>
  <c r="T1101" i="20"/>
  <c r="T1100" i="20"/>
  <c r="T1099" i="20"/>
  <c r="T1098" i="20"/>
  <c r="T1097" i="20"/>
  <c r="T1096" i="20"/>
  <c r="T1095" i="20"/>
  <c r="T1094" i="20"/>
  <c r="T1093" i="20"/>
  <c r="T1092" i="20"/>
  <c r="T1091" i="20"/>
  <c r="T1090" i="20"/>
  <c r="T1089" i="20"/>
  <c r="T1088" i="20"/>
  <c r="T1087" i="20"/>
  <c r="T1086" i="20"/>
  <c r="T1085" i="20"/>
  <c r="T1084" i="20"/>
  <c r="T1083" i="20"/>
  <c r="T1082" i="20"/>
  <c r="T1081" i="20"/>
  <c r="T1080" i="20"/>
  <c r="T1079" i="20"/>
  <c r="T1078" i="20"/>
  <c r="T1077" i="20"/>
  <c r="T1076" i="20"/>
  <c r="T1075" i="20"/>
  <c r="T1074" i="20"/>
  <c r="T1073" i="20"/>
  <c r="T1072" i="20"/>
  <c r="T1071" i="20"/>
  <c r="T1070" i="20"/>
  <c r="T1069" i="20"/>
  <c r="T1068" i="20"/>
  <c r="T1067" i="20"/>
  <c r="T1066" i="20"/>
  <c r="T1065" i="20"/>
  <c r="T1064" i="20"/>
  <c r="T1063" i="20"/>
  <c r="T1062" i="20"/>
  <c r="T1061" i="20"/>
  <c r="T1060" i="20"/>
  <c r="T1059" i="20"/>
  <c r="T1058" i="20"/>
  <c r="T1057" i="20"/>
  <c r="T1056" i="20"/>
  <c r="T1055" i="20"/>
  <c r="T1054" i="20"/>
  <c r="T1053" i="20"/>
  <c r="T1052" i="20"/>
  <c r="T1051" i="20"/>
  <c r="T1050" i="20"/>
  <c r="T1049" i="20"/>
  <c r="T1048" i="20"/>
  <c r="T1047" i="20"/>
  <c r="T1046" i="20"/>
  <c r="T1045" i="20"/>
  <c r="T1044" i="20"/>
  <c r="T1043" i="20"/>
  <c r="T1042" i="20"/>
  <c r="T1041" i="20"/>
  <c r="T1040" i="20"/>
  <c r="T1039" i="20"/>
  <c r="T1038" i="20"/>
  <c r="T1037" i="20"/>
  <c r="T1036" i="20"/>
  <c r="T1035" i="20"/>
  <c r="T1034" i="20"/>
  <c r="T1033" i="20"/>
  <c r="T1032" i="20"/>
  <c r="T1031" i="20"/>
  <c r="T1030" i="20"/>
  <c r="T1029" i="20"/>
  <c r="T1028" i="20"/>
  <c r="T1027" i="20"/>
  <c r="T1026" i="20"/>
  <c r="T1025" i="20"/>
  <c r="T1024" i="20"/>
  <c r="T1023" i="20"/>
  <c r="T1022" i="20"/>
  <c r="T1021" i="20"/>
  <c r="T1020" i="20"/>
  <c r="T1019" i="20"/>
  <c r="T1018" i="20"/>
  <c r="T1017" i="20"/>
  <c r="T1016" i="20"/>
  <c r="T1015" i="20"/>
  <c r="T1014" i="20"/>
  <c r="T1013" i="20"/>
  <c r="T1012" i="20"/>
  <c r="T1011" i="20"/>
  <c r="T1010" i="20"/>
  <c r="T1009" i="20"/>
  <c r="T1008" i="20"/>
  <c r="T1007" i="20"/>
  <c r="T1006" i="20"/>
  <c r="T1005" i="20"/>
  <c r="T1004" i="20"/>
  <c r="T1003" i="20"/>
  <c r="T1002" i="20"/>
  <c r="T1001" i="20"/>
  <c r="T1000" i="20"/>
  <c r="T999" i="20"/>
  <c r="T998" i="20"/>
  <c r="T997" i="20"/>
  <c r="T996" i="20"/>
  <c r="T995" i="20"/>
  <c r="T994" i="20"/>
  <c r="T993" i="20"/>
  <c r="T992" i="20"/>
  <c r="T991" i="20"/>
  <c r="T990" i="20"/>
  <c r="T989" i="20"/>
  <c r="T988" i="20"/>
  <c r="T987" i="20"/>
  <c r="T986" i="20"/>
  <c r="T985" i="20"/>
  <c r="T984" i="20"/>
  <c r="T983" i="20"/>
  <c r="T982" i="20"/>
  <c r="T981" i="20"/>
  <c r="T980" i="20"/>
  <c r="T979" i="20"/>
  <c r="T978" i="20"/>
  <c r="T977" i="20"/>
  <c r="T976" i="20"/>
  <c r="T975" i="20"/>
  <c r="T974" i="20"/>
  <c r="T973" i="20"/>
  <c r="T972" i="20"/>
  <c r="T971" i="20"/>
  <c r="T970" i="20"/>
  <c r="T969" i="20"/>
  <c r="T968" i="20"/>
  <c r="T967" i="20"/>
  <c r="T966" i="20"/>
  <c r="T965" i="20"/>
  <c r="T964" i="20"/>
  <c r="T963" i="20"/>
  <c r="T962" i="20"/>
  <c r="T961" i="20"/>
  <c r="T960" i="20"/>
  <c r="T959" i="20"/>
  <c r="T958" i="20"/>
  <c r="T957" i="20"/>
  <c r="T956" i="20"/>
  <c r="T955" i="20"/>
  <c r="T954" i="20"/>
  <c r="T953" i="20"/>
  <c r="T952" i="20"/>
  <c r="T951" i="20"/>
  <c r="T950" i="20"/>
  <c r="T949" i="20"/>
  <c r="T948" i="20"/>
  <c r="T947" i="20"/>
  <c r="T946" i="20"/>
  <c r="T945" i="20"/>
  <c r="T944" i="20"/>
  <c r="T943" i="20"/>
  <c r="T942" i="20"/>
  <c r="T941" i="20"/>
  <c r="T940" i="20"/>
  <c r="T939" i="20"/>
  <c r="T938" i="20"/>
  <c r="T937" i="20"/>
  <c r="T936" i="20"/>
  <c r="T935" i="20"/>
  <c r="T934" i="20"/>
  <c r="T933" i="20"/>
  <c r="T932" i="20"/>
  <c r="T931" i="20"/>
  <c r="T930" i="20"/>
  <c r="T929" i="20"/>
  <c r="T928" i="20"/>
  <c r="T927" i="20"/>
  <c r="T926" i="20"/>
  <c r="T925" i="20"/>
  <c r="T924" i="20"/>
  <c r="T923" i="20"/>
  <c r="T922" i="20"/>
  <c r="T921" i="20"/>
  <c r="T920" i="20"/>
  <c r="T919" i="20"/>
  <c r="T918" i="20"/>
  <c r="T917" i="20"/>
  <c r="T916" i="20"/>
  <c r="T915" i="20"/>
  <c r="T914" i="20"/>
  <c r="T913" i="20"/>
  <c r="T912" i="20"/>
  <c r="T911" i="20"/>
  <c r="T910" i="20"/>
  <c r="T909" i="20"/>
  <c r="T908" i="20"/>
  <c r="T907" i="20"/>
  <c r="T906" i="20"/>
  <c r="T905" i="20"/>
  <c r="T904" i="20"/>
  <c r="T903" i="20"/>
  <c r="T902" i="20"/>
  <c r="T901" i="20"/>
  <c r="T900" i="20"/>
  <c r="T899" i="20"/>
  <c r="T898" i="20"/>
  <c r="T897" i="20"/>
  <c r="T896" i="20"/>
  <c r="T895" i="20"/>
  <c r="T894" i="20"/>
  <c r="T893" i="20"/>
  <c r="T892" i="20"/>
  <c r="T891" i="20"/>
  <c r="T890" i="20"/>
  <c r="T889" i="20"/>
  <c r="T888" i="20"/>
  <c r="T887" i="20"/>
  <c r="T886" i="20"/>
  <c r="T885" i="20"/>
  <c r="T884" i="20"/>
  <c r="T883" i="20"/>
  <c r="T882" i="20"/>
  <c r="T881" i="20"/>
  <c r="T880" i="20"/>
  <c r="T879" i="20"/>
  <c r="T878" i="20"/>
  <c r="T877" i="20"/>
  <c r="T876" i="20"/>
  <c r="T875" i="20"/>
  <c r="T874" i="20"/>
  <c r="T873" i="20"/>
  <c r="T872" i="20"/>
  <c r="T871" i="20"/>
  <c r="T870" i="20"/>
  <c r="T869" i="20"/>
  <c r="T868" i="20"/>
  <c r="T867" i="20"/>
  <c r="T866" i="20"/>
  <c r="T865" i="20"/>
  <c r="T864" i="20"/>
  <c r="T863" i="20"/>
  <c r="T862" i="20"/>
  <c r="T861" i="20"/>
  <c r="T860" i="20"/>
  <c r="T859" i="20"/>
  <c r="T858" i="20"/>
  <c r="T857" i="20"/>
  <c r="T856" i="20"/>
  <c r="T855" i="20"/>
  <c r="T854" i="20"/>
  <c r="T853" i="20"/>
  <c r="T852" i="20"/>
  <c r="T851" i="20"/>
  <c r="T850" i="20"/>
  <c r="T849" i="20"/>
  <c r="T848" i="20"/>
  <c r="T847" i="20"/>
  <c r="T846" i="20"/>
  <c r="T845" i="20"/>
  <c r="T844" i="20"/>
  <c r="T843" i="20"/>
  <c r="T842" i="20"/>
  <c r="T841" i="20"/>
  <c r="T840" i="20"/>
  <c r="T839" i="20"/>
  <c r="T838" i="20"/>
  <c r="T837" i="20"/>
  <c r="T836" i="20"/>
  <c r="T835" i="20"/>
  <c r="T834" i="20"/>
  <c r="T833" i="20"/>
  <c r="T832" i="20"/>
  <c r="T831" i="20"/>
  <c r="T830" i="20"/>
  <c r="T829" i="20"/>
  <c r="T828" i="20"/>
  <c r="T827" i="20"/>
  <c r="T826" i="20"/>
  <c r="T825" i="20"/>
  <c r="T824" i="20"/>
  <c r="T823" i="20"/>
  <c r="T822" i="20"/>
  <c r="T821" i="20"/>
  <c r="T820" i="20"/>
  <c r="T819" i="20"/>
  <c r="T818" i="20"/>
  <c r="T817" i="20"/>
  <c r="T816" i="20"/>
  <c r="T815" i="20"/>
  <c r="T814" i="20"/>
  <c r="T813" i="20"/>
  <c r="T812" i="20"/>
  <c r="T811" i="20"/>
  <c r="T810" i="20"/>
  <c r="T809" i="20"/>
  <c r="T808" i="20"/>
  <c r="T807" i="20"/>
  <c r="T806" i="20"/>
  <c r="T805" i="20"/>
  <c r="T804" i="20"/>
  <c r="T803" i="20"/>
  <c r="T802" i="20"/>
  <c r="T801" i="20"/>
  <c r="T800" i="20"/>
  <c r="T799" i="20"/>
  <c r="T798" i="20"/>
  <c r="T797" i="20"/>
  <c r="T796" i="20"/>
  <c r="T795" i="20"/>
  <c r="T794" i="20"/>
  <c r="T793" i="20"/>
  <c r="T792" i="20"/>
  <c r="T791" i="20"/>
  <c r="T790" i="20"/>
  <c r="T789" i="20"/>
  <c r="T788" i="20"/>
  <c r="T787" i="20"/>
  <c r="T786" i="20"/>
  <c r="T785" i="20"/>
  <c r="T784" i="20"/>
  <c r="T783" i="20"/>
  <c r="T782" i="20"/>
  <c r="T781" i="20"/>
  <c r="T780" i="20"/>
  <c r="T779" i="20"/>
  <c r="T778" i="20"/>
  <c r="T777" i="20"/>
  <c r="T776" i="20"/>
  <c r="T775" i="20"/>
  <c r="T774" i="20"/>
  <c r="T773" i="20"/>
  <c r="T772" i="20"/>
  <c r="T771" i="20"/>
  <c r="T770" i="20"/>
  <c r="T769" i="20"/>
  <c r="T768" i="20"/>
  <c r="T767" i="20"/>
  <c r="T766" i="20"/>
  <c r="T765" i="20"/>
  <c r="T764" i="20"/>
  <c r="T763" i="20"/>
  <c r="T762" i="20"/>
  <c r="T761" i="20"/>
  <c r="T760" i="20"/>
  <c r="T759" i="20"/>
  <c r="T758" i="20"/>
  <c r="T757" i="20"/>
  <c r="T756" i="20"/>
  <c r="T755" i="20"/>
  <c r="T754" i="20"/>
  <c r="T753" i="20"/>
  <c r="T752" i="20"/>
  <c r="T751" i="20"/>
  <c r="T750" i="20"/>
  <c r="T749" i="20"/>
  <c r="T748" i="20"/>
  <c r="T747" i="20"/>
  <c r="T746" i="20"/>
  <c r="T745" i="20"/>
  <c r="T744" i="20"/>
  <c r="T743" i="20"/>
  <c r="T742" i="20"/>
  <c r="T741" i="20"/>
  <c r="T740" i="20"/>
  <c r="T739" i="20"/>
  <c r="T738" i="20"/>
  <c r="T737" i="20"/>
  <c r="T736" i="20"/>
  <c r="T735" i="20"/>
  <c r="T734" i="20"/>
  <c r="T733" i="20"/>
  <c r="T732" i="20"/>
  <c r="T731" i="20"/>
  <c r="T730" i="20"/>
  <c r="T729" i="20"/>
  <c r="T728" i="20"/>
  <c r="T727" i="20"/>
  <c r="T726" i="20"/>
  <c r="T725" i="20"/>
  <c r="T724" i="20"/>
  <c r="T723" i="20"/>
  <c r="T722" i="20"/>
  <c r="T721" i="20"/>
  <c r="T720" i="20"/>
  <c r="T719" i="20"/>
  <c r="T718" i="20"/>
  <c r="T717" i="20"/>
  <c r="T716" i="20"/>
  <c r="T715" i="20"/>
  <c r="T714" i="20"/>
  <c r="T713" i="20"/>
  <c r="T712" i="20"/>
  <c r="T711" i="20"/>
  <c r="T710" i="20"/>
  <c r="T709" i="20"/>
  <c r="T708" i="20"/>
  <c r="T707" i="20"/>
  <c r="T706" i="20"/>
  <c r="T705" i="20"/>
  <c r="T704" i="20"/>
  <c r="T703" i="20"/>
  <c r="T702" i="20"/>
  <c r="T701" i="20"/>
  <c r="T700" i="20"/>
  <c r="T699" i="20"/>
  <c r="T698" i="20"/>
  <c r="T697" i="20"/>
  <c r="T696" i="20"/>
  <c r="T695" i="20"/>
  <c r="T694" i="20"/>
  <c r="T693" i="20"/>
  <c r="T692" i="20"/>
  <c r="T691" i="20"/>
  <c r="T690" i="20"/>
  <c r="T689" i="20"/>
  <c r="T688" i="20"/>
  <c r="T687" i="20"/>
  <c r="T686" i="20"/>
  <c r="T685" i="20"/>
  <c r="T684" i="20"/>
  <c r="T683" i="20"/>
  <c r="T682" i="20"/>
  <c r="T681" i="20"/>
  <c r="T680" i="20"/>
  <c r="T679" i="20"/>
  <c r="T678" i="20"/>
  <c r="T677" i="20"/>
  <c r="T676" i="20"/>
  <c r="T675" i="20"/>
  <c r="T674" i="20"/>
  <c r="T673" i="20"/>
  <c r="T672" i="20"/>
  <c r="T671" i="20"/>
  <c r="T670" i="20"/>
  <c r="T669" i="20"/>
  <c r="T668" i="20"/>
  <c r="T667" i="20"/>
  <c r="T666" i="20"/>
  <c r="T665" i="20"/>
  <c r="T664" i="20"/>
  <c r="T663" i="20"/>
  <c r="T662" i="20"/>
  <c r="T661" i="20"/>
  <c r="T660" i="20"/>
  <c r="T659" i="20"/>
  <c r="T658" i="20"/>
  <c r="T657" i="20"/>
  <c r="T656" i="20"/>
  <c r="T655" i="20"/>
  <c r="T654" i="20"/>
  <c r="T653" i="20"/>
  <c r="T652" i="20"/>
  <c r="T651" i="20"/>
  <c r="T650" i="20"/>
  <c r="T649" i="20"/>
  <c r="T648" i="20"/>
  <c r="T647" i="20"/>
  <c r="T646" i="20"/>
  <c r="T645" i="20"/>
  <c r="T644" i="20"/>
  <c r="T643" i="20"/>
  <c r="T642" i="20"/>
  <c r="T641" i="20"/>
  <c r="T640" i="20"/>
  <c r="T639" i="20"/>
  <c r="T638" i="20"/>
  <c r="T637" i="20"/>
  <c r="T636" i="20"/>
  <c r="T635" i="20"/>
  <c r="T634" i="20"/>
  <c r="T633" i="20"/>
  <c r="T632" i="20"/>
  <c r="T631" i="20"/>
  <c r="T630" i="20"/>
  <c r="T629" i="20"/>
  <c r="T628" i="20"/>
  <c r="T627" i="20"/>
  <c r="T626" i="20"/>
  <c r="T625" i="20"/>
  <c r="T624" i="20"/>
  <c r="T623" i="20"/>
  <c r="T622" i="20"/>
  <c r="T621" i="20"/>
  <c r="T620" i="20"/>
  <c r="T619" i="20"/>
  <c r="T618" i="20"/>
  <c r="T617" i="20"/>
  <c r="T616" i="20"/>
  <c r="T615" i="20"/>
  <c r="T614" i="20"/>
  <c r="T613" i="20"/>
  <c r="T612" i="20"/>
  <c r="T611" i="20"/>
  <c r="T610" i="20"/>
  <c r="T609" i="20"/>
  <c r="T608" i="20"/>
  <c r="T607" i="20"/>
  <c r="T606" i="20"/>
  <c r="T605" i="20"/>
  <c r="T604" i="20"/>
  <c r="T603" i="20"/>
  <c r="T602" i="20"/>
  <c r="T601" i="20"/>
  <c r="T600" i="20"/>
  <c r="T599" i="20"/>
  <c r="T598" i="20"/>
  <c r="T597" i="20"/>
  <c r="T596" i="20"/>
  <c r="T595" i="20"/>
  <c r="T594" i="20"/>
  <c r="T593" i="20"/>
  <c r="T592" i="20"/>
  <c r="T591" i="20"/>
  <c r="T590" i="20"/>
  <c r="T589" i="20"/>
  <c r="T588" i="20"/>
  <c r="T587" i="20"/>
  <c r="T586" i="20"/>
  <c r="T585" i="20"/>
  <c r="T584" i="20"/>
  <c r="T583" i="20"/>
  <c r="T582" i="20"/>
  <c r="T581" i="20"/>
  <c r="T580" i="20"/>
  <c r="T579" i="20"/>
  <c r="T578" i="20"/>
  <c r="T577" i="20"/>
  <c r="T576" i="20"/>
  <c r="T575" i="20"/>
  <c r="T574" i="20"/>
  <c r="T573" i="20"/>
  <c r="T572" i="20"/>
  <c r="T571" i="20"/>
  <c r="T570" i="20"/>
  <c r="T569" i="20"/>
  <c r="T568" i="20"/>
  <c r="T567" i="20"/>
  <c r="T566" i="20"/>
  <c r="T565" i="20"/>
  <c r="T564" i="20"/>
  <c r="T563" i="20"/>
  <c r="T562" i="20"/>
  <c r="T561" i="20"/>
  <c r="T560" i="20"/>
  <c r="T559" i="20"/>
  <c r="T558" i="20"/>
  <c r="T557" i="20"/>
  <c r="T556" i="20"/>
  <c r="T555" i="20"/>
  <c r="T554" i="20"/>
  <c r="T553" i="20"/>
  <c r="T552" i="20"/>
  <c r="T551" i="20"/>
  <c r="T550" i="20"/>
  <c r="T549" i="20"/>
  <c r="T548" i="20"/>
  <c r="T547" i="20"/>
  <c r="T546" i="20"/>
  <c r="T545" i="20"/>
  <c r="T544" i="20"/>
  <c r="T543" i="20"/>
  <c r="T542" i="20"/>
  <c r="T541" i="20"/>
  <c r="T540" i="20"/>
  <c r="T539" i="20"/>
  <c r="T538" i="20"/>
  <c r="T537" i="20"/>
  <c r="T536" i="20"/>
  <c r="T535" i="20"/>
  <c r="T534" i="20"/>
  <c r="T533" i="20"/>
  <c r="T532" i="20"/>
  <c r="T531" i="20"/>
  <c r="T530" i="20"/>
  <c r="T529" i="20"/>
  <c r="T528" i="20"/>
  <c r="T527" i="20"/>
  <c r="T526" i="20"/>
  <c r="T525" i="20"/>
  <c r="T524" i="20"/>
  <c r="T523" i="20"/>
  <c r="T522" i="20"/>
  <c r="T521" i="20"/>
  <c r="T520" i="20"/>
  <c r="T519" i="20"/>
  <c r="T518" i="20"/>
  <c r="T517" i="20"/>
  <c r="T516" i="20"/>
  <c r="T515" i="20"/>
  <c r="T514" i="20"/>
  <c r="T513" i="20"/>
  <c r="T512" i="20"/>
  <c r="T511" i="20"/>
  <c r="T510" i="20"/>
  <c r="T509" i="20"/>
  <c r="T508" i="20"/>
  <c r="T507" i="20"/>
  <c r="T506" i="20"/>
  <c r="T505" i="20"/>
  <c r="T504" i="20"/>
  <c r="T503" i="20"/>
  <c r="T502" i="20"/>
  <c r="T501" i="20"/>
  <c r="T500" i="20"/>
  <c r="T499" i="20"/>
  <c r="T498" i="20"/>
  <c r="T497" i="20"/>
  <c r="T496" i="20"/>
  <c r="T495" i="20"/>
  <c r="T494" i="20"/>
  <c r="T493" i="20"/>
  <c r="T492" i="20"/>
  <c r="T491" i="20"/>
  <c r="T490" i="20"/>
  <c r="T489" i="20"/>
  <c r="T488" i="20"/>
  <c r="T487" i="20"/>
  <c r="T486" i="20"/>
  <c r="T485" i="20"/>
  <c r="T484" i="20"/>
  <c r="T483" i="20"/>
  <c r="T482" i="20"/>
  <c r="T481" i="20"/>
  <c r="T480" i="20"/>
  <c r="T479" i="20"/>
  <c r="T478" i="20"/>
  <c r="T477" i="20"/>
  <c r="T476" i="20"/>
  <c r="T475" i="20"/>
  <c r="T474" i="20"/>
  <c r="T473" i="20"/>
  <c r="T472" i="20"/>
  <c r="T471" i="20"/>
  <c r="T470" i="20"/>
  <c r="T469" i="20"/>
  <c r="T468" i="20"/>
  <c r="T467" i="20"/>
  <c r="T466" i="20"/>
  <c r="T465" i="20"/>
  <c r="T464" i="20"/>
  <c r="T463" i="20"/>
  <c r="T462" i="20"/>
  <c r="T461" i="20"/>
  <c r="T460" i="20"/>
  <c r="T459" i="20"/>
  <c r="T458" i="20"/>
  <c r="T457" i="20"/>
  <c r="T456" i="20"/>
  <c r="T455" i="20"/>
  <c r="T454" i="20"/>
  <c r="T453" i="20"/>
  <c r="T452" i="20"/>
  <c r="T451" i="20"/>
  <c r="T450" i="20"/>
  <c r="T449" i="20"/>
  <c r="T448" i="20"/>
  <c r="T447" i="20"/>
  <c r="T446" i="20"/>
  <c r="T445" i="20"/>
  <c r="T444" i="20"/>
  <c r="T443" i="20"/>
  <c r="T442" i="20"/>
  <c r="T441" i="20"/>
  <c r="T440" i="20"/>
  <c r="T439" i="20"/>
  <c r="T438" i="20"/>
  <c r="T437" i="20"/>
  <c r="T436" i="20"/>
  <c r="T435" i="20"/>
  <c r="T434" i="20"/>
  <c r="T433" i="20"/>
  <c r="T432" i="20"/>
  <c r="T431" i="20"/>
  <c r="T430" i="20"/>
  <c r="T429" i="20"/>
  <c r="T428" i="20"/>
  <c r="T427" i="20"/>
  <c r="T426" i="20"/>
  <c r="T425" i="20"/>
  <c r="T424" i="20"/>
  <c r="T423" i="20"/>
  <c r="T422" i="20"/>
  <c r="T421" i="20"/>
  <c r="T420" i="20"/>
  <c r="T419" i="20"/>
  <c r="T418" i="20"/>
  <c r="T417" i="20"/>
  <c r="T416" i="20"/>
  <c r="T415" i="20"/>
  <c r="T414" i="20"/>
  <c r="T413" i="20"/>
  <c r="T412" i="20"/>
  <c r="T411" i="20"/>
  <c r="T410" i="20"/>
  <c r="T409" i="20"/>
  <c r="T408" i="20"/>
  <c r="T407" i="20"/>
  <c r="T406" i="20"/>
  <c r="T405" i="20"/>
  <c r="T404" i="20"/>
  <c r="T403" i="20"/>
  <c r="T402" i="20"/>
  <c r="T401" i="20"/>
  <c r="T400" i="20"/>
  <c r="T399" i="20"/>
  <c r="T398" i="20"/>
  <c r="T397" i="20"/>
  <c r="T396" i="20"/>
  <c r="T395" i="20"/>
  <c r="T394" i="20"/>
  <c r="T393" i="20"/>
  <c r="T392" i="20"/>
  <c r="T391" i="20"/>
  <c r="T390" i="20"/>
  <c r="T389" i="20"/>
  <c r="T388" i="20"/>
  <c r="T387" i="20"/>
  <c r="T386" i="20"/>
  <c r="T385" i="20"/>
  <c r="T384" i="20"/>
  <c r="T383" i="20"/>
  <c r="T382" i="20"/>
  <c r="T381" i="20"/>
  <c r="T380" i="20"/>
  <c r="T379" i="20"/>
  <c r="T378" i="20"/>
  <c r="T377" i="20"/>
  <c r="T376" i="20"/>
  <c r="T375" i="20"/>
  <c r="T374" i="20"/>
  <c r="T373" i="20"/>
  <c r="T372" i="20"/>
  <c r="T371" i="20"/>
  <c r="T370" i="20"/>
  <c r="T369" i="20"/>
  <c r="T368" i="20"/>
  <c r="T367" i="20"/>
  <c r="T366" i="20"/>
  <c r="T365" i="20"/>
  <c r="T364" i="20"/>
  <c r="T363" i="20"/>
  <c r="T362" i="20"/>
  <c r="T361" i="20"/>
  <c r="T360" i="20"/>
  <c r="T359" i="20"/>
  <c r="T358" i="20"/>
  <c r="T357" i="20"/>
  <c r="T356" i="20"/>
  <c r="T355" i="20"/>
  <c r="T354" i="20"/>
  <c r="T353" i="20"/>
  <c r="T352" i="20"/>
  <c r="T351" i="20"/>
  <c r="T350" i="20"/>
  <c r="T349" i="20"/>
  <c r="T348" i="20"/>
  <c r="T347" i="20"/>
  <c r="T346" i="20"/>
  <c r="T345" i="20"/>
  <c r="T344" i="20"/>
  <c r="T343" i="20"/>
  <c r="T342" i="20"/>
  <c r="T341" i="20"/>
  <c r="T340" i="20"/>
  <c r="T339" i="20"/>
  <c r="T338" i="20"/>
  <c r="T337" i="20"/>
  <c r="T336" i="20"/>
  <c r="T335" i="20"/>
  <c r="T334" i="20"/>
  <c r="T333" i="20"/>
  <c r="T332" i="20"/>
  <c r="T331" i="20"/>
  <c r="T330" i="20"/>
  <c r="T329" i="20"/>
  <c r="T328" i="20"/>
  <c r="T327" i="20"/>
  <c r="T326" i="20"/>
  <c r="T325" i="20"/>
  <c r="T324" i="20"/>
  <c r="T323" i="20"/>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T14" i="20"/>
  <c r="T13" i="20"/>
  <c r="T12" i="20"/>
  <c r="T11" i="20"/>
  <c r="T10" i="20"/>
  <c r="T9" i="20"/>
  <c r="T8" i="20"/>
  <c r="T7" i="20"/>
  <c r="T6" i="20"/>
  <c r="T5" i="20"/>
  <c r="T4" i="20"/>
  <c r="T3" i="20"/>
  <c r="T2" i="20"/>
  <c r="G1238" i="20"/>
  <c r="F1238" i="20"/>
  <c r="D1238" i="20"/>
  <c r="C1238" i="20" a="1"/>
  <c r="C1238" i="20" s="1"/>
  <c r="G1237" i="20"/>
  <c r="F1237" i="20"/>
  <c r="D1237" i="20"/>
  <c r="C1237" i="20" a="1"/>
  <c r="C1237" i="20" s="1"/>
  <c r="G1236" i="20"/>
  <c r="F1236" i="20"/>
  <c r="D1236" i="20"/>
  <c r="C1236" i="20" a="1"/>
  <c r="C1236" i="20" s="1"/>
  <c r="G1235" i="20"/>
  <c r="F1235" i="20"/>
  <c r="D1235" i="20"/>
  <c r="C1235" i="20" a="1"/>
  <c r="C1235" i="20" s="1"/>
  <c r="G1234" i="20"/>
  <c r="F1234" i="20"/>
  <c r="D1234" i="20"/>
  <c r="C1234" i="20" a="1"/>
  <c r="C1234" i="20" s="1"/>
  <c r="I1233" i="20"/>
  <c r="G1233" i="20"/>
  <c r="F1233" i="20"/>
  <c r="D1233" i="20"/>
  <c r="C1233" i="20" a="1"/>
  <c r="C1233" i="20" s="1"/>
  <c r="G1232" i="20"/>
  <c r="F1232" i="20"/>
  <c r="D1232" i="20"/>
  <c r="C1232" i="20" a="1"/>
  <c r="C1232" i="20" s="1"/>
  <c r="G1231" i="20"/>
  <c r="I1231" i="20" s="1"/>
  <c r="F1231" i="20"/>
  <c r="D1231" i="20"/>
  <c r="C1231" i="20" a="1"/>
  <c r="C1231" i="20" s="1"/>
  <c r="G1230" i="20"/>
  <c r="F1230" i="20"/>
  <c r="D1230" i="20"/>
  <c r="C1230" i="20" a="1"/>
  <c r="C1230" i="20" s="1"/>
  <c r="G1229" i="20"/>
  <c r="F1229" i="20"/>
  <c r="D1229" i="20"/>
  <c r="C1229" i="20" a="1"/>
  <c r="C1229" i="20" s="1"/>
  <c r="G1228" i="20"/>
  <c r="M1228" i="20" s="1"/>
  <c r="F1228" i="20"/>
  <c r="D1228" i="20"/>
  <c r="C1228" i="20" a="1"/>
  <c r="C1228" i="20" s="1"/>
  <c r="G1227" i="20"/>
  <c r="F1227" i="20"/>
  <c r="D1227" i="20"/>
  <c r="C1227" i="20" a="1"/>
  <c r="C1227" i="20" s="1"/>
  <c r="G1226" i="20"/>
  <c r="F1226" i="20"/>
  <c r="D1226" i="20"/>
  <c r="C1226" i="20" a="1"/>
  <c r="C1226" i="20" s="1"/>
  <c r="G1225" i="20"/>
  <c r="F1225" i="20"/>
  <c r="D1225" i="20"/>
  <c r="C1225" i="20" a="1"/>
  <c r="C1225" i="20" s="1"/>
  <c r="G1224" i="20"/>
  <c r="F1224" i="20"/>
  <c r="D1224" i="20"/>
  <c r="C1224" i="20" a="1"/>
  <c r="C1224" i="20" s="1"/>
  <c r="G1223" i="20"/>
  <c r="F1223" i="20"/>
  <c r="D1223" i="20"/>
  <c r="C1223" i="20" a="1"/>
  <c r="C1223" i="20" s="1"/>
  <c r="G1222" i="20"/>
  <c r="F1222" i="20"/>
  <c r="D1222" i="20"/>
  <c r="C1222" i="20" a="1"/>
  <c r="C1222" i="20" s="1"/>
  <c r="G1221" i="20"/>
  <c r="J1221" i="20" s="1"/>
  <c r="F1221" i="20"/>
  <c r="D1221" i="20"/>
  <c r="C1221" i="20" a="1"/>
  <c r="C1221" i="20" s="1"/>
  <c r="G1220" i="20"/>
  <c r="F1220" i="20"/>
  <c r="D1220" i="20"/>
  <c r="C1220" i="20" a="1"/>
  <c r="C1220" i="20" s="1"/>
  <c r="G1219" i="20"/>
  <c r="F1219" i="20"/>
  <c r="D1219" i="20"/>
  <c r="C1219" i="20" a="1"/>
  <c r="C1219" i="20" s="1"/>
  <c r="G1218" i="20"/>
  <c r="F1218" i="20"/>
  <c r="D1218" i="20"/>
  <c r="C1218" i="20" a="1"/>
  <c r="C1218" i="20" s="1"/>
  <c r="G1217" i="20"/>
  <c r="I1217" i="20" s="1"/>
  <c r="F1217" i="20"/>
  <c r="D1217" i="20"/>
  <c r="C1217" i="20" a="1"/>
  <c r="C1217" i="20" s="1"/>
  <c r="G1216" i="20"/>
  <c r="F1216" i="20"/>
  <c r="D1216" i="20"/>
  <c r="C1216" i="20" a="1"/>
  <c r="C1216" i="20" s="1"/>
  <c r="G1215" i="20"/>
  <c r="F1215" i="20"/>
  <c r="D1215" i="20"/>
  <c r="C1215" i="20" a="1"/>
  <c r="C1215" i="20" s="1"/>
  <c r="G1214" i="20"/>
  <c r="F1214" i="20"/>
  <c r="D1214" i="20"/>
  <c r="C1214" i="20" a="1"/>
  <c r="C1214" i="20" s="1"/>
  <c r="G1213" i="20"/>
  <c r="J1213" i="20" s="1"/>
  <c r="F1213" i="20"/>
  <c r="D1213" i="20"/>
  <c r="C1213" i="20" a="1"/>
  <c r="C1213" i="20" s="1"/>
  <c r="G1212" i="20"/>
  <c r="F1212" i="20"/>
  <c r="D1212" i="20"/>
  <c r="C1212" i="20" a="1"/>
  <c r="C1212" i="20" s="1"/>
  <c r="G1211" i="20"/>
  <c r="I1211" i="20" s="1"/>
  <c r="F1211" i="20"/>
  <c r="D1211" i="20"/>
  <c r="C1211" i="20" a="1"/>
  <c r="C1211" i="20" s="1"/>
  <c r="G1210" i="20"/>
  <c r="F1210" i="20"/>
  <c r="D1210" i="20"/>
  <c r="C1210" i="20" a="1"/>
  <c r="C1210" i="20" s="1"/>
  <c r="G1209" i="20"/>
  <c r="F1209" i="20"/>
  <c r="D1209" i="20"/>
  <c r="C1209" i="20" a="1"/>
  <c r="C1209" i="20" s="1"/>
  <c r="G1208" i="20"/>
  <c r="F1208" i="20"/>
  <c r="D1208" i="20"/>
  <c r="C1208" i="20" a="1"/>
  <c r="C1208" i="20" s="1"/>
  <c r="G1207" i="20"/>
  <c r="J1207" i="20" s="1"/>
  <c r="F1207" i="20"/>
  <c r="D1207" i="20"/>
  <c r="C1207" i="20" a="1"/>
  <c r="C1207" i="20" s="1"/>
  <c r="G1206" i="20"/>
  <c r="F1206" i="20"/>
  <c r="D1206" i="20"/>
  <c r="C1206" i="20" a="1"/>
  <c r="C1206" i="20" s="1"/>
  <c r="G1205" i="20"/>
  <c r="F1205" i="20"/>
  <c r="D1205" i="20"/>
  <c r="C1205" i="20" a="1"/>
  <c r="C1205" i="20" s="1"/>
  <c r="G1204" i="20"/>
  <c r="F1204" i="20"/>
  <c r="D1204" i="20"/>
  <c r="C1204" i="20" a="1"/>
  <c r="C1204" i="20" s="1"/>
  <c r="G1203" i="20"/>
  <c r="F1203" i="20"/>
  <c r="D1203" i="20"/>
  <c r="C1203" i="20" a="1"/>
  <c r="C1203" i="20" s="1"/>
  <c r="G1202" i="20"/>
  <c r="F1202" i="20"/>
  <c r="D1202" i="20"/>
  <c r="C1202" i="20" a="1"/>
  <c r="C1202" i="20" s="1"/>
  <c r="G1201" i="20"/>
  <c r="F1201" i="20"/>
  <c r="D1201" i="20"/>
  <c r="C1201" i="20" a="1"/>
  <c r="C1201" i="20" s="1"/>
  <c r="G1200" i="20"/>
  <c r="F1200" i="20"/>
  <c r="D1200" i="20"/>
  <c r="C1200" i="20" a="1"/>
  <c r="C1200" i="20" s="1"/>
  <c r="G1199" i="20"/>
  <c r="F1199" i="20"/>
  <c r="D1199" i="20"/>
  <c r="C1199" i="20" a="1"/>
  <c r="C1199" i="20" s="1"/>
  <c r="G1198" i="20"/>
  <c r="F1198" i="20"/>
  <c r="D1198" i="20"/>
  <c r="C1198" i="20" a="1"/>
  <c r="C1198" i="20" s="1"/>
  <c r="G1197" i="20"/>
  <c r="J1197" i="20" s="1"/>
  <c r="F1197" i="20"/>
  <c r="D1197" i="20"/>
  <c r="C1197" i="20" a="1"/>
  <c r="C1197" i="20" s="1"/>
  <c r="G1196" i="20"/>
  <c r="F1196" i="20"/>
  <c r="D1196" i="20"/>
  <c r="C1196" i="20" a="1"/>
  <c r="C1196" i="20" s="1"/>
  <c r="G1195" i="20"/>
  <c r="F1195" i="20"/>
  <c r="D1195" i="20"/>
  <c r="C1195" i="20" a="1"/>
  <c r="C1195" i="20" s="1"/>
  <c r="G1194" i="20"/>
  <c r="F1194" i="20"/>
  <c r="D1194" i="20"/>
  <c r="C1194" i="20" a="1"/>
  <c r="C1194" i="20" s="1"/>
  <c r="G1193" i="20"/>
  <c r="F1193" i="20"/>
  <c r="D1193" i="20"/>
  <c r="C1193" i="20" a="1"/>
  <c r="C1193" i="20" s="1"/>
  <c r="G1192" i="20"/>
  <c r="F1192" i="20"/>
  <c r="D1192" i="20"/>
  <c r="C1192" i="20" a="1"/>
  <c r="C1192" i="20" s="1"/>
  <c r="G1191" i="20"/>
  <c r="M1191" i="20" s="1"/>
  <c r="F1191" i="20"/>
  <c r="D1191" i="20"/>
  <c r="C1191" i="20" a="1"/>
  <c r="C1191" i="20" s="1"/>
  <c r="G1190" i="20"/>
  <c r="F1190" i="20"/>
  <c r="D1190" i="20"/>
  <c r="C1190" i="20" a="1"/>
  <c r="C1190" i="20" s="1"/>
  <c r="G1189" i="20"/>
  <c r="F1189" i="20"/>
  <c r="D1189" i="20"/>
  <c r="C1189" i="20" a="1"/>
  <c r="C1189" i="20" s="1"/>
  <c r="G1188" i="20"/>
  <c r="F1188" i="20"/>
  <c r="D1188" i="20"/>
  <c r="C1188" i="20" a="1"/>
  <c r="C1188" i="20" s="1"/>
  <c r="G1187" i="20"/>
  <c r="F1187" i="20"/>
  <c r="D1187" i="20"/>
  <c r="C1187" i="20" a="1"/>
  <c r="C1187" i="20" s="1"/>
  <c r="G1186" i="20"/>
  <c r="F1186" i="20"/>
  <c r="D1186" i="20"/>
  <c r="C1186" i="20" a="1"/>
  <c r="C1186" i="20" s="1"/>
  <c r="G1185" i="20"/>
  <c r="F1185" i="20"/>
  <c r="D1185" i="20"/>
  <c r="C1185" i="20" a="1"/>
  <c r="C1185" i="20" s="1"/>
  <c r="G1184" i="20"/>
  <c r="F1184" i="20"/>
  <c r="D1184" i="20"/>
  <c r="C1184" i="20" a="1"/>
  <c r="C1184" i="20" s="1"/>
  <c r="G1183" i="20"/>
  <c r="F1183" i="20"/>
  <c r="D1183" i="20"/>
  <c r="C1183" i="20" a="1"/>
  <c r="C1183" i="20" s="1"/>
  <c r="G1182" i="20"/>
  <c r="F1182" i="20"/>
  <c r="D1182" i="20"/>
  <c r="C1182" i="20" a="1"/>
  <c r="C1182" i="20" s="1"/>
  <c r="G1181" i="20"/>
  <c r="F1181" i="20"/>
  <c r="D1181" i="20"/>
  <c r="C1181" i="20" a="1"/>
  <c r="C1181" i="20" s="1"/>
  <c r="G1180" i="20"/>
  <c r="F1180" i="20"/>
  <c r="D1180" i="20"/>
  <c r="C1180" i="20" a="1"/>
  <c r="C1180" i="20" s="1"/>
  <c r="G1179" i="20"/>
  <c r="F1179" i="20"/>
  <c r="D1179" i="20"/>
  <c r="C1179" i="20" a="1"/>
  <c r="C1179" i="20" s="1"/>
  <c r="G1178" i="20"/>
  <c r="F1178" i="20"/>
  <c r="D1178" i="20"/>
  <c r="C1178" i="20" a="1"/>
  <c r="C1178" i="20" s="1"/>
  <c r="G1177" i="20"/>
  <c r="F1177" i="20"/>
  <c r="D1177" i="20"/>
  <c r="C1177" i="20" a="1"/>
  <c r="C1177" i="20" s="1"/>
  <c r="G1176" i="20"/>
  <c r="F1176" i="20"/>
  <c r="D1176" i="20"/>
  <c r="C1176" i="20" a="1"/>
  <c r="C1176" i="20" s="1"/>
  <c r="G1175" i="20"/>
  <c r="F1175" i="20"/>
  <c r="D1175" i="20"/>
  <c r="C1175" i="20" a="1"/>
  <c r="C1175" i="20" s="1"/>
  <c r="G1174" i="20"/>
  <c r="F1174" i="20"/>
  <c r="D1174" i="20"/>
  <c r="C1174" i="20" a="1"/>
  <c r="C1174" i="20" s="1"/>
  <c r="G1173" i="20"/>
  <c r="F1173" i="20"/>
  <c r="D1173" i="20"/>
  <c r="C1173" i="20" a="1"/>
  <c r="C1173" i="20" s="1"/>
  <c r="G1172" i="20"/>
  <c r="F1172" i="20"/>
  <c r="D1172" i="20"/>
  <c r="C1172" i="20" a="1"/>
  <c r="C1172" i="20" s="1"/>
  <c r="G1171" i="20"/>
  <c r="F1171" i="20"/>
  <c r="D1171" i="20"/>
  <c r="C1171" i="20" a="1"/>
  <c r="C1171" i="20" s="1"/>
  <c r="G1170" i="20"/>
  <c r="F1170" i="20"/>
  <c r="D1170" i="20"/>
  <c r="C1170" i="20" a="1"/>
  <c r="C1170" i="20" s="1"/>
  <c r="G1169" i="20"/>
  <c r="F1169" i="20"/>
  <c r="D1169" i="20"/>
  <c r="C1169" i="20" a="1"/>
  <c r="C1169" i="20" s="1"/>
  <c r="G1168" i="20"/>
  <c r="F1168" i="20"/>
  <c r="D1168" i="20"/>
  <c r="C1168" i="20" a="1"/>
  <c r="C1168" i="20" s="1"/>
  <c r="G1167" i="20"/>
  <c r="F1167" i="20"/>
  <c r="D1167" i="20"/>
  <c r="C1167" i="20" a="1"/>
  <c r="C1167" i="20" s="1"/>
  <c r="G1166" i="20"/>
  <c r="F1166" i="20"/>
  <c r="D1166" i="20"/>
  <c r="C1166" i="20" a="1"/>
  <c r="C1166" i="20" s="1"/>
  <c r="G1165" i="20"/>
  <c r="J1165" i="20" s="1"/>
  <c r="F1165" i="20"/>
  <c r="D1165" i="20"/>
  <c r="C1165" i="20" a="1"/>
  <c r="C1165" i="20" s="1"/>
  <c r="G1164" i="20"/>
  <c r="F1164" i="20"/>
  <c r="D1164" i="20"/>
  <c r="C1164" i="20" a="1"/>
  <c r="C1164" i="20" s="1"/>
  <c r="G1163" i="20"/>
  <c r="F1163" i="20"/>
  <c r="D1163" i="20"/>
  <c r="C1163" i="20" a="1"/>
  <c r="C1163" i="20" s="1"/>
  <c r="G1162" i="20"/>
  <c r="I1162" i="20" s="1"/>
  <c r="F1162" i="20"/>
  <c r="D1162" i="20"/>
  <c r="C1162" i="20" a="1"/>
  <c r="C1162" i="20" s="1"/>
  <c r="G1161" i="20"/>
  <c r="F1161" i="20"/>
  <c r="D1161" i="20"/>
  <c r="C1161" i="20" a="1"/>
  <c r="C1161" i="20" s="1"/>
  <c r="G1160" i="20"/>
  <c r="F1160" i="20"/>
  <c r="D1160" i="20"/>
  <c r="C1160" i="20" a="1"/>
  <c r="C1160" i="20" s="1"/>
  <c r="G1159" i="20"/>
  <c r="F1159" i="20"/>
  <c r="D1159" i="20"/>
  <c r="C1159" i="20" a="1"/>
  <c r="C1159" i="20" s="1"/>
  <c r="G1158" i="20"/>
  <c r="F1158" i="20"/>
  <c r="D1158" i="20"/>
  <c r="C1158" i="20" a="1"/>
  <c r="C1158" i="20" s="1"/>
  <c r="G1157" i="20"/>
  <c r="F1157" i="20"/>
  <c r="D1157" i="20"/>
  <c r="C1157" i="20" a="1"/>
  <c r="C1157" i="20" s="1"/>
  <c r="G1156" i="20"/>
  <c r="F1156" i="20"/>
  <c r="D1156" i="20"/>
  <c r="C1156" i="20" a="1"/>
  <c r="C1156" i="20" s="1"/>
  <c r="G1155" i="20"/>
  <c r="F1155" i="20"/>
  <c r="D1155" i="20"/>
  <c r="C1155" i="20" a="1"/>
  <c r="C1155" i="20" s="1"/>
  <c r="G1154" i="20"/>
  <c r="F1154" i="20"/>
  <c r="D1154" i="20"/>
  <c r="C1154" i="20" a="1"/>
  <c r="C1154" i="20" s="1"/>
  <c r="G1153" i="20"/>
  <c r="F1153" i="20"/>
  <c r="D1153" i="20"/>
  <c r="C1153" i="20" a="1"/>
  <c r="C1153" i="20" s="1"/>
  <c r="G1152" i="20"/>
  <c r="F1152" i="20"/>
  <c r="D1152" i="20"/>
  <c r="C1152" i="20" a="1"/>
  <c r="C1152" i="20" s="1"/>
  <c r="G1151" i="20"/>
  <c r="F1151" i="20"/>
  <c r="D1151" i="20"/>
  <c r="C1151" i="20" a="1"/>
  <c r="C1151" i="20" s="1"/>
  <c r="G1150" i="20"/>
  <c r="F1150" i="20"/>
  <c r="D1150" i="20"/>
  <c r="C1150" i="20" a="1"/>
  <c r="C1150" i="20" s="1"/>
  <c r="G1149" i="20"/>
  <c r="F1149" i="20"/>
  <c r="D1149" i="20"/>
  <c r="C1149" i="20" a="1"/>
  <c r="C1149" i="20" s="1"/>
  <c r="G1148" i="20"/>
  <c r="F1148" i="20"/>
  <c r="D1148" i="20"/>
  <c r="C1148" i="20" a="1"/>
  <c r="C1148" i="20" s="1"/>
  <c r="G1147" i="20"/>
  <c r="F1147" i="20"/>
  <c r="D1147" i="20"/>
  <c r="C1147" i="20" a="1"/>
  <c r="C1147" i="20" s="1"/>
  <c r="G1146" i="20"/>
  <c r="F1146" i="20"/>
  <c r="D1146" i="20"/>
  <c r="C1146" i="20" a="1"/>
  <c r="C1146" i="20" s="1"/>
  <c r="G1145" i="20"/>
  <c r="F1145" i="20"/>
  <c r="D1145" i="20"/>
  <c r="C1145" i="20" a="1"/>
  <c r="C1145" i="20" s="1"/>
  <c r="G1144" i="20"/>
  <c r="F1144" i="20"/>
  <c r="D1144" i="20"/>
  <c r="C1144" i="20" a="1"/>
  <c r="C1144" i="20" s="1"/>
  <c r="G1143" i="20"/>
  <c r="F1143" i="20"/>
  <c r="D1143" i="20"/>
  <c r="C1143" i="20" a="1"/>
  <c r="C1143" i="20" s="1"/>
  <c r="G1142" i="20"/>
  <c r="F1142" i="20"/>
  <c r="D1142" i="20"/>
  <c r="C1142" i="20" a="1"/>
  <c r="C1142" i="20" s="1"/>
  <c r="G1141" i="20"/>
  <c r="F1141" i="20"/>
  <c r="D1141" i="20"/>
  <c r="C1141" i="20" a="1"/>
  <c r="C1141" i="20" s="1"/>
  <c r="G1140" i="20"/>
  <c r="F1140" i="20"/>
  <c r="D1140" i="20"/>
  <c r="C1140" i="20" a="1"/>
  <c r="C1140" i="20" s="1"/>
  <c r="G1139" i="20"/>
  <c r="F1139" i="20"/>
  <c r="D1139" i="20"/>
  <c r="C1139" i="20" a="1"/>
  <c r="C1139" i="20" s="1"/>
  <c r="G1138" i="20"/>
  <c r="F1138" i="20"/>
  <c r="D1138" i="20"/>
  <c r="C1138" i="20" a="1"/>
  <c r="C1138" i="20" s="1"/>
  <c r="G1137" i="20"/>
  <c r="F1137" i="20"/>
  <c r="D1137" i="20"/>
  <c r="C1137" i="20" a="1"/>
  <c r="C1137" i="20" s="1"/>
  <c r="G1136" i="20"/>
  <c r="F1136" i="20"/>
  <c r="D1136" i="20"/>
  <c r="C1136" i="20" a="1"/>
  <c r="C1136" i="20" s="1"/>
  <c r="G1135" i="20"/>
  <c r="F1135" i="20"/>
  <c r="D1135" i="20"/>
  <c r="C1135" i="20" a="1"/>
  <c r="C1135" i="20" s="1"/>
  <c r="G1134" i="20"/>
  <c r="I1134" i="20" s="1"/>
  <c r="F1134" i="20"/>
  <c r="D1134" i="20"/>
  <c r="C1134" i="20" a="1"/>
  <c r="C1134" i="20" s="1"/>
  <c r="G1133" i="20"/>
  <c r="F1133" i="20"/>
  <c r="D1133" i="20"/>
  <c r="C1133" i="20" a="1"/>
  <c r="C1133" i="20" s="1"/>
  <c r="G1132" i="20"/>
  <c r="F1132" i="20"/>
  <c r="D1132" i="20"/>
  <c r="C1132" i="20" a="1"/>
  <c r="C1132" i="20" s="1"/>
  <c r="G1131" i="20"/>
  <c r="F1131" i="20"/>
  <c r="D1131" i="20"/>
  <c r="C1131" i="20" a="1"/>
  <c r="C1131" i="20" s="1"/>
  <c r="G1130" i="20"/>
  <c r="F1130" i="20"/>
  <c r="D1130" i="20"/>
  <c r="C1130" i="20" a="1"/>
  <c r="C1130" i="20" s="1"/>
  <c r="G1129" i="20"/>
  <c r="J1129" i="20" s="1"/>
  <c r="F1129" i="20"/>
  <c r="D1129" i="20"/>
  <c r="C1129" i="20" a="1"/>
  <c r="C1129" i="20" s="1"/>
  <c r="G1128" i="20"/>
  <c r="F1128" i="20"/>
  <c r="D1128" i="20"/>
  <c r="C1128" i="20" a="1"/>
  <c r="C1128" i="20" s="1"/>
  <c r="G1127" i="20"/>
  <c r="F1127" i="20"/>
  <c r="D1127" i="20"/>
  <c r="C1127" i="20" a="1"/>
  <c r="C1127" i="20" s="1"/>
  <c r="G1126" i="20"/>
  <c r="F1126" i="20"/>
  <c r="D1126" i="20"/>
  <c r="C1126" i="20" a="1"/>
  <c r="C1126" i="20" s="1"/>
  <c r="G1125" i="20"/>
  <c r="F1125" i="20"/>
  <c r="D1125" i="20"/>
  <c r="C1125" i="20" a="1"/>
  <c r="C1125" i="20" s="1"/>
  <c r="G1124" i="20"/>
  <c r="F1124" i="20"/>
  <c r="D1124" i="20"/>
  <c r="C1124" i="20" a="1"/>
  <c r="C1124" i="20" s="1"/>
  <c r="G1123" i="20"/>
  <c r="F1123" i="20"/>
  <c r="D1123" i="20"/>
  <c r="C1123" i="20" a="1"/>
  <c r="C1123" i="20" s="1"/>
  <c r="G1122" i="20"/>
  <c r="F1122" i="20"/>
  <c r="D1122" i="20"/>
  <c r="C1122" i="20" a="1"/>
  <c r="C1122" i="20" s="1"/>
  <c r="G1121" i="20"/>
  <c r="F1121" i="20"/>
  <c r="D1121" i="20"/>
  <c r="C1121" i="20" a="1"/>
  <c r="C1121" i="20" s="1"/>
  <c r="G1120" i="20"/>
  <c r="F1120" i="20"/>
  <c r="D1120" i="20"/>
  <c r="C1120" i="20" a="1"/>
  <c r="C1120" i="20" s="1"/>
  <c r="G1119" i="20"/>
  <c r="I1119" i="20" s="1"/>
  <c r="F1119" i="20"/>
  <c r="D1119" i="20"/>
  <c r="C1119" i="20" a="1"/>
  <c r="C1119" i="20" s="1"/>
  <c r="G1118" i="20"/>
  <c r="F1118" i="20"/>
  <c r="D1118" i="20"/>
  <c r="C1118" i="20" a="1"/>
  <c r="C1118" i="20" s="1"/>
  <c r="G1117" i="20"/>
  <c r="F1117" i="20"/>
  <c r="D1117" i="20"/>
  <c r="C1117" i="20" a="1"/>
  <c r="C1117" i="20" s="1"/>
  <c r="G1116" i="20"/>
  <c r="F1116" i="20"/>
  <c r="D1116" i="20"/>
  <c r="C1116" i="20" a="1"/>
  <c r="C1116" i="20" s="1"/>
  <c r="G1115" i="20"/>
  <c r="F1115" i="20"/>
  <c r="D1115" i="20"/>
  <c r="C1115" i="20" a="1"/>
  <c r="C1115" i="20" s="1"/>
  <c r="G1114" i="20"/>
  <c r="M1114" i="20" s="1"/>
  <c r="F1114" i="20"/>
  <c r="D1114" i="20"/>
  <c r="C1114" i="20" a="1"/>
  <c r="C1114" i="20" s="1"/>
  <c r="G1113" i="20"/>
  <c r="F1113" i="20"/>
  <c r="D1113" i="20"/>
  <c r="C1113" i="20" a="1"/>
  <c r="C1113" i="20" s="1"/>
  <c r="G1112" i="20"/>
  <c r="F1112" i="20"/>
  <c r="D1112" i="20"/>
  <c r="C1112" i="20" a="1"/>
  <c r="C1112" i="20" s="1"/>
  <c r="G1111" i="20"/>
  <c r="H1111" i="20" s="1"/>
  <c r="F1111" i="20"/>
  <c r="D1111" i="20"/>
  <c r="C1111" i="20" a="1"/>
  <c r="C1111" i="20" s="1"/>
  <c r="G1110" i="20"/>
  <c r="F1110" i="20"/>
  <c r="D1110" i="20"/>
  <c r="C1110" i="20" a="1"/>
  <c r="C1110" i="20" s="1"/>
  <c r="G1109" i="20"/>
  <c r="F1109" i="20"/>
  <c r="D1109" i="20"/>
  <c r="C1109" i="20" a="1"/>
  <c r="C1109" i="20" s="1"/>
  <c r="G1108" i="20"/>
  <c r="F1108" i="20"/>
  <c r="D1108" i="20"/>
  <c r="C1108" i="20" a="1"/>
  <c r="C1108" i="20" s="1"/>
  <c r="G1107" i="20"/>
  <c r="J1107" i="20" s="1"/>
  <c r="F1107" i="20"/>
  <c r="D1107" i="20"/>
  <c r="C1107" i="20" a="1"/>
  <c r="C1107" i="20" s="1"/>
  <c r="G1106" i="20"/>
  <c r="F1106" i="20"/>
  <c r="D1106" i="20"/>
  <c r="C1106" i="20" a="1"/>
  <c r="C1106" i="20" s="1"/>
  <c r="G1105" i="20"/>
  <c r="F1105" i="20"/>
  <c r="D1105" i="20"/>
  <c r="C1105" i="20" a="1"/>
  <c r="C1105" i="20" s="1"/>
  <c r="G1104" i="20"/>
  <c r="F1104" i="20"/>
  <c r="D1104" i="20"/>
  <c r="C1104" i="20" a="1"/>
  <c r="C1104" i="20" s="1"/>
  <c r="G1103" i="20"/>
  <c r="I1103" i="20" s="1"/>
  <c r="F1103" i="20"/>
  <c r="D1103" i="20"/>
  <c r="C1103" i="20" a="1"/>
  <c r="C1103" i="20" s="1"/>
  <c r="G1102" i="20"/>
  <c r="F1102" i="20"/>
  <c r="D1102" i="20"/>
  <c r="C1102" i="20" a="1"/>
  <c r="C1102" i="20" s="1"/>
  <c r="G1101" i="20"/>
  <c r="F1101" i="20"/>
  <c r="D1101" i="20"/>
  <c r="C1101" i="20" a="1"/>
  <c r="C1101" i="20" s="1"/>
  <c r="G1100" i="20"/>
  <c r="F1100" i="20"/>
  <c r="D1100" i="20"/>
  <c r="C1100" i="20" a="1"/>
  <c r="C1100" i="20" s="1"/>
  <c r="G1099" i="20"/>
  <c r="F1099" i="20"/>
  <c r="D1099" i="20"/>
  <c r="C1099" i="20" a="1"/>
  <c r="C1099" i="20" s="1"/>
  <c r="G1098" i="20"/>
  <c r="F1098" i="20"/>
  <c r="D1098" i="20"/>
  <c r="C1098" i="20" a="1"/>
  <c r="C1098" i="20" s="1"/>
  <c r="G1097" i="20"/>
  <c r="F1097" i="20"/>
  <c r="D1097" i="20"/>
  <c r="C1097" i="20" a="1"/>
  <c r="C1097" i="20" s="1"/>
  <c r="G1096" i="20"/>
  <c r="F1096" i="20"/>
  <c r="D1096" i="20"/>
  <c r="C1096" i="20" a="1"/>
  <c r="C1096" i="20" s="1"/>
  <c r="G1095" i="20"/>
  <c r="F1095" i="20"/>
  <c r="D1095" i="20"/>
  <c r="C1095" i="20" a="1"/>
  <c r="C1095" i="20" s="1"/>
  <c r="G1094" i="20"/>
  <c r="F1094" i="20"/>
  <c r="D1094" i="20"/>
  <c r="C1094" i="20" a="1"/>
  <c r="C1094" i="20" s="1"/>
  <c r="G1093" i="20"/>
  <c r="F1093" i="20"/>
  <c r="D1093" i="20"/>
  <c r="C1093" i="20" a="1"/>
  <c r="C1093" i="20" s="1"/>
  <c r="G1092" i="20"/>
  <c r="I1092" i="20" s="1"/>
  <c r="F1092" i="20"/>
  <c r="D1092" i="20"/>
  <c r="C1092" i="20" a="1"/>
  <c r="C1092" i="20" s="1"/>
  <c r="G1091" i="20"/>
  <c r="F1091" i="20"/>
  <c r="D1091" i="20"/>
  <c r="C1091" i="20" a="1"/>
  <c r="C1091" i="20" s="1"/>
  <c r="G1090" i="20"/>
  <c r="F1090" i="20"/>
  <c r="D1090" i="20"/>
  <c r="C1090" i="20" a="1"/>
  <c r="C1090" i="20" s="1"/>
  <c r="G1089" i="20"/>
  <c r="F1089" i="20"/>
  <c r="D1089" i="20"/>
  <c r="C1089" i="20" a="1"/>
  <c r="C1089" i="20" s="1"/>
  <c r="G1088" i="20"/>
  <c r="M1088" i="20" s="1"/>
  <c r="F1088" i="20"/>
  <c r="D1088" i="20"/>
  <c r="C1088" i="20" a="1"/>
  <c r="C1088" i="20" s="1"/>
  <c r="G1087" i="20"/>
  <c r="F1087" i="20"/>
  <c r="D1087" i="20"/>
  <c r="C1087" i="20" a="1"/>
  <c r="C1087" i="20" s="1"/>
  <c r="G1086" i="20"/>
  <c r="F1086" i="20"/>
  <c r="D1086" i="20"/>
  <c r="C1086" i="20" a="1"/>
  <c r="C1086" i="20" s="1"/>
  <c r="G1085" i="20"/>
  <c r="H1085" i="20" s="1"/>
  <c r="F1085" i="20"/>
  <c r="D1085" i="20"/>
  <c r="C1085" i="20" a="1"/>
  <c r="C1085" i="20" s="1"/>
  <c r="G1084" i="20"/>
  <c r="I1084" i="20" s="1"/>
  <c r="F1084" i="20"/>
  <c r="D1084" i="20"/>
  <c r="C1084" i="20" a="1"/>
  <c r="C1084" i="20" s="1"/>
  <c r="G1083" i="20"/>
  <c r="F1083" i="20"/>
  <c r="D1083" i="20"/>
  <c r="C1083" i="20" a="1"/>
  <c r="C1083" i="20" s="1"/>
  <c r="G1082" i="20"/>
  <c r="F1082" i="20"/>
  <c r="D1082" i="20"/>
  <c r="C1082" i="20" a="1"/>
  <c r="C1082" i="20" s="1"/>
  <c r="G1081" i="20"/>
  <c r="F1081" i="20"/>
  <c r="D1081" i="20"/>
  <c r="C1081" i="20" a="1"/>
  <c r="C1081" i="20" s="1"/>
  <c r="G1080" i="20"/>
  <c r="F1080" i="20"/>
  <c r="D1080" i="20"/>
  <c r="C1080" i="20" a="1"/>
  <c r="C1080" i="20" s="1"/>
  <c r="G1079" i="20"/>
  <c r="F1079" i="20"/>
  <c r="D1079" i="20"/>
  <c r="C1079" i="20" a="1"/>
  <c r="C1079" i="20" s="1"/>
  <c r="G1078" i="20"/>
  <c r="F1078" i="20"/>
  <c r="D1078" i="20"/>
  <c r="C1078" i="20" a="1"/>
  <c r="C1078" i="20" s="1"/>
  <c r="G1077" i="20"/>
  <c r="F1077" i="20"/>
  <c r="D1077" i="20"/>
  <c r="C1077" i="20" a="1"/>
  <c r="C1077" i="20" s="1"/>
  <c r="G1076" i="20"/>
  <c r="F1076" i="20"/>
  <c r="D1076" i="20"/>
  <c r="C1076" i="20" a="1"/>
  <c r="C1076" i="20" s="1"/>
  <c r="G1075" i="20"/>
  <c r="F1075" i="20"/>
  <c r="D1075" i="20"/>
  <c r="C1075" i="20" a="1"/>
  <c r="C1075" i="20" s="1"/>
  <c r="G1074" i="20"/>
  <c r="F1074" i="20"/>
  <c r="D1074" i="20"/>
  <c r="C1074" i="20" a="1"/>
  <c r="C1074" i="20" s="1"/>
  <c r="G1073" i="20"/>
  <c r="F1073" i="20"/>
  <c r="D1073" i="20"/>
  <c r="C1073" i="20" a="1"/>
  <c r="C1073" i="20" s="1"/>
  <c r="G1072" i="20"/>
  <c r="F1072" i="20"/>
  <c r="D1072" i="20"/>
  <c r="C1072" i="20" a="1"/>
  <c r="C1072" i="20" s="1"/>
  <c r="G1071" i="20"/>
  <c r="F1071" i="20"/>
  <c r="D1071" i="20"/>
  <c r="C1071" i="20" a="1"/>
  <c r="C1071" i="20" s="1"/>
  <c r="G1070" i="20"/>
  <c r="F1070" i="20"/>
  <c r="D1070" i="20"/>
  <c r="C1070" i="20" a="1"/>
  <c r="C1070" i="20" s="1"/>
  <c r="G1069" i="20"/>
  <c r="I1069" i="20" s="1"/>
  <c r="F1069" i="20"/>
  <c r="D1069" i="20"/>
  <c r="C1069" i="20" a="1"/>
  <c r="C1069" i="20" s="1"/>
  <c r="G1068" i="20"/>
  <c r="J1068" i="20" s="1"/>
  <c r="F1068" i="20"/>
  <c r="D1068" i="20"/>
  <c r="C1068" i="20" a="1"/>
  <c r="C1068" i="20" s="1"/>
  <c r="G1067" i="20"/>
  <c r="F1067" i="20"/>
  <c r="D1067" i="20"/>
  <c r="C1067" i="20" a="1"/>
  <c r="C1067" i="20" s="1"/>
  <c r="G1066" i="20"/>
  <c r="F1066" i="20"/>
  <c r="D1066" i="20"/>
  <c r="C1066" i="20" a="1"/>
  <c r="C1066" i="20" s="1"/>
  <c r="G1065" i="20"/>
  <c r="F1065" i="20"/>
  <c r="D1065" i="20"/>
  <c r="C1065" i="20" a="1"/>
  <c r="C1065" i="20" s="1"/>
  <c r="G1064" i="20"/>
  <c r="F1064" i="20"/>
  <c r="D1064" i="20"/>
  <c r="C1064" i="20" a="1"/>
  <c r="C1064" i="20" s="1"/>
  <c r="G1063" i="20"/>
  <c r="F1063" i="20"/>
  <c r="D1063" i="20"/>
  <c r="C1063" i="20" a="1"/>
  <c r="C1063" i="20" s="1"/>
  <c r="G1062" i="20"/>
  <c r="F1062" i="20"/>
  <c r="D1062" i="20"/>
  <c r="C1062" i="20" a="1"/>
  <c r="C1062" i="20" s="1"/>
  <c r="G1061" i="20"/>
  <c r="F1061" i="20"/>
  <c r="D1061" i="20"/>
  <c r="C1061" i="20" a="1"/>
  <c r="C1061" i="20" s="1"/>
  <c r="G1060" i="20"/>
  <c r="F1060" i="20"/>
  <c r="D1060" i="20"/>
  <c r="C1060" i="20" a="1"/>
  <c r="C1060" i="20" s="1"/>
  <c r="G1059" i="20"/>
  <c r="I1059" i="20" s="1"/>
  <c r="F1059" i="20"/>
  <c r="D1059" i="20"/>
  <c r="C1059" i="20" a="1"/>
  <c r="C1059" i="20" s="1"/>
  <c r="G1058" i="20"/>
  <c r="F1058" i="20"/>
  <c r="D1058" i="20"/>
  <c r="C1058" i="20" a="1"/>
  <c r="C1058" i="20" s="1"/>
  <c r="G1057" i="20"/>
  <c r="F1057" i="20"/>
  <c r="D1057" i="20"/>
  <c r="C1057" i="20" a="1"/>
  <c r="C1057" i="20" s="1"/>
  <c r="G1056" i="20"/>
  <c r="F1056" i="20"/>
  <c r="D1056" i="20"/>
  <c r="C1056" i="20" a="1"/>
  <c r="C1056" i="20" s="1"/>
  <c r="G1055" i="20"/>
  <c r="F1055" i="20"/>
  <c r="D1055" i="20"/>
  <c r="C1055" i="20" a="1"/>
  <c r="C1055" i="20" s="1"/>
  <c r="G1054" i="20"/>
  <c r="I1054" i="20" s="1"/>
  <c r="F1054" i="20"/>
  <c r="D1054" i="20"/>
  <c r="C1054" i="20" a="1"/>
  <c r="C1054" i="20" s="1"/>
  <c r="G1053" i="20"/>
  <c r="M1053" i="20" s="1"/>
  <c r="F1053" i="20"/>
  <c r="D1053" i="20"/>
  <c r="C1053" i="20" a="1"/>
  <c r="C1053" i="20" s="1"/>
  <c r="G1052" i="20"/>
  <c r="F1052" i="20"/>
  <c r="D1052" i="20"/>
  <c r="C1052" i="20" a="1"/>
  <c r="C1052" i="20" s="1"/>
  <c r="G1051" i="20"/>
  <c r="F1051" i="20"/>
  <c r="D1051" i="20"/>
  <c r="C1051" i="20" a="1"/>
  <c r="C1051" i="20" s="1"/>
  <c r="G1050" i="20"/>
  <c r="F1050" i="20"/>
  <c r="D1050" i="20"/>
  <c r="C1050" i="20" a="1"/>
  <c r="C1050" i="20" s="1"/>
  <c r="G1049" i="20"/>
  <c r="F1049" i="20"/>
  <c r="D1049" i="20"/>
  <c r="C1049" i="20" a="1"/>
  <c r="C1049" i="20" s="1"/>
  <c r="G1048" i="20"/>
  <c r="F1048" i="20"/>
  <c r="D1048" i="20"/>
  <c r="C1048" i="20" a="1"/>
  <c r="C1048" i="20" s="1"/>
  <c r="G1047" i="20"/>
  <c r="F1047" i="20"/>
  <c r="D1047" i="20"/>
  <c r="C1047" i="20" a="1"/>
  <c r="C1047" i="20" s="1"/>
  <c r="G1046" i="20"/>
  <c r="F1046" i="20"/>
  <c r="D1046" i="20"/>
  <c r="C1046" i="20" a="1"/>
  <c r="C1046" i="20" s="1"/>
  <c r="G1045" i="20"/>
  <c r="F1045" i="20"/>
  <c r="D1045" i="20"/>
  <c r="C1045" i="20" a="1"/>
  <c r="C1045" i="20" s="1"/>
  <c r="G1044" i="20"/>
  <c r="J1044" i="20" s="1"/>
  <c r="F1044" i="20"/>
  <c r="D1044" i="20"/>
  <c r="C1044" i="20" a="1"/>
  <c r="C1044" i="20" s="1"/>
  <c r="G1043" i="20"/>
  <c r="F1043" i="20"/>
  <c r="D1043" i="20"/>
  <c r="C1043" i="20" a="1"/>
  <c r="C1043" i="20" s="1"/>
  <c r="G1042" i="20"/>
  <c r="F1042" i="20"/>
  <c r="D1042" i="20"/>
  <c r="C1042" i="20" a="1"/>
  <c r="C1042" i="20" s="1"/>
  <c r="G1041" i="20"/>
  <c r="F1041" i="20"/>
  <c r="D1041" i="20"/>
  <c r="C1041" i="20" a="1"/>
  <c r="C1041" i="20" s="1"/>
  <c r="G1040" i="20"/>
  <c r="J1040" i="20" s="1"/>
  <c r="F1040" i="20"/>
  <c r="D1040" i="20"/>
  <c r="C1040" i="20" a="1"/>
  <c r="C1040" i="20" s="1"/>
  <c r="G1039" i="20"/>
  <c r="F1039" i="20"/>
  <c r="D1039" i="20"/>
  <c r="C1039" i="20" a="1"/>
  <c r="C1039" i="20" s="1"/>
  <c r="G1038" i="20"/>
  <c r="F1038" i="20"/>
  <c r="D1038" i="20"/>
  <c r="C1038" i="20" a="1"/>
  <c r="C1038" i="20" s="1"/>
  <c r="G1037" i="20"/>
  <c r="F1037" i="20"/>
  <c r="D1037" i="20"/>
  <c r="C1037" i="20" a="1"/>
  <c r="C1037" i="20" s="1"/>
  <c r="G1036" i="20"/>
  <c r="F1036" i="20"/>
  <c r="D1036" i="20"/>
  <c r="C1036" i="20" a="1"/>
  <c r="C1036" i="20" s="1"/>
  <c r="G1035" i="20"/>
  <c r="L1035" i="20" s="1"/>
  <c r="F1035" i="20"/>
  <c r="D1035" i="20"/>
  <c r="C1035" i="20" a="1"/>
  <c r="C1035" i="20" s="1"/>
  <c r="G1034" i="20"/>
  <c r="F1034" i="20"/>
  <c r="D1034" i="20"/>
  <c r="C1034" i="20" a="1"/>
  <c r="C1034" i="20" s="1"/>
  <c r="G1033" i="20"/>
  <c r="F1033" i="20"/>
  <c r="D1033" i="20"/>
  <c r="C1033" i="20" a="1"/>
  <c r="C1033" i="20" s="1"/>
  <c r="G1032" i="20"/>
  <c r="M1032" i="20" s="1"/>
  <c r="F1032" i="20"/>
  <c r="D1032" i="20"/>
  <c r="C1032" i="20" a="1"/>
  <c r="C1032" i="20" s="1"/>
  <c r="G1031" i="20"/>
  <c r="F1031" i="20"/>
  <c r="D1031" i="20"/>
  <c r="C1031" i="20" a="1"/>
  <c r="C1031" i="20" s="1"/>
  <c r="G1030" i="20"/>
  <c r="F1030" i="20"/>
  <c r="D1030" i="20"/>
  <c r="C1030" i="20" a="1"/>
  <c r="C1030" i="20" s="1"/>
  <c r="G1029" i="20"/>
  <c r="F1029" i="20"/>
  <c r="D1029" i="20"/>
  <c r="C1029" i="20" a="1"/>
  <c r="C1029" i="20" s="1"/>
  <c r="G1028" i="20"/>
  <c r="F1028" i="20"/>
  <c r="D1028" i="20"/>
  <c r="C1028" i="20" a="1"/>
  <c r="C1028" i="20" s="1"/>
  <c r="G1027" i="20"/>
  <c r="F1027" i="20"/>
  <c r="D1027" i="20"/>
  <c r="C1027" i="20" a="1"/>
  <c r="C1027" i="20" s="1"/>
  <c r="G1026" i="20"/>
  <c r="F1026" i="20"/>
  <c r="D1026" i="20"/>
  <c r="C1026" i="20" a="1"/>
  <c r="C1026" i="20" s="1"/>
  <c r="G1025" i="20"/>
  <c r="F1025" i="20"/>
  <c r="D1025" i="20"/>
  <c r="C1025" i="20" a="1"/>
  <c r="C1025" i="20" s="1"/>
  <c r="G1024" i="20"/>
  <c r="I1024" i="20" s="1"/>
  <c r="F1024" i="20"/>
  <c r="D1024" i="20"/>
  <c r="C1024" i="20" a="1"/>
  <c r="C1024" i="20" s="1"/>
  <c r="G1023" i="20"/>
  <c r="F1023" i="20"/>
  <c r="D1023" i="20"/>
  <c r="C1023" i="20" a="1"/>
  <c r="C1023" i="20" s="1"/>
  <c r="G1022" i="20"/>
  <c r="F1022" i="20"/>
  <c r="D1022" i="20"/>
  <c r="C1022" i="20" a="1"/>
  <c r="C1022" i="20" s="1"/>
  <c r="G1021" i="20"/>
  <c r="J1021" i="20" s="1"/>
  <c r="F1021" i="20"/>
  <c r="D1021" i="20"/>
  <c r="C1021" i="20" a="1"/>
  <c r="C1021" i="20" s="1"/>
  <c r="G1020" i="20"/>
  <c r="F1020" i="20"/>
  <c r="D1020" i="20"/>
  <c r="C1020" i="20" a="1"/>
  <c r="C1020" i="20" s="1"/>
  <c r="G1019" i="20"/>
  <c r="F1019" i="20"/>
  <c r="D1019" i="20"/>
  <c r="C1019" i="20" a="1"/>
  <c r="C1019" i="20" s="1"/>
  <c r="G1018" i="20"/>
  <c r="F1018" i="20"/>
  <c r="D1018" i="20"/>
  <c r="C1018" i="20" a="1"/>
  <c r="C1018" i="20" s="1"/>
  <c r="G1017" i="20"/>
  <c r="F1017" i="20"/>
  <c r="D1017" i="20"/>
  <c r="C1017" i="20" a="1"/>
  <c r="C1017" i="20" s="1"/>
  <c r="G1016" i="20"/>
  <c r="I1016" i="20" s="1"/>
  <c r="F1016" i="20"/>
  <c r="D1016" i="20"/>
  <c r="C1016" i="20" a="1"/>
  <c r="C1016" i="20" s="1"/>
  <c r="G1015" i="20"/>
  <c r="F1015" i="20"/>
  <c r="D1015" i="20"/>
  <c r="C1015" i="20" a="1"/>
  <c r="C1015" i="20" s="1"/>
  <c r="G1014" i="20"/>
  <c r="F1014" i="20"/>
  <c r="D1014" i="20"/>
  <c r="C1014" i="20" a="1"/>
  <c r="C1014" i="20" s="1"/>
  <c r="G1013" i="20"/>
  <c r="F1013" i="20"/>
  <c r="D1013" i="20"/>
  <c r="C1013" i="20" a="1"/>
  <c r="C1013" i="20" s="1"/>
  <c r="G1012" i="20"/>
  <c r="J1012" i="20" s="1"/>
  <c r="F1012" i="20"/>
  <c r="D1012" i="20"/>
  <c r="C1012" i="20" a="1"/>
  <c r="C1012" i="20" s="1"/>
  <c r="G1011" i="20"/>
  <c r="I1011" i="20" s="1"/>
  <c r="F1011" i="20"/>
  <c r="D1011" i="20"/>
  <c r="C1011" i="20" a="1"/>
  <c r="C1011" i="20" s="1"/>
  <c r="G1010" i="20"/>
  <c r="H1010" i="20" s="1"/>
  <c r="F1010" i="20"/>
  <c r="D1010" i="20"/>
  <c r="C1010" i="20" a="1"/>
  <c r="C1010" i="20" s="1"/>
  <c r="G1009" i="20"/>
  <c r="F1009" i="20"/>
  <c r="D1009" i="20"/>
  <c r="C1009" i="20" a="1"/>
  <c r="C1009" i="20" s="1"/>
  <c r="G1008" i="20"/>
  <c r="F1008" i="20"/>
  <c r="D1008" i="20"/>
  <c r="C1008" i="20" a="1"/>
  <c r="C1008" i="20" s="1"/>
  <c r="G1007" i="20"/>
  <c r="F1007" i="20"/>
  <c r="D1007" i="20"/>
  <c r="C1007" i="20" a="1"/>
  <c r="C1007" i="20" s="1"/>
  <c r="G1006" i="20"/>
  <c r="H1006" i="20" s="1"/>
  <c r="F1006" i="20"/>
  <c r="D1006" i="20"/>
  <c r="C1006" i="20" a="1"/>
  <c r="C1006" i="20" s="1"/>
  <c r="G1005" i="20"/>
  <c r="F1005" i="20"/>
  <c r="D1005" i="20"/>
  <c r="C1005" i="20" a="1"/>
  <c r="C1005" i="20" s="1"/>
  <c r="G1004" i="20"/>
  <c r="F1004" i="20"/>
  <c r="D1004" i="20"/>
  <c r="C1004" i="20" a="1"/>
  <c r="C1004" i="20" s="1"/>
  <c r="G1003" i="20"/>
  <c r="L1003" i="20" s="1"/>
  <c r="F1003" i="20"/>
  <c r="D1003" i="20"/>
  <c r="C1003" i="20" a="1"/>
  <c r="C1003" i="20" s="1"/>
  <c r="G1002" i="20"/>
  <c r="F1002" i="20"/>
  <c r="D1002" i="20"/>
  <c r="C1002" i="20" a="1"/>
  <c r="C1002" i="20" s="1"/>
  <c r="G1001" i="20"/>
  <c r="I1001" i="20" s="1"/>
  <c r="F1001" i="20"/>
  <c r="D1001" i="20"/>
  <c r="C1001" i="20" a="1"/>
  <c r="C1001" i="20" s="1"/>
  <c r="G1000" i="20"/>
  <c r="F1000" i="20"/>
  <c r="D1000" i="20"/>
  <c r="C1000" i="20" a="1"/>
  <c r="C1000" i="20" s="1"/>
  <c r="G999" i="20"/>
  <c r="H999" i="20" s="1"/>
  <c r="F999" i="20"/>
  <c r="D999" i="20"/>
  <c r="C999" i="20" a="1"/>
  <c r="C999" i="20" s="1"/>
  <c r="G998" i="20"/>
  <c r="I998" i="20" s="1"/>
  <c r="F998" i="20"/>
  <c r="D998" i="20"/>
  <c r="C998" i="20" a="1"/>
  <c r="C998" i="20" s="1"/>
  <c r="G997" i="20"/>
  <c r="F997" i="20"/>
  <c r="D997" i="20"/>
  <c r="C997" i="20" a="1"/>
  <c r="C997" i="20" s="1"/>
  <c r="G996" i="20"/>
  <c r="F996" i="20"/>
  <c r="D996" i="20"/>
  <c r="C996" i="20" a="1"/>
  <c r="C996" i="20" s="1"/>
  <c r="G995" i="20"/>
  <c r="F995" i="20"/>
  <c r="D995" i="20"/>
  <c r="C995" i="20" a="1"/>
  <c r="C995" i="20" s="1"/>
  <c r="G994" i="20"/>
  <c r="F994" i="20"/>
  <c r="D994" i="20"/>
  <c r="C994" i="20" a="1"/>
  <c r="C994" i="20" s="1"/>
  <c r="G993" i="20"/>
  <c r="F993" i="20"/>
  <c r="D993" i="20"/>
  <c r="C993" i="20" a="1"/>
  <c r="C993" i="20" s="1"/>
  <c r="G992" i="20"/>
  <c r="I992" i="20" s="1"/>
  <c r="F992" i="20"/>
  <c r="D992" i="20"/>
  <c r="C992" i="20" a="1"/>
  <c r="C992" i="20" s="1"/>
  <c r="G991" i="20"/>
  <c r="F991" i="20"/>
  <c r="D991" i="20"/>
  <c r="C991" i="20" a="1"/>
  <c r="C991" i="20" s="1"/>
  <c r="G990" i="20"/>
  <c r="F990" i="20"/>
  <c r="D990" i="20"/>
  <c r="C990" i="20" a="1"/>
  <c r="C990" i="20" s="1"/>
  <c r="G989" i="20"/>
  <c r="J989" i="20" s="1"/>
  <c r="F989" i="20"/>
  <c r="D989" i="20"/>
  <c r="C989" i="20" a="1"/>
  <c r="C989" i="20" s="1"/>
  <c r="G988" i="20"/>
  <c r="F988" i="20"/>
  <c r="D988" i="20"/>
  <c r="C988" i="20" a="1"/>
  <c r="C988" i="20" s="1"/>
  <c r="G987" i="20"/>
  <c r="F987" i="20"/>
  <c r="D987" i="20"/>
  <c r="C987" i="20" a="1"/>
  <c r="C987" i="20" s="1"/>
  <c r="G986" i="20"/>
  <c r="F986" i="20"/>
  <c r="D986" i="20"/>
  <c r="C986" i="20" a="1"/>
  <c r="C986" i="20" s="1"/>
  <c r="G985" i="20"/>
  <c r="F985" i="20"/>
  <c r="D985" i="20"/>
  <c r="C985" i="20" a="1"/>
  <c r="C985" i="20" s="1"/>
  <c r="G984" i="20"/>
  <c r="F984" i="20"/>
  <c r="D984" i="20"/>
  <c r="C984" i="20" a="1"/>
  <c r="C984" i="20" s="1"/>
  <c r="G983" i="20"/>
  <c r="F983" i="20"/>
  <c r="D983" i="20"/>
  <c r="C983" i="20" a="1"/>
  <c r="C983" i="20" s="1"/>
  <c r="G982" i="20"/>
  <c r="F982" i="20"/>
  <c r="D982" i="20"/>
  <c r="C982" i="20" a="1"/>
  <c r="C982" i="20" s="1"/>
  <c r="G981" i="20"/>
  <c r="I981" i="20" s="1"/>
  <c r="F981" i="20"/>
  <c r="D981" i="20"/>
  <c r="C981" i="20" a="1"/>
  <c r="C981" i="20" s="1"/>
  <c r="G980" i="20"/>
  <c r="F980" i="20"/>
  <c r="D980" i="20"/>
  <c r="C980" i="20" a="1"/>
  <c r="C980" i="20" s="1"/>
  <c r="G979" i="20"/>
  <c r="F979" i="20"/>
  <c r="D979" i="20"/>
  <c r="C979" i="20" a="1"/>
  <c r="C979" i="20" s="1"/>
  <c r="G978" i="20"/>
  <c r="F978" i="20"/>
  <c r="D978" i="20"/>
  <c r="C978" i="20" a="1"/>
  <c r="C978" i="20" s="1"/>
  <c r="G977" i="20"/>
  <c r="F977" i="20"/>
  <c r="D977" i="20"/>
  <c r="C977" i="20" a="1"/>
  <c r="C977" i="20" s="1"/>
  <c r="G976" i="20"/>
  <c r="F976" i="20"/>
  <c r="D976" i="20"/>
  <c r="C976" i="20" a="1"/>
  <c r="C976" i="20" s="1"/>
  <c r="G975" i="20"/>
  <c r="H975" i="20" s="1"/>
  <c r="F975" i="20"/>
  <c r="D975" i="20"/>
  <c r="C975" i="20" a="1"/>
  <c r="C975" i="20" s="1"/>
  <c r="G974" i="20"/>
  <c r="F974" i="20"/>
  <c r="D974" i="20"/>
  <c r="C974" i="20" a="1"/>
  <c r="C974" i="20" s="1"/>
  <c r="G973" i="20"/>
  <c r="F973" i="20"/>
  <c r="D973" i="20"/>
  <c r="C973" i="20" a="1"/>
  <c r="C973" i="20" s="1"/>
  <c r="G972" i="20"/>
  <c r="F972" i="20"/>
  <c r="D972" i="20"/>
  <c r="C972" i="20" a="1"/>
  <c r="C972" i="20" s="1"/>
  <c r="G971" i="20"/>
  <c r="F971" i="20"/>
  <c r="D971" i="20"/>
  <c r="C971" i="20" a="1"/>
  <c r="C971" i="20" s="1"/>
  <c r="G970" i="20"/>
  <c r="F970" i="20"/>
  <c r="D970" i="20"/>
  <c r="C970" i="20" a="1"/>
  <c r="C970" i="20" s="1"/>
  <c r="G969" i="20"/>
  <c r="F969" i="20"/>
  <c r="D969" i="20"/>
  <c r="C969" i="20" a="1"/>
  <c r="C969" i="20" s="1"/>
  <c r="G968" i="20"/>
  <c r="F968" i="20"/>
  <c r="D968" i="20"/>
  <c r="C968" i="20" a="1"/>
  <c r="C968" i="20" s="1"/>
  <c r="G967" i="20"/>
  <c r="F967" i="20"/>
  <c r="D967" i="20"/>
  <c r="C967" i="20" a="1"/>
  <c r="C967" i="20" s="1"/>
  <c r="G966" i="20"/>
  <c r="F966" i="20"/>
  <c r="D966" i="20"/>
  <c r="C966" i="20" a="1"/>
  <c r="C966" i="20" s="1"/>
  <c r="G965" i="20"/>
  <c r="F965" i="20"/>
  <c r="D965" i="20"/>
  <c r="C965" i="20" a="1"/>
  <c r="C965" i="20" s="1"/>
  <c r="G964" i="20"/>
  <c r="F964" i="20"/>
  <c r="D964" i="20"/>
  <c r="C964" i="20" a="1"/>
  <c r="C964" i="20" s="1"/>
  <c r="G963" i="20"/>
  <c r="F963" i="20"/>
  <c r="D963" i="20"/>
  <c r="C963" i="20" a="1"/>
  <c r="C963" i="20" s="1"/>
  <c r="G962" i="20"/>
  <c r="F962" i="20"/>
  <c r="D962" i="20"/>
  <c r="C962" i="20" a="1"/>
  <c r="C962" i="20" s="1"/>
  <c r="G961" i="20"/>
  <c r="F961" i="20"/>
  <c r="D961" i="20"/>
  <c r="C961" i="20" a="1"/>
  <c r="C961" i="20" s="1"/>
  <c r="G960" i="20"/>
  <c r="F960" i="20"/>
  <c r="D960" i="20"/>
  <c r="C960" i="20" a="1"/>
  <c r="C960" i="20" s="1"/>
  <c r="G959" i="20"/>
  <c r="H959" i="20" s="1"/>
  <c r="F959" i="20"/>
  <c r="D959" i="20"/>
  <c r="C959" i="20" a="1"/>
  <c r="C959" i="20" s="1"/>
  <c r="G958" i="20"/>
  <c r="F958" i="20"/>
  <c r="D958" i="20"/>
  <c r="C958" i="20" a="1"/>
  <c r="C958" i="20" s="1"/>
  <c r="G957" i="20"/>
  <c r="F957" i="20"/>
  <c r="D957" i="20"/>
  <c r="C957" i="20" a="1"/>
  <c r="C957" i="20" s="1"/>
  <c r="G956" i="20"/>
  <c r="F956" i="20"/>
  <c r="D956" i="20"/>
  <c r="C956" i="20" a="1"/>
  <c r="C956" i="20" s="1"/>
  <c r="G955" i="20"/>
  <c r="F955" i="20"/>
  <c r="D955" i="20"/>
  <c r="C955" i="20" a="1"/>
  <c r="C955" i="20" s="1"/>
  <c r="G954" i="20"/>
  <c r="F954" i="20"/>
  <c r="D954" i="20"/>
  <c r="C954" i="20" a="1"/>
  <c r="C954" i="20" s="1"/>
  <c r="G953" i="20"/>
  <c r="M953" i="20" s="1"/>
  <c r="F953" i="20"/>
  <c r="D953" i="20"/>
  <c r="C953" i="20" a="1"/>
  <c r="C953" i="20" s="1"/>
  <c r="G952" i="20"/>
  <c r="F952" i="20"/>
  <c r="D952" i="20"/>
  <c r="C952" i="20" a="1"/>
  <c r="C952" i="20" s="1"/>
  <c r="G951" i="20"/>
  <c r="F951" i="20"/>
  <c r="D951" i="20"/>
  <c r="C951" i="20" a="1"/>
  <c r="C951" i="20" s="1"/>
  <c r="G950" i="20"/>
  <c r="I950" i="20" s="1"/>
  <c r="F950" i="20"/>
  <c r="D950" i="20"/>
  <c r="C950" i="20" a="1"/>
  <c r="C950" i="20" s="1"/>
  <c r="G949" i="20"/>
  <c r="J949" i="20" s="1"/>
  <c r="F949" i="20"/>
  <c r="D949" i="20"/>
  <c r="C949" i="20" a="1"/>
  <c r="C949" i="20" s="1"/>
  <c r="G948" i="20"/>
  <c r="F948" i="20"/>
  <c r="D948" i="20"/>
  <c r="C948" i="20" a="1"/>
  <c r="C948" i="20" s="1"/>
  <c r="G947" i="20"/>
  <c r="F947" i="20"/>
  <c r="D947" i="20"/>
  <c r="C947" i="20" a="1"/>
  <c r="C947" i="20" s="1"/>
  <c r="G946" i="20"/>
  <c r="F946" i="20"/>
  <c r="D946" i="20"/>
  <c r="C946" i="20" a="1"/>
  <c r="C946" i="20" s="1"/>
  <c r="G945" i="20"/>
  <c r="F945" i="20"/>
  <c r="D945" i="20"/>
  <c r="C945" i="20" a="1"/>
  <c r="C945" i="20" s="1"/>
  <c r="G944" i="20"/>
  <c r="F944" i="20"/>
  <c r="D944" i="20"/>
  <c r="C944" i="20" a="1"/>
  <c r="C944" i="20" s="1"/>
  <c r="G943" i="20"/>
  <c r="F943" i="20"/>
  <c r="D943" i="20"/>
  <c r="C943" i="20" a="1"/>
  <c r="C943" i="20" s="1"/>
  <c r="G942" i="20"/>
  <c r="F942" i="20"/>
  <c r="D942" i="20"/>
  <c r="C942" i="20" a="1"/>
  <c r="C942" i="20" s="1"/>
  <c r="G941" i="20"/>
  <c r="F941" i="20"/>
  <c r="D941" i="20"/>
  <c r="C941" i="20" a="1"/>
  <c r="C941" i="20" s="1"/>
  <c r="G940" i="20"/>
  <c r="F940" i="20"/>
  <c r="D940" i="20"/>
  <c r="C940" i="20" a="1"/>
  <c r="C940" i="20" s="1"/>
  <c r="G939" i="20"/>
  <c r="F939" i="20"/>
  <c r="D939" i="20"/>
  <c r="C939" i="20" a="1"/>
  <c r="C939" i="20" s="1"/>
  <c r="G938" i="20"/>
  <c r="F938" i="20"/>
  <c r="D938" i="20"/>
  <c r="C938" i="20" a="1"/>
  <c r="C938" i="20" s="1"/>
  <c r="G937" i="20"/>
  <c r="I937" i="20" s="1"/>
  <c r="F937" i="20"/>
  <c r="D937" i="20"/>
  <c r="C937" i="20" a="1"/>
  <c r="C937" i="20" s="1"/>
  <c r="G936" i="20"/>
  <c r="F936" i="20"/>
  <c r="D936" i="20"/>
  <c r="C936" i="20" a="1"/>
  <c r="C936" i="20" s="1"/>
  <c r="G935" i="20"/>
  <c r="F935" i="20"/>
  <c r="D935" i="20"/>
  <c r="C935" i="20" a="1"/>
  <c r="C935" i="20" s="1"/>
  <c r="G934" i="20"/>
  <c r="F934" i="20"/>
  <c r="D934" i="20"/>
  <c r="C934" i="20" a="1"/>
  <c r="C934" i="20" s="1"/>
  <c r="G933" i="20"/>
  <c r="J933" i="20" s="1"/>
  <c r="F933" i="20"/>
  <c r="D933" i="20"/>
  <c r="C933" i="20" a="1"/>
  <c r="C933" i="20" s="1"/>
  <c r="G932" i="20"/>
  <c r="F932" i="20"/>
  <c r="D932" i="20"/>
  <c r="C932" i="20" a="1"/>
  <c r="C932" i="20" s="1"/>
  <c r="G931" i="20"/>
  <c r="H931" i="20" s="1"/>
  <c r="F931" i="20"/>
  <c r="D931" i="20"/>
  <c r="C931" i="20" a="1"/>
  <c r="C931" i="20" s="1"/>
  <c r="G930" i="20"/>
  <c r="F930" i="20"/>
  <c r="D930" i="20"/>
  <c r="C930" i="20" a="1"/>
  <c r="C930" i="20" s="1"/>
  <c r="G929" i="20"/>
  <c r="F929" i="20"/>
  <c r="D929" i="20"/>
  <c r="C929" i="20" a="1"/>
  <c r="C929" i="20" s="1"/>
  <c r="G928" i="20"/>
  <c r="F928" i="20"/>
  <c r="D928" i="20"/>
  <c r="C928" i="20" a="1"/>
  <c r="C928" i="20" s="1"/>
  <c r="G927" i="20"/>
  <c r="H927" i="20" s="1"/>
  <c r="F927" i="20"/>
  <c r="D927" i="20"/>
  <c r="C927" i="20" a="1"/>
  <c r="C927" i="20" s="1"/>
  <c r="G926" i="20"/>
  <c r="F926" i="20"/>
  <c r="D926" i="20"/>
  <c r="C926" i="20" a="1"/>
  <c r="C926" i="20" s="1"/>
  <c r="G925" i="20"/>
  <c r="F925" i="20"/>
  <c r="D925" i="20"/>
  <c r="C925" i="20" a="1"/>
  <c r="C925" i="20" s="1"/>
  <c r="G924" i="20"/>
  <c r="F924" i="20"/>
  <c r="D924" i="20"/>
  <c r="C924" i="20" a="1"/>
  <c r="C924" i="20" s="1"/>
  <c r="G923" i="20"/>
  <c r="F923" i="20"/>
  <c r="D923" i="20"/>
  <c r="C923" i="20" a="1"/>
  <c r="C923" i="20" s="1"/>
  <c r="G922" i="20"/>
  <c r="F922" i="20"/>
  <c r="D922" i="20"/>
  <c r="C922" i="20" a="1"/>
  <c r="C922" i="20" s="1"/>
  <c r="G921" i="20"/>
  <c r="F921" i="20"/>
  <c r="D921" i="20"/>
  <c r="C921" i="20" a="1"/>
  <c r="C921" i="20" s="1"/>
  <c r="G920" i="20"/>
  <c r="F920" i="20"/>
  <c r="D920" i="20"/>
  <c r="C920" i="20" a="1"/>
  <c r="C920" i="20" s="1"/>
  <c r="G919" i="20"/>
  <c r="F919" i="20"/>
  <c r="D919" i="20"/>
  <c r="C919" i="20" a="1"/>
  <c r="C919" i="20" s="1"/>
  <c r="G918" i="20"/>
  <c r="F918" i="20"/>
  <c r="D918" i="20"/>
  <c r="C918" i="20" a="1"/>
  <c r="C918" i="20" s="1"/>
  <c r="G917" i="20"/>
  <c r="F917" i="20"/>
  <c r="D917" i="20"/>
  <c r="C917" i="20" a="1"/>
  <c r="C917" i="20" s="1"/>
  <c r="G916" i="20"/>
  <c r="F916" i="20"/>
  <c r="D916" i="20"/>
  <c r="C916" i="20" a="1"/>
  <c r="C916" i="20" s="1"/>
  <c r="G915" i="20"/>
  <c r="F915" i="20"/>
  <c r="D915" i="20"/>
  <c r="C915" i="20" a="1"/>
  <c r="C915" i="20" s="1"/>
  <c r="G914" i="20"/>
  <c r="F914" i="20"/>
  <c r="D914" i="20"/>
  <c r="C914" i="20" a="1"/>
  <c r="C914" i="20" s="1"/>
  <c r="G913" i="20"/>
  <c r="F913" i="20"/>
  <c r="D913" i="20"/>
  <c r="C913" i="20" a="1"/>
  <c r="C913" i="20" s="1"/>
  <c r="G912" i="20"/>
  <c r="F912" i="20"/>
  <c r="D912" i="20"/>
  <c r="C912" i="20" a="1"/>
  <c r="C912" i="20" s="1"/>
  <c r="G911" i="20"/>
  <c r="H911" i="20" s="1"/>
  <c r="F911" i="20"/>
  <c r="D911" i="20"/>
  <c r="C911" i="20" a="1"/>
  <c r="C911" i="20" s="1"/>
  <c r="G910" i="20"/>
  <c r="F910" i="20"/>
  <c r="D910" i="20"/>
  <c r="C910" i="20" a="1"/>
  <c r="C910" i="20" s="1"/>
  <c r="G909" i="20"/>
  <c r="F909" i="20"/>
  <c r="D909" i="20"/>
  <c r="C909" i="20" a="1"/>
  <c r="C909" i="20" s="1"/>
  <c r="G908" i="20"/>
  <c r="F908" i="20"/>
  <c r="D908" i="20"/>
  <c r="C908" i="20" a="1"/>
  <c r="C908" i="20" s="1"/>
  <c r="G907" i="20"/>
  <c r="F907" i="20"/>
  <c r="D907" i="20"/>
  <c r="C907" i="20" a="1"/>
  <c r="C907" i="20" s="1"/>
  <c r="G906" i="20"/>
  <c r="I906" i="20" s="1"/>
  <c r="F906" i="20"/>
  <c r="D906" i="20"/>
  <c r="C906" i="20" a="1"/>
  <c r="C906" i="20" s="1"/>
  <c r="G905" i="20"/>
  <c r="F905" i="20"/>
  <c r="D905" i="20"/>
  <c r="C905" i="20" a="1"/>
  <c r="C905" i="20" s="1"/>
  <c r="G904" i="20"/>
  <c r="F904" i="20"/>
  <c r="D904" i="20"/>
  <c r="C904" i="20" a="1"/>
  <c r="C904" i="20" s="1"/>
  <c r="G903" i="20"/>
  <c r="H903" i="20" s="1"/>
  <c r="F903" i="20"/>
  <c r="D903" i="20"/>
  <c r="C903" i="20" a="1"/>
  <c r="C903" i="20" s="1"/>
  <c r="G902" i="20"/>
  <c r="F902" i="20"/>
  <c r="D902" i="20"/>
  <c r="C902" i="20" a="1"/>
  <c r="C902" i="20" s="1"/>
  <c r="G901" i="20"/>
  <c r="F901" i="20"/>
  <c r="D901" i="20"/>
  <c r="C901" i="20" a="1"/>
  <c r="C901" i="20" s="1"/>
  <c r="G900" i="20"/>
  <c r="F900" i="20"/>
  <c r="D900" i="20"/>
  <c r="C900" i="20" a="1"/>
  <c r="C900" i="20" s="1"/>
  <c r="G899" i="20"/>
  <c r="F899" i="20"/>
  <c r="D899" i="20"/>
  <c r="C899" i="20" a="1"/>
  <c r="C899" i="20" s="1"/>
  <c r="G898" i="20"/>
  <c r="F898" i="20"/>
  <c r="D898" i="20"/>
  <c r="C898" i="20" a="1"/>
  <c r="C898" i="20" s="1"/>
  <c r="G897" i="20"/>
  <c r="F897" i="20"/>
  <c r="D897" i="20"/>
  <c r="C897" i="20" a="1"/>
  <c r="C897" i="20" s="1"/>
  <c r="G896" i="20"/>
  <c r="F896" i="20"/>
  <c r="D896" i="20"/>
  <c r="C896" i="20" a="1"/>
  <c r="C896" i="20" s="1"/>
  <c r="G895" i="20"/>
  <c r="H895" i="20" s="1"/>
  <c r="F895" i="20"/>
  <c r="D895" i="20"/>
  <c r="C895" i="20" a="1"/>
  <c r="C895" i="20" s="1"/>
  <c r="G894" i="20"/>
  <c r="F894" i="20"/>
  <c r="D894" i="20"/>
  <c r="C894" i="20" a="1"/>
  <c r="C894" i="20" s="1"/>
  <c r="G893" i="20"/>
  <c r="F893" i="20"/>
  <c r="D893" i="20"/>
  <c r="C893" i="20" a="1"/>
  <c r="C893" i="20" s="1"/>
  <c r="G892" i="20"/>
  <c r="F892" i="20"/>
  <c r="D892" i="20"/>
  <c r="C892" i="20" a="1"/>
  <c r="C892" i="20" s="1"/>
  <c r="G891" i="20"/>
  <c r="F891" i="20"/>
  <c r="D891" i="20"/>
  <c r="C891" i="20" a="1"/>
  <c r="C891" i="20" s="1"/>
  <c r="G890" i="20"/>
  <c r="F890" i="20"/>
  <c r="D890" i="20"/>
  <c r="C890" i="20" a="1"/>
  <c r="C890" i="20" s="1"/>
  <c r="G889" i="20"/>
  <c r="F889" i="20"/>
  <c r="D889" i="20"/>
  <c r="C889" i="20" a="1"/>
  <c r="C889" i="20" s="1"/>
  <c r="G888" i="20"/>
  <c r="F888" i="20"/>
  <c r="D888" i="20"/>
  <c r="C888" i="20" a="1"/>
  <c r="C888" i="20" s="1"/>
  <c r="G887" i="20"/>
  <c r="F887" i="20"/>
  <c r="D887" i="20"/>
  <c r="C887" i="20" a="1"/>
  <c r="C887" i="20" s="1"/>
  <c r="G886" i="20"/>
  <c r="H886" i="20" s="1"/>
  <c r="F886" i="20"/>
  <c r="D886" i="20"/>
  <c r="C886" i="20" a="1"/>
  <c r="C886" i="20" s="1"/>
  <c r="G885" i="20"/>
  <c r="F885" i="20"/>
  <c r="D885" i="20"/>
  <c r="C885" i="20" a="1"/>
  <c r="C885" i="20" s="1"/>
  <c r="G884" i="20"/>
  <c r="F884" i="20"/>
  <c r="D884" i="20"/>
  <c r="C884" i="20" a="1"/>
  <c r="C884" i="20" s="1"/>
  <c r="G883" i="20"/>
  <c r="F883" i="20"/>
  <c r="D883" i="20"/>
  <c r="C883" i="20" a="1"/>
  <c r="C883" i="20" s="1"/>
  <c r="G882" i="20"/>
  <c r="F882" i="20"/>
  <c r="D882" i="20"/>
  <c r="C882" i="20" a="1"/>
  <c r="C882" i="20" s="1"/>
  <c r="G881" i="20"/>
  <c r="F881" i="20"/>
  <c r="D881" i="20"/>
  <c r="C881" i="20" a="1"/>
  <c r="C881" i="20" s="1"/>
  <c r="G880" i="20"/>
  <c r="F880" i="20"/>
  <c r="D880" i="20"/>
  <c r="C880" i="20" a="1"/>
  <c r="C880" i="20" s="1"/>
  <c r="G879" i="20"/>
  <c r="F879" i="20"/>
  <c r="D879" i="20"/>
  <c r="C879" i="20" a="1"/>
  <c r="C879" i="20" s="1"/>
  <c r="G878" i="20"/>
  <c r="F878" i="20"/>
  <c r="D878" i="20"/>
  <c r="C878" i="20" a="1"/>
  <c r="C878" i="20" s="1"/>
  <c r="G877" i="20"/>
  <c r="M877" i="20" s="1"/>
  <c r="F877" i="20"/>
  <c r="D877" i="20"/>
  <c r="C877" i="20" a="1"/>
  <c r="C877" i="20" s="1"/>
  <c r="G876" i="20"/>
  <c r="F876" i="20"/>
  <c r="D876" i="20"/>
  <c r="C876" i="20" a="1"/>
  <c r="C876" i="20" s="1"/>
  <c r="G875" i="20"/>
  <c r="F875" i="20"/>
  <c r="D875" i="20"/>
  <c r="C875" i="20" a="1"/>
  <c r="C875" i="20" s="1"/>
  <c r="G874" i="20"/>
  <c r="H874" i="20" s="1"/>
  <c r="F874" i="20"/>
  <c r="D874" i="20"/>
  <c r="C874" i="20" a="1"/>
  <c r="C874" i="20" s="1"/>
  <c r="G873" i="20"/>
  <c r="F873" i="20"/>
  <c r="D873" i="20"/>
  <c r="C873" i="20" a="1"/>
  <c r="C873" i="20" s="1"/>
  <c r="G872" i="20"/>
  <c r="F872" i="20"/>
  <c r="D872" i="20"/>
  <c r="C872" i="20" a="1"/>
  <c r="C872" i="20" s="1"/>
  <c r="G871" i="20"/>
  <c r="F871" i="20"/>
  <c r="D871" i="20"/>
  <c r="C871" i="20" a="1"/>
  <c r="C871" i="20" s="1"/>
  <c r="G870" i="20"/>
  <c r="J870" i="20" s="1"/>
  <c r="F870" i="20"/>
  <c r="D870" i="20"/>
  <c r="C870" i="20" a="1"/>
  <c r="C870" i="20" s="1"/>
  <c r="G869" i="20"/>
  <c r="F869" i="20"/>
  <c r="D869" i="20"/>
  <c r="C869" i="20" a="1"/>
  <c r="C869" i="20" s="1"/>
  <c r="G868" i="20"/>
  <c r="F868" i="20"/>
  <c r="D868" i="20"/>
  <c r="C868" i="20" a="1"/>
  <c r="C868" i="20" s="1"/>
  <c r="G867" i="20"/>
  <c r="F867" i="20"/>
  <c r="D867" i="20"/>
  <c r="C867" i="20" a="1"/>
  <c r="C867" i="20" s="1"/>
  <c r="G866" i="20"/>
  <c r="J866" i="20" s="1"/>
  <c r="F866" i="20"/>
  <c r="D866" i="20"/>
  <c r="C866" i="20" a="1"/>
  <c r="C866" i="20" s="1"/>
  <c r="G865" i="20"/>
  <c r="F865" i="20"/>
  <c r="D865" i="20"/>
  <c r="C865" i="20" a="1"/>
  <c r="C865" i="20" s="1"/>
  <c r="G864" i="20"/>
  <c r="F864" i="20"/>
  <c r="D864" i="20"/>
  <c r="C864" i="20" a="1"/>
  <c r="C864" i="20" s="1"/>
  <c r="G863" i="20"/>
  <c r="I863" i="20" s="1"/>
  <c r="F863" i="20"/>
  <c r="D863" i="20"/>
  <c r="C863" i="20" a="1"/>
  <c r="C863" i="20" s="1"/>
  <c r="G862" i="20"/>
  <c r="J862" i="20" s="1"/>
  <c r="F862" i="20"/>
  <c r="D862" i="20"/>
  <c r="C862" i="20" a="1"/>
  <c r="C862" i="20" s="1"/>
  <c r="G861" i="20"/>
  <c r="F861" i="20"/>
  <c r="D861" i="20"/>
  <c r="C861" i="20" a="1"/>
  <c r="C861" i="20" s="1"/>
  <c r="G860" i="20"/>
  <c r="F860" i="20"/>
  <c r="D860" i="20"/>
  <c r="C860" i="20" a="1"/>
  <c r="C860" i="20" s="1"/>
  <c r="G859" i="20"/>
  <c r="H859" i="20" s="1"/>
  <c r="F859" i="20"/>
  <c r="D859" i="20"/>
  <c r="C859" i="20" a="1"/>
  <c r="C859" i="20" s="1"/>
  <c r="G858" i="20"/>
  <c r="H858" i="20" s="1"/>
  <c r="F858" i="20"/>
  <c r="D858" i="20"/>
  <c r="C858" i="20" a="1"/>
  <c r="C858" i="20" s="1"/>
  <c r="G857" i="20"/>
  <c r="I857" i="20" s="1"/>
  <c r="F857" i="20"/>
  <c r="D857" i="20"/>
  <c r="C857" i="20" a="1"/>
  <c r="C857" i="20" s="1"/>
  <c r="G856" i="20"/>
  <c r="F856" i="20"/>
  <c r="D856" i="20"/>
  <c r="C856" i="20" a="1"/>
  <c r="C856" i="20" s="1"/>
  <c r="G855" i="20"/>
  <c r="I855" i="20" s="1"/>
  <c r="F855" i="20"/>
  <c r="D855" i="20"/>
  <c r="C855" i="20" a="1"/>
  <c r="C855" i="20" s="1"/>
  <c r="G854" i="20"/>
  <c r="J854" i="20" s="1"/>
  <c r="F854" i="20"/>
  <c r="D854" i="20"/>
  <c r="C854" i="20" a="1"/>
  <c r="C854" i="20" s="1"/>
  <c r="G853" i="20"/>
  <c r="J853" i="20" s="1"/>
  <c r="F853" i="20"/>
  <c r="D853" i="20"/>
  <c r="C853" i="20" a="1"/>
  <c r="C853" i="20" s="1"/>
  <c r="G852" i="20"/>
  <c r="F852" i="20"/>
  <c r="D852" i="20"/>
  <c r="C852" i="20" a="1"/>
  <c r="C852" i="20" s="1"/>
  <c r="G851" i="20"/>
  <c r="H851" i="20" s="1"/>
  <c r="F851" i="20"/>
  <c r="D851" i="20"/>
  <c r="C851" i="20" a="1"/>
  <c r="C851" i="20" s="1"/>
  <c r="G850" i="20"/>
  <c r="F850" i="20"/>
  <c r="D850" i="20"/>
  <c r="C850" i="20" a="1"/>
  <c r="C850" i="20" s="1"/>
  <c r="G849" i="20"/>
  <c r="F849" i="20"/>
  <c r="D849" i="20"/>
  <c r="C849" i="20" a="1"/>
  <c r="C849" i="20" s="1"/>
  <c r="G848" i="20"/>
  <c r="F848" i="20"/>
  <c r="D848" i="20"/>
  <c r="C848" i="20" a="1"/>
  <c r="C848" i="20" s="1"/>
  <c r="G847" i="20"/>
  <c r="F847" i="20"/>
  <c r="D847" i="20"/>
  <c r="C847" i="20" a="1"/>
  <c r="C847" i="20" s="1"/>
  <c r="G846" i="20"/>
  <c r="F846" i="20"/>
  <c r="D846" i="20"/>
  <c r="C846" i="20" a="1"/>
  <c r="C846" i="20" s="1"/>
  <c r="G845" i="20"/>
  <c r="F845" i="20"/>
  <c r="D845" i="20"/>
  <c r="C845" i="20" a="1"/>
  <c r="C845" i="20" s="1"/>
  <c r="G844" i="20"/>
  <c r="F844" i="20"/>
  <c r="D844" i="20"/>
  <c r="C844" i="20" a="1"/>
  <c r="C844" i="20" s="1"/>
  <c r="G843" i="20"/>
  <c r="F843" i="20"/>
  <c r="D843" i="20"/>
  <c r="C843" i="20" a="1"/>
  <c r="C843" i="20" s="1"/>
  <c r="G842" i="20"/>
  <c r="I842" i="20" s="1"/>
  <c r="F842" i="20"/>
  <c r="D842" i="20"/>
  <c r="C842" i="20" a="1"/>
  <c r="C842" i="20" s="1"/>
  <c r="G841" i="20"/>
  <c r="J841" i="20" s="1"/>
  <c r="F841" i="20"/>
  <c r="D841" i="20"/>
  <c r="C841" i="20" a="1"/>
  <c r="C841" i="20" s="1"/>
  <c r="G840" i="20"/>
  <c r="I840" i="20" s="1"/>
  <c r="F840" i="20"/>
  <c r="D840" i="20"/>
  <c r="C840" i="20" a="1"/>
  <c r="C840" i="20" s="1"/>
  <c r="G839" i="20"/>
  <c r="F839" i="20"/>
  <c r="D839" i="20"/>
  <c r="C839" i="20" a="1"/>
  <c r="C839" i="20" s="1"/>
  <c r="G838" i="20"/>
  <c r="J838" i="20" s="1"/>
  <c r="F838" i="20"/>
  <c r="D838" i="20"/>
  <c r="C838" i="20" a="1"/>
  <c r="C838" i="20" s="1"/>
  <c r="G837" i="20"/>
  <c r="I837" i="20" s="1"/>
  <c r="F837" i="20"/>
  <c r="D837" i="20"/>
  <c r="C837" i="20" a="1"/>
  <c r="C837" i="20" s="1"/>
  <c r="G836" i="20"/>
  <c r="F836" i="20"/>
  <c r="D836" i="20"/>
  <c r="C836" i="20" a="1"/>
  <c r="C836" i="20" s="1"/>
  <c r="G835" i="20"/>
  <c r="F835" i="20"/>
  <c r="D835" i="20"/>
  <c r="C835" i="20" a="1"/>
  <c r="C835" i="20" s="1"/>
  <c r="G834" i="20"/>
  <c r="J834" i="20" s="1"/>
  <c r="F834" i="20"/>
  <c r="D834" i="20"/>
  <c r="C834" i="20" a="1"/>
  <c r="C834" i="20" s="1"/>
  <c r="G833" i="20"/>
  <c r="F833" i="20"/>
  <c r="D833" i="20"/>
  <c r="C833" i="20" a="1"/>
  <c r="C833" i="20" s="1"/>
  <c r="G832" i="20"/>
  <c r="F832" i="20"/>
  <c r="D832" i="20"/>
  <c r="C832" i="20" a="1"/>
  <c r="C832" i="20" s="1"/>
  <c r="G831" i="20"/>
  <c r="F831" i="20"/>
  <c r="D831" i="20"/>
  <c r="C831" i="20" a="1"/>
  <c r="C831" i="20" s="1"/>
  <c r="G830" i="20"/>
  <c r="F830" i="20"/>
  <c r="D830" i="20"/>
  <c r="C830" i="20" a="1"/>
  <c r="C830" i="20" s="1"/>
  <c r="G829" i="20"/>
  <c r="F829" i="20"/>
  <c r="D829" i="20"/>
  <c r="C829" i="20" a="1"/>
  <c r="C829" i="20" s="1"/>
  <c r="G828" i="20"/>
  <c r="F828" i="20"/>
  <c r="D828" i="20"/>
  <c r="C828" i="20" a="1"/>
  <c r="C828" i="20" s="1"/>
  <c r="G827" i="20"/>
  <c r="F827" i="20"/>
  <c r="D827" i="20"/>
  <c r="C827" i="20" a="1"/>
  <c r="C827" i="20" s="1"/>
  <c r="G826" i="20"/>
  <c r="F826" i="20"/>
  <c r="D826" i="20"/>
  <c r="C826" i="20" a="1"/>
  <c r="C826" i="20" s="1"/>
  <c r="G825" i="20"/>
  <c r="F825" i="20"/>
  <c r="D825" i="20"/>
  <c r="C825" i="20" a="1"/>
  <c r="C825" i="20" s="1"/>
  <c r="G824" i="20"/>
  <c r="F824" i="20"/>
  <c r="D824" i="20"/>
  <c r="C824" i="20" a="1"/>
  <c r="C824" i="20" s="1"/>
  <c r="G823" i="20"/>
  <c r="F823" i="20"/>
  <c r="D823" i="20"/>
  <c r="C823" i="20" a="1"/>
  <c r="C823" i="20" s="1"/>
  <c r="G822" i="20"/>
  <c r="I822" i="20" s="1"/>
  <c r="F822" i="20"/>
  <c r="D822" i="20"/>
  <c r="C822" i="20" a="1"/>
  <c r="C822" i="20" s="1"/>
  <c r="G821" i="20"/>
  <c r="F821" i="20"/>
  <c r="D821" i="20"/>
  <c r="C821" i="20" a="1"/>
  <c r="C821" i="20" s="1"/>
  <c r="G820" i="20"/>
  <c r="F820" i="20"/>
  <c r="D820" i="20"/>
  <c r="C820" i="20" a="1"/>
  <c r="C820" i="20" s="1"/>
  <c r="G819" i="20"/>
  <c r="H819" i="20" s="1"/>
  <c r="F819" i="20"/>
  <c r="D819" i="20"/>
  <c r="C819" i="20" a="1"/>
  <c r="C819" i="20" s="1"/>
  <c r="G818" i="20"/>
  <c r="F818" i="20"/>
  <c r="D818" i="20"/>
  <c r="C818" i="20" a="1"/>
  <c r="C818" i="20" s="1"/>
  <c r="G817" i="20"/>
  <c r="H817" i="20" s="1"/>
  <c r="F817" i="20"/>
  <c r="D817" i="20"/>
  <c r="C817" i="20" a="1"/>
  <c r="C817" i="20" s="1"/>
  <c r="G816" i="20"/>
  <c r="F816" i="20"/>
  <c r="D816" i="20"/>
  <c r="C816" i="20" a="1"/>
  <c r="C816" i="20" s="1"/>
  <c r="G815" i="20"/>
  <c r="F815" i="20"/>
  <c r="D815" i="20"/>
  <c r="C815" i="20" a="1"/>
  <c r="C815" i="20" s="1"/>
  <c r="G814" i="20"/>
  <c r="H814" i="20" s="1"/>
  <c r="F814" i="20"/>
  <c r="D814" i="20"/>
  <c r="C814" i="20" a="1"/>
  <c r="C814" i="20" s="1"/>
  <c r="G813" i="20"/>
  <c r="H813" i="20" s="1"/>
  <c r="F813" i="20"/>
  <c r="D813" i="20"/>
  <c r="C813" i="20" a="1"/>
  <c r="C813" i="20" s="1"/>
  <c r="G812" i="20"/>
  <c r="F812" i="20"/>
  <c r="D812" i="20"/>
  <c r="C812" i="20" a="1"/>
  <c r="C812" i="20" s="1"/>
  <c r="G811" i="20"/>
  <c r="F811" i="20"/>
  <c r="D811" i="20"/>
  <c r="C811" i="20" a="1"/>
  <c r="C811" i="20" s="1"/>
  <c r="G810" i="20"/>
  <c r="F810" i="20"/>
  <c r="D810" i="20"/>
  <c r="C810" i="20" a="1"/>
  <c r="C810" i="20" s="1"/>
  <c r="G809" i="20"/>
  <c r="F809" i="20"/>
  <c r="D809" i="20"/>
  <c r="C809" i="20" a="1"/>
  <c r="C809" i="20" s="1"/>
  <c r="G808" i="20"/>
  <c r="F808" i="20"/>
  <c r="D808" i="20"/>
  <c r="C808" i="20" a="1"/>
  <c r="C808" i="20" s="1"/>
  <c r="G807" i="20"/>
  <c r="F807" i="20"/>
  <c r="D807" i="20"/>
  <c r="C807" i="20" a="1"/>
  <c r="C807" i="20" s="1"/>
  <c r="G806" i="20"/>
  <c r="H806" i="20" s="1"/>
  <c r="F806" i="20"/>
  <c r="D806" i="20"/>
  <c r="C806" i="20" a="1"/>
  <c r="C806" i="20" s="1"/>
  <c r="G805" i="20"/>
  <c r="J805" i="20" s="1"/>
  <c r="F805" i="20"/>
  <c r="D805" i="20"/>
  <c r="C805" i="20" a="1"/>
  <c r="C805" i="20" s="1"/>
  <c r="G804" i="20"/>
  <c r="F804" i="20"/>
  <c r="D804" i="20"/>
  <c r="C804" i="20" a="1"/>
  <c r="C804" i="20" s="1"/>
  <c r="G803" i="20"/>
  <c r="H803" i="20" s="1"/>
  <c r="F803" i="20"/>
  <c r="D803" i="20"/>
  <c r="C803" i="20" a="1"/>
  <c r="C803" i="20" s="1"/>
  <c r="G802" i="20"/>
  <c r="F802" i="20"/>
  <c r="D802" i="20"/>
  <c r="C802" i="20" a="1"/>
  <c r="C802" i="20" s="1"/>
  <c r="G801" i="20"/>
  <c r="F801" i="20"/>
  <c r="D801" i="20"/>
  <c r="C801" i="20" a="1"/>
  <c r="C801" i="20" s="1"/>
  <c r="G800" i="20"/>
  <c r="F800" i="20"/>
  <c r="D800" i="20"/>
  <c r="C800" i="20" a="1"/>
  <c r="C800" i="20" s="1"/>
  <c r="G799" i="20"/>
  <c r="H799" i="20" s="1"/>
  <c r="F799" i="20"/>
  <c r="D799" i="20"/>
  <c r="C799" i="20" a="1"/>
  <c r="C799" i="20" s="1"/>
  <c r="G798" i="20"/>
  <c r="F798" i="20"/>
  <c r="D798" i="20"/>
  <c r="C798" i="20" a="1"/>
  <c r="C798" i="20" s="1"/>
  <c r="G797" i="20"/>
  <c r="H797" i="20" s="1"/>
  <c r="F797" i="20"/>
  <c r="D797" i="20"/>
  <c r="C797" i="20" a="1"/>
  <c r="C797" i="20" s="1"/>
  <c r="G796" i="20"/>
  <c r="F796" i="20"/>
  <c r="D796" i="20"/>
  <c r="C796" i="20" a="1"/>
  <c r="C796" i="20" s="1"/>
  <c r="G795" i="20"/>
  <c r="F795" i="20"/>
  <c r="D795" i="20"/>
  <c r="C795" i="20" a="1"/>
  <c r="C795" i="20" s="1"/>
  <c r="G794" i="20"/>
  <c r="H794" i="20" s="1"/>
  <c r="F794" i="20"/>
  <c r="D794" i="20"/>
  <c r="C794" i="20" a="1"/>
  <c r="C794" i="20" s="1"/>
  <c r="G793" i="20"/>
  <c r="F793" i="20"/>
  <c r="D793" i="20"/>
  <c r="C793" i="20" a="1"/>
  <c r="C793" i="20" s="1"/>
  <c r="G792" i="20"/>
  <c r="F792" i="20"/>
  <c r="D792" i="20"/>
  <c r="C792" i="20" a="1"/>
  <c r="C792" i="20" s="1"/>
  <c r="G791" i="20"/>
  <c r="F791" i="20"/>
  <c r="D791" i="20"/>
  <c r="C791" i="20" a="1"/>
  <c r="C791" i="20" s="1"/>
  <c r="G790" i="20"/>
  <c r="F790" i="20"/>
  <c r="D790" i="20"/>
  <c r="C790" i="20" a="1"/>
  <c r="C790" i="20" s="1"/>
  <c r="G789" i="20"/>
  <c r="F789" i="20"/>
  <c r="D789" i="20"/>
  <c r="C789" i="20" a="1"/>
  <c r="C789" i="20" s="1"/>
  <c r="G788" i="20"/>
  <c r="F788" i="20"/>
  <c r="D788" i="20"/>
  <c r="C788" i="20" a="1"/>
  <c r="C788" i="20" s="1"/>
  <c r="G787" i="20"/>
  <c r="F787" i="20"/>
  <c r="D787" i="20"/>
  <c r="C787" i="20" a="1"/>
  <c r="C787" i="20" s="1"/>
  <c r="G786" i="20"/>
  <c r="F786" i="20"/>
  <c r="D786" i="20"/>
  <c r="C786" i="20" a="1"/>
  <c r="C786" i="20" s="1"/>
  <c r="G785" i="20"/>
  <c r="F785" i="20"/>
  <c r="D785" i="20"/>
  <c r="C785" i="20" a="1"/>
  <c r="C785" i="20" s="1"/>
  <c r="G784" i="20"/>
  <c r="J784" i="20" s="1"/>
  <c r="F784" i="20"/>
  <c r="D784" i="20"/>
  <c r="C784" i="20" a="1"/>
  <c r="C784" i="20" s="1"/>
  <c r="G783" i="20"/>
  <c r="I783" i="20" s="1"/>
  <c r="F783" i="20"/>
  <c r="D783" i="20"/>
  <c r="C783" i="20" a="1"/>
  <c r="C783" i="20" s="1"/>
  <c r="G782" i="20"/>
  <c r="J782" i="20" s="1"/>
  <c r="F782" i="20"/>
  <c r="D782" i="20"/>
  <c r="C782" i="20" a="1"/>
  <c r="C782" i="20" s="1"/>
  <c r="G781" i="20"/>
  <c r="J781" i="20" s="1"/>
  <c r="F781" i="20"/>
  <c r="D781" i="20"/>
  <c r="C781" i="20" a="1"/>
  <c r="C781" i="20" s="1"/>
  <c r="G780" i="20"/>
  <c r="F780" i="20"/>
  <c r="D780" i="20"/>
  <c r="C780" i="20" a="1"/>
  <c r="C780" i="20" s="1"/>
  <c r="G779" i="20"/>
  <c r="F779" i="20"/>
  <c r="D779" i="20"/>
  <c r="C779" i="20" a="1"/>
  <c r="C779" i="20" s="1"/>
  <c r="G778" i="20"/>
  <c r="J778" i="20" s="1"/>
  <c r="F778" i="20"/>
  <c r="D778" i="20"/>
  <c r="C778" i="20" a="1"/>
  <c r="C778" i="20" s="1"/>
  <c r="G777" i="20"/>
  <c r="F777" i="20"/>
  <c r="D777" i="20"/>
  <c r="C777" i="20" a="1"/>
  <c r="C777" i="20" s="1"/>
  <c r="G776" i="20"/>
  <c r="F776" i="20"/>
  <c r="D776" i="20"/>
  <c r="C776" i="20" a="1"/>
  <c r="C776" i="20" s="1"/>
  <c r="G775" i="20"/>
  <c r="F775" i="20"/>
  <c r="D775" i="20"/>
  <c r="C775" i="20" a="1"/>
  <c r="C775" i="20" s="1"/>
  <c r="G774" i="20"/>
  <c r="H774" i="20" s="1"/>
  <c r="F774" i="20"/>
  <c r="D774" i="20"/>
  <c r="C774" i="20" a="1"/>
  <c r="C774" i="20" s="1"/>
  <c r="G773" i="20"/>
  <c r="H773" i="20" s="1"/>
  <c r="F773" i="20"/>
  <c r="D773" i="20"/>
  <c r="C773" i="20" a="1"/>
  <c r="C773" i="20" s="1"/>
  <c r="G772" i="20"/>
  <c r="F772" i="20"/>
  <c r="D772" i="20"/>
  <c r="C772" i="20" a="1"/>
  <c r="C772" i="20" s="1"/>
  <c r="G771" i="20"/>
  <c r="F771" i="20"/>
  <c r="D771" i="20"/>
  <c r="C771" i="20" a="1"/>
  <c r="C771" i="20" s="1"/>
  <c r="G770" i="20"/>
  <c r="H770" i="20" s="1"/>
  <c r="F770" i="20"/>
  <c r="D770" i="20"/>
  <c r="C770" i="20" a="1"/>
  <c r="C770" i="20" s="1"/>
  <c r="G769" i="20"/>
  <c r="H769" i="20" s="1"/>
  <c r="F769" i="20"/>
  <c r="D769" i="20"/>
  <c r="C769" i="20" a="1"/>
  <c r="C769" i="20" s="1"/>
  <c r="G768" i="20"/>
  <c r="J768" i="20" s="1"/>
  <c r="F768" i="20"/>
  <c r="D768" i="20"/>
  <c r="C768" i="20" a="1"/>
  <c r="C768" i="20" s="1"/>
  <c r="G767" i="20"/>
  <c r="I767" i="20" s="1"/>
  <c r="F767" i="20"/>
  <c r="D767" i="20"/>
  <c r="C767" i="20" a="1"/>
  <c r="C767" i="20" s="1"/>
  <c r="G766" i="20"/>
  <c r="F766" i="20"/>
  <c r="D766" i="20"/>
  <c r="C766" i="20" a="1"/>
  <c r="C766" i="20" s="1"/>
  <c r="G765" i="20"/>
  <c r="F765" i="20"/>
  <c r="D765" i="20"/>
  <c r="C765" i="20" a="1"/>
  <c r="C765" i="20" s="1"/>
  <c r="G764" i="20"/>
  <c r="F764" i="20"/>
  <c r="D764" i="20"/>
  <c r="C764" i="20" a="1"/>
  <c r="C764" i="20" s="1"/>
  <c r="G763" i="20"/>
  <c r="H763" i="20" s="1"/>
  <c r="F763" i="20"/>
  <c r="D763" i="20"/>
  <c r="C763" i="20" a="1"/>
  <c r="C763" i="20" s="1"/>
  <c r="G762" i="20"/>
  <c r="F762" i="20"/>
  <c r="D762" i="20"/>
  <c r="C762" i="20" a="1"/>
  <c r="C762" i="20" s="1"/>
  <c r="G761" i="20"/>
  <c r="H761" i="20" s="1"/>
  <c r="F761" i="20"/>
  <c r="D761" i="20"/>
  <c r="C761" i="20" a="1"/>
  <c r="C761" i="20" s="1"/>
  <c r="G760" i="20"/>
  <c r="F760" i="20"/>
  <c r="D760" i="20"/>
  <c r="C760" i="20" a="1"/>
  <c r="C760" i="20" s="1"/>
  <c r="G759" i="20"/>
  <c r="F759" i="20"/>
  <c r="D759" i="20"/>
  <c r="C759" i="20" a="1"/>
  <c r="C759" i="20" s="1"/>
  <c r="G758" i="20"/>
  <c r="F758" i="20"/>
  <c r="D758" i="20"/>
  <c r="C758" i="20" a="1"/>
  <c r="C758" i="20" s="1"/>
  <c r="G757" i="20"/>
  <c r="F757" i="20"/>
  <c r="D757" i="20"/>
  <c r="C757" i="20" a="1"/>
  <c r="C757" i="20" s="1"/>
  <c r="G756" i="20"/>
  <c r="F756" i="20"/>
  <c r="D756" i="20"/>
  <c r="C756" i="20" a="1"/>
  <c r="C756" i="20" s="1"/>
  <c r="G755" i="20"/>
  <c r="I755" i="20" s="1"/>
  <c r="F755" i="20"/>
  <c r="D755" i="20"/>
  <c r="C755" i="20" a="1"/>
  <c r="C755" i="20" s="1"/>
  <c r="G754" i="20"/>
  <c r="J754" i="20" s="1"/>
  <c r="F754" i="20"/>
  <c r="D754" i="20"/>
  <c r="C754" i="20" a="1"/>
  <c r="C754" i="20" s="1"/>
  <c r="G753" i="20"/>
  <c r="J753" i="20" s="1"/>
  <c r="F753" i="20"/>
  <c r="D753" i="20"/>
  <c r="C753" i="20" a="1"/>
  <c r="C753" i="20" s="1"/>
  <c r="G752" i="20"/>
  <c r="F752" i="20"/>
  <c r="D752" i="20"/>
  <c r="C752" i="20" a="1"/>
  <c r="C752" i="20" s="1"/>
  <c r="G751" i="20"/>
  <c r="F751" i="20"/>
  <c r="D751" i="20"/>
  <c r="C751" i="20" a="1"/>
  <c r="C751" i="20" s="1"/>
  <c r="G750" i="20"/>
  <c r="H750" i="20" s="1"/>
  <c r="F750" i="20"/>
  <c r="D750" i="20"/>
  <c r="C750" i="20" a="1"/>
  <c r="C750" i="20" s="1"/>
  <c r="G749" i="20"/>
  <c r="H749" i="20" s="1"/>
  <c r="F749" i="20"/>
  <c r="D749" i="20"/>
  <c r="C749" i="20" a="1"/>
  <c r="C749" i="20" s="1"/>
  <c r="G748" i="20"/>
  <c r="J748" i="20" s="1"/>
  <c r="F748" i="20"/>
  <c r="D748" i="20"/>
  <c r="C748" i="20" a="1"/>
  <c r="C748" i="20" s="1"/>
  <c r="G747" i="20"/>
  <c r="H747" i="20" s="1"/>
  <c r="F747" i="20"/>
  <c r="D747" i="20"/>
  <c r="C747" i="20" a="1"/>
  <c r="C747" i="20" s="1"/>
  <c r="G746" i="20"/>
  <c r="F746" i="20"/>
  <c r="D746" i="20"/>
  <c r="C746" i="20" a="1"/>
  <c r="C746" i="20" s="1"/>
  <c r="G745" i="20"/>
  <c r="H745" i="20" s="1"/>
  <c r="F745" i="20"/>
  <c r="D745" i="20"/>
  <c r="C745" i="20" a="1"/>
  <c r="C745" i="20" s="1"/>
  <c r="G744" i="20"/>
  <c r="F744" i="20"/>
  <c r="D744" i="20"/>
  <c r="C744" i="20" a="1"/>
  <c r="C744" i="20" s="1"/>
  <c r="G743" i="20"/>
  <c r="F743" i="20"/>
  <c r="D743" i="20"/>
  <c r="C743" i="20" a="1"/>
  <c r="C743" i="20" s="1"/>
  <c r="G742" i="20"/>
  <c r="I742" i="20" s="1"/>
  <c r="F742" i="20"/>
  <c r="D742" i="20"/>
  <c r="C742" i="20" a="1"/>
  <c r="C742" i="20" s="1"/>
  <c r="G741" i="20"/>
  <c r="J741" i="20" s="1"/>
  <c r="F741" i="20"/>
  <c r="D741" i="20"/>
  <c r="C741" i="20" a="1"/>
  <c r="C741" i="20" s="1"/>
  <c r="G740" i="20"/>
  <c r="J740" i="20" s="1"/>
  <c r="F740" i="20"/>
  <c r="D740" i="20"/>
  <c r="C740" i="20" a="1"/>
  <c r="C740" i="20" s="1"/>
  <c r="G739" i="20"/>
  <c r="F739" i="20"/>
  <c r="D739" i="20"/>
  <c r="C739" i="20" a="1"/>
  <c r="C739" i="20" s="1"/>
  <c r="G738" i="20"/>
  <c r="I738" i="20" s="1"/>
  <c r="F738" i="20"/>
  <c r="D738" i="20"/>
  <c r="C738" i="20" a="1"/>
  <c r="C738" i="20" s="1"/>
  <c r="G737" i="20"/>
  <c r="F737" i="20"/>
  <c r="D737" i="20"/>
  <c r="C737" i="20" a="1"/>
  <c r="C737" i="20" s="1"/>
  <c r="G736" i="20"/>
  <c r="F736" i="20"/>
  <c r="D736" i="20"/>
  <c r="C736" i="20" a="1"/>
  <c r="C736" i="20" s="1"/>
  <c r="G735" i="20"/>
  <c r="F735" i="20"/>
  <c r="D735" i="20"/>
  <c r="C735" i="20" a="1"/>
  <c r="C735" i="20" s="1"/>
  <c r="G734" i="20"/>
  <c r="I734" i="20" s="1"/>
  <c r="F734" i="20"/>
  <c r="D734" i="20"/>
  <c r="C734" i="20" a="1"/>
  <c r="C734" i="20" s="1"/>
  <c r="G733" i="20"/>
  <c r="F733" i="20"/>
  <c r="D733" i="20"/>
  <c r="C733" i="20" a="1"/>
  <c r="C733" i="20" s="1"/>
  <c r="G732" i="20"/>
  <c r="F732" i="20"/>
  <c r="D732" i="20"/>
  <c r="C732" i="20" a="1"/>
  <c r="C732" i="20" s="1"/>
  <c r="G731" i="20"/>
  <c r="H731" i="20" s="1"/>
  <c r="F731" i="20"/>
  <c r="D731" i="20"/>
  <c r="C731" i="20" a="1"/>
  <c r="C731" i="20" s="1"/>
  <c r="G730" i="20"/>
  <c r="I730" i="20" s="1"/>
  <c r="F730" i="20"/>
  <c r="D730" i="20"/>
  <c r="C730" i="20" a="1"/>
  <c r="C730" i="20" s="1"/>
  <c r="G729" i="20"/>
  <c r="F729" i="20"/>
  <c r="D729" i="20"/>
  <c r="C729" i="20" a="1"/>
  <c r="C729" i="20" s="1"/>
  <c r="G728" i="20"/>
  <c r="F728" i="20"/>
  <c r="D728" i="20"/>
  <c r="C728" i="20" a="1"/>
  <c r="C728" i="20" s="1"/>
  <c r="G727" i="20"/>
  <c r="F727" i="20"/>
  <c r="D727" i="20"/>
  <c r="C727" i="20" a="1"/>
  <c r="C727" i="20" s="1"/>
  <c r="G726" i="20"/>
  <c r="F726" i="20"/>
  <c r="D726" i="20"/>
  <c r="C726" i="20" a="1"/>
  <c r="C726" i="20" s="1"/>
  <c r="G725" i="20"/>
  <c r="J725" i="20" s="1"/>
  <c r="F725" i="20"/>
  <c r="D725" i="20"/>
  <c r="C725" i="20" a="1"/>
  <c r="C725" i="20" s="1"/>
  <c r="G724" i="20"/>
  <c r="F724" i="20"/>
  <c r="D724" i="20"/>
  <c r="C724" i="20" a="1"/>
  <c r="C724" i="20" s="1"/>
  <c r="G723" i="20"/>
  <c r="I723" i="20" s="1"/>
  <c r="F723" i="20"/>
  <c r="D723" i="20"/>
  <c r="C723" i="20" a="1"/>
  <c r="C723" i="20" s="1"/>
  <c r="G722" i="20"/>
  <c r="F722" i="20"/>
  <c r="D722" i="20"/>
  <c r="C722" i="20" a="1"/>
  <c r="C722" i="20" s="1"/>
  <c r="G721" i="20"/>
  <c r="H721" i="20" s="1"/>
  <c r="F721" i="20"/>
  <c r="D721" i="20"/>
  <c r="C721" i="20" a="1"/>
  <c r="C721" i="20" s="1"/>
  <c r="G720" i="20"/>
  <c r="J720" i="20" s="1"/>
  <c r="F720" i="20"/>
  <c r="D720" i="20"/>
  <c r="C720" i="20" a="1"/>
  <c r="C720" i="20" s="1"/>
  <c r="G719" i="20"/>
  <c r="H719" i="20" s="1"/>
  <c r="F719" i="20"/>
  <c r="D719" i="20"/>
  <c r="C719" i="20" a="1"/>
  <c r="C719" i="20" s="1"/>
  <c r="G718" i="20"/>
  <c r="I718" i="20" s="1"/>
  <c r="F718" i="20"/>
  <c r="D718" i="20"/>
  <c r="C718" i="20" a="1"/>
  <c r="C718" i="20" s="1"/>
  <c r="G717" i="20"/>
  <c r="H717" i="20" s="1"/>
  <c r="F717" i="20"/>
  <c r="D717" i="20"/>
  <c r="C717" i="20" a="1"/>
  <c r="C717" i="20" s="1"/>
  <c r="G716" i="20"/>
  <c r="F716" i="20"/>
  <c r="D716" i="20"/>
  <c r="C716" i="20" a="1"/>
  <c r="C716" i="20" s="1"/>
  <c r="G715" i="20"/>
  <c r="F715" i="20"/>
  <c r="D715" i="20"/>
  <c r="C715" i="20" a="1"/>
  <c r="C715" i="20" s="1"/>
  <c r="G714" i="20"/>
  <c r="F714" i="20"/>
  <c r="D714" i="20"/>
  <c r="C714" i="20" a="1"/>
  <c r="C714" i="20" s="1"/>
  <c r="G713" i="20"/>
  <c r="J713" i="20" s="1"/>
  <c r="F713" i="20"/>
  <c r="D713" i="20"/>
  <c r="C713" i="20" a="1"/>
  <c r="C713" i="20" s="1"/>
  <c r="G712" i="20"/>
  <c r="J712" i="20" s="1"/>
  <c r="F712" i="20"/>
  <c r="D712" i="20"/>
  <c r="C712" i="20" a="1"/>
  <c r="C712" i="20" s="1"/>
  <c r="G711" i="20"/>
  <c r="I711" i="20" s="1"/>
  <c r="F711" i="20"/>
  <c r="D711" i="20"/>
  <c r="C711" i="20" a="1"/>
  <c r="C711" i="20" s="1"/>
  <c r="G710" i="20"/>
  <c r="F710" i="20"/>
  <c r="D710" i="20"/>
  <c r="C710" i="20" a="1"/>
  <c r="C710" i="20" s="1"/>
  <c r="G709" i="20"/>
  <c r="J709" i="20" s="1"/>
  <c r="F709" i="20"/>
  <c r="D709" i="20"/>
  <c r="C709" i="20" a="1"/>
  <c r="C709" i="20" s="1"/>
  <c r="G708" i="20"/>
  <c r="F708" i="20"/>
  <c r="D708" i="20"/>
  <c r="C708" i="20" a="1"/>
  <c r="C708" i="20" s="1"/>
  <c r="G707" i="20"/>
  <c r="F707" i="20"/>
  <c r="D707" i="20"/>
  <c r="C707" i="20" a="1"/>
  <c r="C707" i="20" s="1"/>
  <c r="G706" i="20"/>
  <c r="I706" i="20" s="1"/>
  <c r="F706" i="20"/>
  <c r="D706" i="20"/>
  <c r="C706" i="20" a="1"/>
  <c r="C706" i="20" s="1"/>
  <c r="G705" i="20"/>
  <c r="J705" i="20" s="1"/>
  <c r="F705" i="20"/>
  <c r="D705" i="20"/>
  <c r="C705" i="20" a="1"/>
  <c r="C705" i="20" s="1"/>
  <c r="G704" i="20"/>
  <c r="J704" i="20" s="1"/>
  <c r="F704" i="20"/>
  <c r="D704" i="20"/>
  <c r="C704" i="20" a="1"/>
  <c r="C704" i="20" s="1"/>
  <c r="G703" i="20"/>
  <c r="I703" i="20" s="1"/>
  <c r="F703" i="20"/>
  <c r="D703" i="20"/>
  <c r="C703" i="20" a="1"/>
  <c r="C703" i="20" s="1"/>
  <c r="G702" i="20"/>
  <c r="J702" i="20" s="1"/>
  <c r="F702" i="20"/>
  <c r="D702" i="20"/>
  <c r="C702" i="20" a="1"/>
  <c r="C702" i="20" s="1"/>
  <c r="G701" i="20"/>
  <c r="F701" i="20"/>
  <c r="D701" i="20"/>
  <c r="C701" i="20" a="1"/>
  <c r="C701" i="20" s="1"/>
  <c r="G700" i="20"/>
  <c r="F700" i="20"/>
  <c r="D700" i="20"/>
  <c r="C700" i="20" a="1"/>
  <c r="C700" i="20" s="1"/>
  <c r="G699" i="20"/>
  <c r="F699" i="20"/>
  <c r="D699" i="20"/>
  <c r="C699" i="20" a="1"/>
  <c r="C699" i="20" s="1"/>
  <c r="G698" i="20"/>
  <c r="H698" i="20" s="1"/>
  <c r="F698" i="20"/>
  <c r="D698" i="20"/>
  <c r="C698" i="20" a="1"/>
  <c r="C698" i="20" s="1"/>
  <c r="G697" i="20"/>
  <c r="H697" i="20" s="1"/>
  <c r="F697" i="20"/>
  <c r="D697" i="20"/>
  <c r="C697" i="20" a="1"/>
  <c r="C697" i="20" s="1"/>
  <c r="G696" i="20"/>
  <c r="F696" i="20"/>
  <c r="D696" i="20"/>
  <c r="C696" i="20" a="1"/>
  <c r="C696" i="20" s="1"/>
  <c r="G695" i="20"/>
  <c r="F695" i="20"/>
  <c r="D695" i="20"/>
  <c r="C695" i="20" a="1"/>
  <c r="C695" i="20" s="1"/>
  <c r="G694" i="20"/>
  <c r="J694" i="20" s="1"/>
  <c r="F694" i="20"/>
  <c r="D694" i="20"/>
  <c r="C694" i="20" a="1"/>
  <c r="C694" i="20" s="1"/>
  <c r="G693" i="20"/>
  <c r="J693" i="20" s="1"/>
  <c r="F693" i="20"/>
  <c r="D693" i="20"/>
  <c r="C693" i="20" a="1"/>
  <c r="C693" i="20" s="1"/>
  <c r="G692" i="20"/>
  <c r="F692" i="20"/>
  <c r="D692" i="20"/>
  <c r="C692" i="20" a="1"/>
  <c r="C692" i="20" s="1"/>
  <c r="G691" i="20"/>
  <c r="H691" i="20" s="1"/>
  <c r="F691" i="20"/>
  <c r="D691" i="20"/>
  <c r="C691" i="20" a="1"/>
  <c r="C691" i="20" s="1"/>
  <c r="G690" i="20"/>
  <c r="I690" i="20" s="1"/>
  <c r="F690" i="20"/>
  <c r="D690" i="20"/>
  <c r="C690" i="20" a="1"/>
  <c r="C690" i="20" s="1"/>
  <c r="G689" i="20"/>
  <c r="H689" i="20" s="1"/>
  <c r="F689" i="20"/>
  <c r="D689" i="20"/>
  <c r="C689" i="20" a="1"/>
  <c r="C689" i="20" s="1"/>
  <c r="G688" i="20"/>
  <c r="F688" i="20"/>
  <c r="D688" i="20"/>
  <c r="C688" i="20" a="1"/>
  <c r="C688" i="20" s="1"/>
  <c r="G687" i="20"/>
  <c r="I687" i="20" s="1"/>
  <c r="F687" i="20"/>
  <c r="D687" i="20"/>
  <c r="C687" i="20" a="1"/>
  <c r="C687" i="20" s="1"/>
  <c r="G686" i="20"/>
  <c r="J686" i="20" s="1"/>
  <c r="F686" i="20"/>
  <c r="D686" i="20"/>
  <c r="C686" i="20" a="1"/>
  <c r="C686" i="20" s="1"/>
  <c r="G685" i="20"/>
  <c r="J685" i="20" s="1"/>
  <c r="F685" i="20"/>
  <c r="D685" i="20"/>
  <c r="C685" i="20" a="1"/>
  <c r="C685" i="20" s="1"/>
  <c r="G684" i="20"/>
  <c r="J684" i="20" s="1"/>
  <c r="F684" i="20"/>
  <c r="D684" i="20"/>
  <c r="C684" i="20" a="1"/>
  <c r="C684" i="20" s="1"/>
  <c r="G683" i="20"/>
  <c r="F683" i="20"/>
  <c r="D683" i="20"/>
  <c r="C683" i="20" a="1"/>
  <c r="C683" i="20" s="1"/>
  <c r="G682" i="20"/>
  <c r="H682" i="20" s="1"/>
  <c r="F682" i="20"/>
  <c r="D682" i="20"/>
  <c r="C682" i="20" a="1"/>
  <c r="C682" i="20" s="1"/>
  <c r="G681" i="20"/>
  <c r="H681" i="20" s="1"/>
  <c r="F681" i="20"/>
  <c r="D681" i="20"/>
  <c r="C681" i="20" a="1"/>
  <c r="C681" i="20" s="1"/>
  <c r="G680" i="20"/>
  <c r="F680" i="20"/>
  <c r="D680" i="20"/>
  <c r="C680" i="20" a="1"/>
  <c r="C680" i="20" s="1"/>
  <c r="G679" i="20"/>
  <c r="F679" i="20"/>
  <c r="D679" i="20"/>
  <c r="C679" i="20" a="1"/>
  <c r="C679" i="20" s="1"/>
  <c r="G678" i="20"/>
  <c r="H678" i="20" s="1"/>
  <c r="F678" i="20"/>
  <c r="D678" i="20"/>
  <c r="C678" i="20" a="1"/>
  <c r="C678" i="20" s="1"/>
  <c r="G677" i="20"/>
  <c r="J677" i="20" s="1"/>
  <c r="F677" i="20"/>
  <c r="D677" i="20"/>
  <c r="C677" i="20" a="1"/>
  <c r="C677" i="20" s="1"/>
  <c r="G676" i="20"/>
  <c r="J676" i="20" s="1"/>
  <c r="F676" i="20"/>
  <c r="D676" i="20"/>
  <c r="C676" i="20" a="1"/>
  <c r="C676" i="20" s="1"/>
  <c r="G675" i="20"/>
  <c r="F675" i="20"/>
  <c r="D675" i="20"/>
  <c r="C675" i="20" a="1"/>
  <c r="C675" i="20" s="1"/>
  <c r="G674" i="20"/>
  <c r="F674" i="20"/>
  <c r="D674" i="20"/>
  <c r="C674" i="20" a="1"/>
  <c r="C674" i="20" s="1"/>
  <c r="G673" i="20"/>
  <c r="F673" i="20"/>
  <c r="D673" i="20"/>
  <c r="C673" i="20" a="1"/>
  <c r="C673" i="20" s="1"/>
  <c r="G672" i="20"/>
  <c r="M672" i="20" s="1"/>
  <c r="F672" i="20"/>
  <c r="D672" i="20"/>
  <c r="C672" i="20" a="1"/>
  <c r="C672" i="20" s="1"/>
  <c r="G671" i="20"/>
  <c r="F671" i="20"/>
  <c r="D671" i="20"/>
  <c r="C671" i="20" a="1"/>
  <c r="C671" i="20" s="1"/>
  <c r="G670" i="20"/>
  <c r="F670" i="20"/>
  <c r="D670" i="20"/>
  <c r="C670" i="20" a="1"/>
  <c r="C670" i="20" s="1"/>
  <c r="G669" i="20"/>
  <c r="F669" i="20"/>
  <c r="D669" i="20"/>
  <c r="C669" i="20" a="1"/>
  <c r="C669" i="20" s="1"/>
  <c r="G668" i="20"/>
  <c r="F668" i="20"/>
  <c r="D668" i="20"/>
  <c r="C668" i="20" a="1"/>
  <c r="C668" i="20" s="1"/>
  <c r="G667" i="20"/>
  <c r="H667" i="20" s="1"/>
  <c r="F667" i="20"/>
  <c r="D667" i="20"/>
  <c r="C667" i="20" a="1"/>
  <c r="C667" i="20" s="1"/>
  <c r="G666" i="20"/>
  <c r="F666" i="20"/>
  <c r="D666" i="20"/>
  <c r="C666" i="20" a="1"/>
  <c r="C666" i="20" s="1"/>
  <c r="G665" i="20"/>
  <c r="F665" i="20"/>
  <c r="D665" i="20"/>
  <c r="C665" i="20" a="1"/>
  <c r="C665" i="20" s="1"/>
  <c r="G664" i="20"/>
  <c r="F664" i="20"/>
  <c r="D664" i="20"/>
  <c r="C664" i="20" a="1"/>
  <c r="C664" i="20" s="1"/>
  <c r="G663" i="20"/>
  <c r="H663" i="20" s="1"/>
  <c r="F663" i="20"/>
  <c r="D663" i="20"/>
  <c r="C663" i="20" a="1"/>
  <c r="C663" i="20" s="1"/>
  <c r="G662" i="20"/>
  <c r="F662" i="20"/>
  <c r="D662" i="20"/>
  <c r="C662" i="20" a="1"/>
  <c r="C662" i="20" s="1"/>
  <c r="G661" i="20"/>
  <c r="F661" i="20"/>
  <c r="D661" i="20"/>
  <c r="C661" i="20" a="1"/>
  <c r="C661" i="20" s="1"/>
  <c r="G660" i="20"/>
  <c r="F660" i="20"/>
  <c r="D660" i="20"/>
  <c r="C660" i="20" a="1"/>
  <c r="C660" i="20" s="1"/>
  <c r="G659" i="20"/>
  <c r="F659" i="20"/>
  <c r="D659" i="20"/>
  <c r="C659" i="20" a="1"/>
  <c r="C659" i="20" s="1"/>
  <c r="G658" i="20"/>
  <c r="F658" i="20"/>
  <c r="D658" i="20"/>
  <c r="C658" i="20" a="1"/>
  <c r="C658" i="20" s="1"/>
  <c r="G657" i="20"/>
  <c r="J657" i="20" s="1"/>
  <c r="F657" i="20"/>
  <c r="D657" i="20"/>
  <c r="C657" i="20" a="1"/>
  <c r="C657" i="20" s="1"/>
  <c r="G656" i="20"/>
  <c r="J656" i="20" s="1"/>
  <c r="F656" i="20"/>
  <c r="D656" i="20"/>
  <c r="C656" i="20" a="1"/>
  <c r="C656" i="20" s="1"/>
  <c r="G655" i="20"/>
  <c r="I655" i="20" s="1"/>
  <c r="F655" i="20"/>
  <c r="D655" i="20"/>
  <c r="C655" i="20" a="1"/>
  <c r="C655" i="20" s="1"/>
  <c r="G654" i="20"/>
  <c r="H654" i="20" s="1"/>
  <c r="F654" i="20"/>
  <c r="D654" i="20"/>
  <c r="C654" i="20" a="1"/>
  <c r="C654" i="20" s="1"/>
  <c r="G653" i="20"/>
  <c r="H653" i="20" s="1"/>
  <c r="F653" i="20"/>
  <c r="D653" i="20"/>
  <c r="C653" i="20" a="1"/>
  <c r="C653" i="20" s="1"/>
  <c r="G652" i="20"/>
  <c r="F652" i="20"/>
  <c r="D652" i="20"/>
  <c r="C652" i="20" a="1"/>
  <c r="C652" i="20" s="1"/>
  <c r="G651" i="20"/>
  <c r="F651" i="20"/>
  <c r="D651" i="20"/>
  <c r="C651" i="20" a="1"/>
  <c r="C651" i="20" s="1"/>
  <c r="G650" i="20"/>
  <c r="I650" i="20" s="1"/>
  <c r="F650" i="20"/>
  <c r="D650" i="20"/>
  <c r="C650" i="20" a="1"/>
  <c r="C650" i="20" s="1"/>
  <c r="G649" i="20"/>
  <c r="F649" i="20"/>
  <c r="D649" i="20"/>
  <c r="C649" i="20" a="1"/>
  <c r="C649" i="20" s="1"/>
  <c r="G648" i="20"/>
  <c r="J648" i="20" s="1"/>
  <c r="F648" i="20"/>
  <c r="D648" i="20"/>
  <c r="C648" i="20" a="1"/>
  <c r="C648" i="20" s="1"/>
  <c r="G647" i="20"/>
  <c r="I647" i="20" s="1"/>
  <c r="F647" i="20"/>
  <c r="D647" i="20"/>
  <c r="C647" i="20" a="1"/>
  <c r="C647" i="20" s="1"/>
  <c r="G646" i="20"/>
  <c r="F646" i="20"/>
  <c r="D646" i="20"/>
  <c r="C646" i="20" a="1"/>
  <c r="C646" i="20" s="1"/>
  <c r="G645" i="20"/>
  <c r="F645" i="20"/>
  <c r="D645" i="20"/>
  <c r="C645" i="20" a="1"/>
  <c r="C645" i="20" s="1"/>
  <c r="G644" i="20"/>
  <c r="J644" i="20" s="1"/>
  <c r="F644" i="20"/>
  <c r="D644" i="20"/>
  <c r="C644" i="20" a="1"/>
  <c r="C644" i="20" s="1"/>
  <c r="G643" i="20"/>
  <c r="F643" i="20"/>
  <c r="D643" i="20"/>
  <c r="C643" i="20" a="1"/>
  <c r="C643" i="20" s="1"/>
  <c r="G642" i="20"/>
  <c r="F642" i="20"/>
  <c r="D642" i="20"/>
  <c r="C642" i="20" a="1"/>
  <c r="C642" i="20" s="1"/>
  <c r="G641" i="20"/>
  <c r="F641" i="20"/>
  <c r="D641" i="20"/>
  <c r="C641" i="20" a="1"/>
  <c r="C641" i="20" s="1"/>
  <c r="G640" i="20"/>
  <c r="I640" i="20" s="1"/>
  <c r="F640" i="20"/>
  <c r="D640" i="20"/>
  <c r="C640" i="20" a="1"/>
  <c r="C640" i="20" s="1"/>
  <c r="G639" i="20"/>
  <c r="J639" i="20" s="1"/>
  <c r="F639" i="20"/>
  <c r="D639" i="20"/>
  <c r="C639" i="20" a="1"/>
  <c r="C639" i="20" s="1"/>
  <c r="G638" i="20"/>
  <c r="J638" i="20" s="1"/>
  <c r="F638" i="20"/>
  <c r="D638" i="20"/>
  <c r="C638" i="20" a="1"/>
  <c r="C638" i="20" s="1"/>
  <c r="G637" i="20"/>
  <c r="F637" i="20"/>
  <c r="D637" i="20"/>
  <c r="C637" i="20" a="1"/>
  <c r="C637" i="20" s="1"/>
  <c r="G636" i="20"/>
  <c r="F636" i="20"/>
  <c r="D636" i="20"/>
  <c r="C636" i="20" a="1"/>
  <c r="C636" i="20" s="1"/>
  <c r="G635" i="20"/>
  <c r="F635" i="20"/>
  <c r="D635" i="20"/>
  <c r="C635" i="20" a="1"/>
  <c r="C635" i="20" s="1"/>
  <c r="G634" i="20"/>
  <c r="H634" i="20" s="1"/>
  <c r="F634" i="20"/>
  <c r="D634" i="20"/>
  <c r="C634" i="20" a="1"/>
  <c r="C634" i="20" s="1"/>
  <c r="G633" i="20"/>
  <c r="F633" i="20"/>
  <c r="D633" i="20"/>
  <c r="C633" i="20" a="1"/>
  <c r="C633" i="20" s="1"/>
  <c r="G632" i="20"/>
  <c r="F632" i="20"/>
  <c r="D632" i="20"/>
  <c r="C632" i="20" a="1"/>
  <c r="C632" i="20" s="1"/>
  <c r="G631" i="20"/>
  <c r="F631" i="20"/>
  <c r="D631" i="20"/>
  <c r="C631" i="20" a="1"/>
  <c r="C631" i="20" s="1"/>
  <c r="G630" i="20"/>
  <c r="H630" i="20" s="1"/>
  <c r="F630" i="20"/>
  <c r="D630" i="20"/>
  <c r="C630" i="20" a="1"/>
  <c r="C630" i="20" s="1"/>
  <c r="G629" i="20"/>
  <c r="F629" i="20"/>
  <c r="D629" i="20"/>
  <c r="C629" i="20" a="1"/>
  <c r="C629" i="20" s="1"/>
  <c r="G628" i="20"/>
  <c r="F628" i="20"/>
  <c r="D628" i="20"/>
  <c r="C628" i="20" a="1"/>
  <c r="C628" i="20" s="1"/>
  <c r="G627" i="20"/>
  <c r="F627" i="20"/>
  <c r="D627" i="20"/>
  <c r="C627" i="20" a="1"/>
  <c r="C627" i="20" s="1"/>
  <c r="G626" i="20"/>
  <c r="J626" i="20" s="1"/>
  <c r="F626" i="20"/>
  <c r="D626" i="20"/>
  <c r="C626" i="20" a="1"/>
  <c r="C626" i="20" s="1"/>
  <c r="G625" i="20"/>
  <c r="F625" i="20"/>
  <c r="D625" i="20"/>
  <c r="C625" i="20" a="1"/>
  <c r="C625" i="20" s="1"/>
  <c r="G624" i="20"/>
  <c r="I624" i="20" s="1"/>
  <c r="F624" i="20"/>
  <c r="D624" i="20"/>
  <c r="C624" i="20" a="1"/>
  <c r="C624" i="20" s="1"/>
  <c r="G623" i="20"/>
  <c r="I623" i="20" s="1"/>
  <c r="F623" i="20"/>
  <c r="D623" i="20"/>
  <c r="C623" i="20" a="1"/>
  <c r="C623" i="20" s="1"/>
  <c r="G622" i="20"/>
  <c r="F622" i="20"/>
  <c r="D622" i="20"/>
  <c r="C622" i="20" a="1"/>
  <c r="C622" i="20" s="1"/>
  <c r="G621" i="20"/>
  <c r="H621" i="20" s="1"/>
  <c r="F621" i="20"/>
  <c r="D621" i="20"/>
  <c r="C621" i="20" a="1"/>
  <c r="C621" i="20" s="1"/>
  <c r="G620" i="20"/>
  <c r="J620" i="20" s="1"/>
  <c r="F620" i="20"/>
  <c r="D620" i="20"/>
  <c r="C620" i="20" a="1"/>
  <c r="C620" i="20" s="1"/>
  <c r="G619" i="20"/>
  <c r="F619" i="20"/>
  <c r="D619" i="20"/>
  <c r="C619" i="20" a="1"/>
  <c r="C619" i="20" s="1"/>
  <c r="G618" i="20"/>
  <c r="I618" i="20" s="1"/>
  <c r="F618" i="20"/>
  <c r="D618" i="20"/>
  <c r="C618" i="20" a="1"/>
  <c r="C618" i="20" s="1"/>
  <c r="G617" i="20"/>
  <c r="H617" i="20" s="1"/>
  <c r="F617" i="20"/>
  <c r="D617" i="20"/>
  <c r="C617" i="20" a="1"/>
  <c r="C617" i="20" s="1"/>
  <c r="G616" i="20"/>
  <c r="F616" i="20"/>
  <c r="D616" i="20"/>
  <c r="C616" i="20" a="1"/>
  <c r="C616" i="20" s="1"/>
  <c r="G615" i="20"/>
  <c r="I615" i="20" s="1"/>
  <c r="F615" i="20"/>
  <c r="D615" i="20"/>
  <c r="C615" i="20" a="1"/>
  <c r="C615" i="20" s="1"/>
  <c r="G614" i="20"/>
  <c r="F614" i="20"/>
  <c r="D614" i="20"/>
  <c r="C614" i="20" a="1"/>
  <c r="C614" i="20" s="1"/>
  <c r="G613" i="20"/>
  <c r="H613" i="20" s="1"/>
  <c r="F613" i="20"/>
  <c r="D613" i="20"/>
  <c r="C613" i="20" a="1"/>
  <c r="C613" i="20" s="1"/>
  <c r="G612" i="20"/>
  <c r="F612" i="20"/>
  <c r="D612" i="20"/>
  <c r="C612" i="20" a="1"/>
  <c r="C612" i="20" s="1"/>
  <c r="G611" i="20"/>
  <c r="I611" i="20" s="1"/>
  <c r="F611" i="20"/>
  <c r="D611" i="20"/>
  <c r="C611" i="20" a="1"/>
  <c r="C611" i="20" s="1"/>
  <c r="G610" i="20"/>
  <c r="F610" i="20"/>
  <c r="D610" i="20"/>
  <c r="C610" i="20" a="1"/>
  <c r="C610" i="20" s="1"/>
  <c r="G609" i="20"/>
  <c r="H609" i="20" s="1"/>
  <c r="F609" i="20"/>
  <c r="D609" i="20"/>
  <c r="C609" i="20" a="1"/>
  <c r="C609" i="20" s="1"/>
  <c r="G608" i="20"/>
  <c r="F608" i="20"/>
  <c r="D608" i="20"/>
  <c r="C608" i="20" a="1"/>
  <c r="C608" i="20" s="1"/>
  <c r="G607" i="20"/>
  <c r="I607" i="20" s="1"/>
  <c r="F607" i="20"/>
  <c r="D607" i="20"/>
  <c r="C607" i="20" a="1"/>
  <c r="C607" i="20" s="1"/>
  <c r="G606" i="20"/>
  <c r="F606" i="20"/>
  <c r="D606" i="20"/>
  <c r="C606" i="20" a="1"/>
  <c r="C606" i="20" s="1"/>
  <c r="G605" i="20"/>
  <c r="H605" i="20" s="1"/>
  <c r="F605" i="20"/>
  <c r="D605" i="20"/>
  <c r="C605" i="20" a="1"/>
  <c r="C605" i="20" s="1"/>
  <c r="G604" i="20"/>
  <c r="I604" i="20" s="1"/>
  <c r="F604" i="20"/>
  <c r="D604" i="20"/>
  <c r="C604" i="20" a="1"/>
  <c r="C604" i="20" s="1"/>
  <c r="G603" i="20"/>
  <c r="F603" i="20"/>
  <c r="D603" i="20"/>
  <c r="C603" i="20" a="1"/>
  <c r="C603" i="20" s="1"/>
  <c r="G602" i="20"/>
  <c r="F602" i="20"/>
  <c r="D602" i="20"/>
  <c r="C602" i="20" a="1"/>
  <c r="C602" i="20" s="1"/>
  <c r="G601" i="20"/>
  <c r="H601" i="20" s="1"/>
  <c r="F601" i="20"/>
  <c r="D601" i="20"/>
  <c r="C601" i="20" a="1"/>
  <c r="C601" i="20" s="1"/>
  <c r="G600" i="20"/>
  <c r="I600" i="20" s="1"/>
  <c r="F600" i="20"/>
  <c r="D600" i="20"/>
  <c r="C600" i="20" a="1"/>
  <c r="C600" i="20" s="1"/>
  <c r="G599" i="20"/>
  <c r="I599" i="20" s="1"/>
  <c r="F599" i="20"/>
  <c r="D599" i="20"/>
  <c r="C599" i="20" a="1"/>
  <c r="C599" i="20" s="1"/>
  <c r="G598" i="20"/>
  <c r="F598" i="20"/>
  <c r="D598" i="20"/>
  <c r="C598" i="20" a="1"/>
  <c r="C598" i="20" s="1"/>
  <c r="G597" i="20"/>
  <c r="H597" i="20" s="1"/>
  <c r="F597" i="20"/>
  <c r="D597" i="20"/>
  <c r="C597" i="20" a="1"/>
  <c r="C597" i="20" s="1"/>
  <c r="G596" i="20"/>
  <c r="I596" i="20" s="1"/>
  <c r="F596" i="20"/>
  <c r="D596" i="20"/>
  <c r="C596" i="20" a="1"/>
  <c r="C596" i="20" s="1"/>
  <c r="G595" i="20"/>
  <c r="I595" i="20" s="1"/>
  <c r="F595" i="20"/>
  <c r="D595" i="20"/>
  <c r="C595" i="20" a="1"/>
  <c r="C595" i="20" s="1"/>
  <c r="G594" i="20"/>
  <c r="F594" i="20"/>
  <c r="D594" i="20"/>
  <c r="C594" i="20" a="1"/>
  <c r="C594" i="20" s="1"/>
  <c r="G593" i="20"/>
  <c r="H593" i="20" s="1"/>
  <c r="F593" i="20"/>
  <c r="D593" i="20"/>
  <c r="C593" i="20" a="1"/>
  <c r="C593" i="20" s="1"/>
  <c r="G592" i="20"/>
  <c r="I592" i="20" s="1"/>
  <c r="F592" i="20"/>
  <c r="D592" i="20"/>
  <c r="C592" i="20" a="1"/>
  <c r="C592" i="20" s="1"/>
  <c r="G591" i="20"/>
  <c r="I591" i="20" s="1"/>
  <c r="F591" i="20"/>
  <c r="D591" i="20"/>
  <c r="C591" i="20" a="1"/>
  <c r="C591" i="20" s="1"/>
  <c r="G590" i="20"/>
  <c r="F590" i="20"/>
  <c r="D590" i="20"/>
  <c r="C590" i="20" a="1"/>
  <c r="C590" i="20" s="1"/>
  <c r="G589" i="20"/>
  <c r="H589" i="20" s="1"/>
  <c r="F589" i="20"/>
  <c r="D589" i="20"/>
  <c r="C589" i="20" a="1"/>
  <c r="C589" i="20" s="1"/>
  <c r="G588" i="20"/>
  <c r="I588" i="20" s="1"/>
  <c r="F588" i="20"/>
  <c r="D588" i="20"/>
  <c r="C588" i="20" a="1"/>
  <c r="C588" i="20" s="1"/>
  <c r="G587" i="20"/>
  <c r="F587" i="20"/>
  <c r="D587" i="20"/>
  <c r="C587" i="20" a="1"/>
  <c r="C587" i="20" s="1"/>
  <c r="G586" i="20"/>
  <c r="F586" i="20"/>
  <c r="D586" i="20"/>
  <c r="C586" i="20" a="1"/>
  <c r="C586" i="20" s="1"/>
  <c r="G585" i="20"/>
  <c r="H585" i="20" s="1"/>
  <c r="F585" i="20"/>
  <c r="D585" i="20"/>
  <c r="C585" i="20" a="1"/>
  <c r="C585" i="20" s="1"/>
  <c r="G584" i="20"/>
  <c r="F584" i="20"/>
  <c r="D584" i="20"/>
  <c r="C584" i="20" a="1"/>
  <c r="C584" i="20" s="1"/>
  <c r="G583" i="20"/>
  <c r="I583" i="20" s="1"/>
  <c r="F583" i="20"/>
  <c r="D583" i="20"/>
  <c r="C583" i="20" a="1"/>
  <c r="C583" i="20" s="1"/>
  <c r="G582" i="20"/>
  <c r="F582" i="20"/>
  <c r="D582" i="20"/>
  <c r="C582" i="20" a="1"/>
  <c r="C582" i="20" s="1"/>
  <c r="G581" i="20"/>
  <c r="H581" i="20" s="1"/>
  <c r="F581" i="20"/>
  <c r="D581" i="20"/>
  <c r="C581" i="20" a="1"/>
  <c r="C581" i="20" s="1"/>
  <c r="G580" i="20"/>
  <c r="I580" i="20" s="1"/>
  <c r="F580" i="20"/>
  <c r="D580" i="20"/>
  <c r="C580" i="20" a="1"/>
  <c r="C580" i="20" s="1"/>
  <c r="G579" i="20"/>
  <c r="I579" i="20" s="1"/>
  <c r="F579" i="20"/>
  <c r="D579" i="20"/>
  <c r="C579" i="20" a="1"/>
  <c r="C579" i="20" s="1"/>
  <c r="G578" i="20"/>
  <c r="F578" i="20"/>
  <c r="D578" i="20"/>
  <c r="C578" i="20" a="1"/>
  <c r="C578" i="20" s="1"/>
  <c r="G577" i="20"/>
  <c r="H577" i="20" s="1"/>
  <c r="F577" i="20"/>
  <c r="D577" i="20"/>
  <c r="C577" i="20" a="1"/>
  <c r="C577" i="20" s="1"/>
  <c r="G576" i="20"/>
  <c r="I576" i="20" s="1"/>
  <c r="F576" i="20"/>
  <c r="D576" i="20"/>
  <c r="C576" i="20" a="1"/>
  <c r="C576" i="20" s="1"/>
  <c r="G575" i="20"/>
  <c r="I575" i="20" s="1"/>
  <c r="F575" i="20"/>
  <c r="D575" i="20"/>
  <c r="C575" i="20" a="1"/>
  <c r="C575" i="20" s="1"/>
  <c r="G574" i="20"/>
  <c r="F574" i="20"/>
  <c r="D574" i="20"/>
  <c r="C574" i="20" a="1"/>
  <c r="C574" i="20" s="1"/>
  <c r="G573" i="20"/>
  <c r="H573" i="20" s="1"/>
  <c r="F573" i="20"/>
  <c r="D573" i="20"/>
  <c r="C573" i="20" a="1"/>
  <c r="C573" i="20" s="1"/>
  <c r="G572" i="20"/>
  <c r="I572" i="20" s="1"/>
  <c r="F572" i="20"/>
  <c r="D572" i="20"/>
  <c r="C572" i="20" a="1"/>
  <c r="C572" i="20" s="1"/>
  <c r="G571" i="20"/>
  <c r="F571" i="20"/>
  <c r="D571" i="20"/>
  <c r="C571" i="20" a="1"/>
  <c r="C571" i="20" s="1"/>
  <c r="G570" i="20"/>
  <c r="F570" i="20"/>
  <c r="D570" i="20"/>
  <c r="C570" i="20" a="1"/>
  <c r="C570" i="20" s="1"/>
  <c r="G569" i="20"/>
  <c r="H569" i="20" s="1"/>
  <c r="F569" i="20"/>
  <c r="D569" i="20"/>
  <c r="C569" i="20" a="1"/>
  <c r="C569" i="20" s="1"/>
  <c r="G568" i="20"/>
  <c r="I568" i="20" s="1"/>
  <c r="F568" i="20"/>
  <c r="D568" i="20"/>
  <c r="C568" i="20" a="1"/>
  <c r="C568" i="20" s="1"/>
  <c r="G567" i="20"/>
  <c r="I567" i="20" s="1"/>
  <c r="F567" i="20"/>
  <c r="D567" i="20"/>
  <c r="C567" i="20" a="1"/>
  <c r="C567" i="20" s="1"/>
  <c r="G566" i="20"/>
  <c r="F566" i="20"/>
  <c r="D566" i="20"/>
  <c r="C566" i="20" a="1"/>
  <c r="C566" i="20" s="1"/>
  <c r="G565" i="20"/>
  <c r="H565" i="20" s="1"/>
  <c r="F565" i="20"/>
  <c r="D565" i="20"/>
  <c r="C565" i="20" a="1"/>
  <c r="C565" i="20" s="1"/>
  <c r="G564" i="20"/>
  <c r="I564" i="20" s="1"/>
  <c r="F564" i="20"/>
  <c r="D564" i="20"/>
  <c r="C564" i="20" a="1"/>
  <c r="C564" i="20" s="1"/>
  <c r="G563" i="20"/>
  <c r="I563" i="20" s="1"/>
  <c r="F563" i="20"/>
  <c r="D563" i="20"/>
  <c r="C563" i="20" a="1"/>
  <c r="C563" i="20" s="1"/>
  <c r="G562" i="20"/>
  <c r="F562" i="20"/>
  <c r="D562" i="20"/>
  <c r="C562" i="20" a="1"/>
  <c r="C562" i="20" s="1"/>
  <c r="G561" i="20"/>
  <c r="H561" i="20" s="1"/>
  <c r="F561" i="20"/>
  <c r="D561" i="20"/>
  <c r="C561" i="20" a="1"/>
  <c r="C561" i="20" s="1"/>
  <c r="G560" i="20"/>
  <c r="I560" i="20" s="1"/>
  <c r="F560" i="20"/>
  <c r="D560" i="20"/>
  <c r="C560" i="20" a="1"/>
  <c r="C560" i="20" s="1"/>
  <c r="G559" i="20"/>
  <c r="I559" i="20" s="1"/>
  <c r="F559" i="20"/>
  <c r="D559" i="20"/>
  <c r="C559" i="20" a="1"/>
  <c r="C559" i="20" s="1"/>
  <c r="G558" i="20"/>
  <c r="F558" i="20"/>
  <c r="D558" i="20"/>
  <c r="C558" i="20" a="1"/>
  <c r="C558" i="20" s="1"/>
  <c r="G557" i="20"/>
  <c r="H557" i="20" s="1"/>
  <c r="F557" i="20"/>
  <c r="D557" i="20"/>
  <c r="C557" i="20" a="1"/>
  <c r="C557" i="20" s="1"/>
  <c r="G556" i="20"/>
  <c r="I556" i="20" s="1"/>
  <c r="F556" i="20"/>
  <c r="D556" i="20"/>
  <c r="C556" i="20" a="1"/>
  <c r="C556" i="20" s="1"/>
  <c r="G555" i="20"/>
  <c r="F555" i="20"/>
  <c r="D555" i="20"/>
  <c r="C555" i="20" a="1"/>
  <c r="C555" i="20" s="1"/>
  <c r="G554" i="20"/>
  <c r="F554" i="20"/>
  <c r="D554" i="20"/>
  <c r="C554" i="20" a="1"/>
  <c r="C554" i="20" s="1"/>
  <c r="G553" i="20"/>
  <c r="F553" i="20"/>
  <c r="D553" i="20"/>
  <c r="C553" i="20" a="1"/>
  <c r="C553" i="20" s="1"/>
  <c r="G552" i="20"/>
  <c r="F552" i="20"/>
  <c r="D552" i="20"/>
  <c r="C552" i="20" a="1"/>
  <c r="C552" i="20" s="1"/>
  <c r="G551" i="20"/>
  <c r="F551" i="20"/>
  <c r="D551" i="20"/>
  <c r="C551" i="20" a="1"/>
  <c r="C551" i="20" s="1"/>
  <c r="G550" i="20"/>
  <c r="H550" i="20" s="1"/>
  <c r="F550" i="20"/>
  <c r="D550" i="20"/>
  <c r="C550" i="20" a="1"/>
  <c r="C550" i="20" s="1"/>
  <c r="G549" i="20"/>
  <c r="H549" i="20" s="1"/>
  <c r="F549" i="20"/>
  <c r="D549" i="20"/>
  <c r="C549" i="20" a="1"/>
  <c r="C549" i="20" s="1"/>
  <c r="G548" i="20"/>
  <c r="F548" i="20"/>
  <c r="D548" i="20"/>
  <c r="C548" i="20" a="1"/>
  <c r="C548" i="20" s="1"/>
  <c r="G547" i="20"/>
  <c r="I547" i="20" s="1"/>
  <c r="F547" i="20"/>
  <c r="D547" i="20"/>
  <c r="C547" i="20" a="1"/>
  <c r="C547" i="20" s="1"/>
  <c r="G546" i="20"/>
  <c r="H546" i="20" s="1"/>
  <c r="F546" i="20"/>
  <c r="D546" i="20"/>
  <c r="C546" i="20" a="1"/>
  <c r="C546" i="20" s="1"/>
  <c r="G545" i="20"/>
  <c r="H545" i="20" s="1"/>
  <c r="F545" i="20"/>
  <c r="D545" i="20"/>
  <c r="C545" i="20" a="1"/>
  <c r="C545" i="20" s="1"/>
  <c r="G544" i="20"/>
  <c r="F544" i="20"/>
  <c r="D544" i="20"/>
  <c r="C544" i="20" a="1"/>
  <c r="C544" i="20" s="1"/>
  <c r="G543" i="20"/>
  <c r="I543" i="20" s="1"/>
  <c r="F543" i="20"/>
  <c r="D543" i="20"/>
  <c r="C543" i="20" a="1"/>
  <c r="C543" i="20" s="1"/>
  <c r="G542" i="20"/>
  <c r="H542" i="20" s="1"/>
  <c r="F542" i="20"/>
  <c r="D542" i="20"/>
  <c r="C542" i="20" a="1"/>
  <c r="C542" i="20" s="1"/>
  <c r="G541" i="20"/>
  <c r="F541" i="20"/>
  <c r="D541" i="20"/>
  <c r="C541" i="20" a="1"/>
  <c r="C541" i="20" s="1"/>
  <c r="G540" i="20"/>
  <c r="H540" i="20" s="1"/>
  <c r="F540" i="20"/>
  <c r="D540" i="20"/>
  <c r="C540" i="20" a="1"/>
  <c r="C540" i="20" s="1"/>
  <c r="G539" i="20"/>
  <c r="F539" i="20"/>
  <c r="D539" i="20"/>
  <c r="C539" i="20" a="1"/>
  <c r="C539" i="20" s="1"/>
  <c r="G538" i="20"/>
  <c r="F538" i="20"/>
  <c r="D538" i="20"/>
  <c r="C538" i="20" a="1"/>
  <c r="C538" i="20" s="1"/>
  <c r="G537" i="20"/>
  <c r="F537" i="20"/>
  <c r="D537" i="20"/>
  <c r="C537" i="20" a="1"/>
  <c r="C537" i="20" s="1"/>
  <c r="G536" i="20"/>
  <c r="F536" i="20"/>
  <c r="D536" i="20"/>
  <c r="C536" i="20" a="1"/>
  <c r="C536" i="20" s="1"/>
  <c r="G535" i="20"/>
  <c r="F535" i="20"/>
  <c r="D535" i="20"/>
  <c r="C535" i="20" a="1"/>
  <c r="C535" i="20" s="1"/>
  <c r="G534" i="20"/>
  <c r="F534" i="20"/>
  <c r="D534" i="20"/>
  <c r="C534" i="20" a="1"/>
  <c r="C534" i="20" s="1"/>
  <c r="G533" i="20"/>
  <c r="F533" i="20"/>
  <c r="D533" i="20"/>
  <c r="C533" i="20" a="1"/>
  <c r="C533" i="20" s="1"/>
  <c r="G532" i="20"/>
  <c r="F532" i="20"/>
  <c r="D532" i="20"/>
  <c r="C532" i="20" a="1"/>
  <c r="C532" i="20" s="1"/>
  <c r="G531" i="20"/>
  <c r="I531" i="20" s="1"/>
  <c r="F531" i="20"/>
  <c r="D531" i="20"/>
  <c r="C531" i="20" a="1"/>
  <c r="C531" i="20" s="1"/>
  <c r="G530" i="20"/>
  <c r="F530" i="20"/>
  <c r="D530" i="20"/>
  <c r="C530" i="20" a="1"/>
  <c r="C530" i="20" s="1"/>
  <c r="G529" i="20"/>
  <c r="H529" i="20" s="1"/>
  <c r="F529" i="20"/>
  <c r="D529" i="20"/>
  <c r="C529" i="20" a="1"/>
  <c r="C529" i="20" s="1"/>
  <c r="G528" i="20"/>
  <c r="I528" i="20" s="1"/>
  <c r="F528" i="20"/>
  <c r="D528" i="20"/>
  <c r="C528" i="20" a="1"/>
  <c r="C528" i="20" s="1"/>
  <c r="G527" i="20"/>
  <c r="J527" i="20" s="1"/>
  <c r="F527" i="20"/>
  <c r="D527" i="20"/>
  <c r="C527" i="20" a="1"/>
  <c r="C527" i="20" s="1"/>
  <c r="G526" i="20"/>
  <c r="I526" i="20" s="1"/>
  <c r="F526" i="20"/>
  <c r="D526" i="20"/>
  <c r="C526" i="20" a="1"/>
  <c r="C526" i="20" s="1"/>
  <c r="G525" i="20"/>
  <c r="H525" i="20" s="1"/>
  <c r="F525" i="20"/>
  <c r="D525" i="20"/>
  <c r="C525" i="20" a="1"/>
  <c r="C525" i="20" s="1"/>
  <c r="G524" i="20"/>
  <c r="J524" i="20" s="1"/>
  <c r="F524" i="20"/>
  <c r="D524" i="20"/>
  <c r="C524" i="20" a="1"/>
  <c r="C524" i="20" s="1"/>
  <c r="G523" i="20"/>
  <c r="F523" i="20"/>
  <c r="D523" i="20"/>
  <c r="C523" i="20" a="1"/>
  <c r="C523" i="20" s="1"/>
  <c r="G522" i="20"/>
  <c r="F522" i="20"/>
  <c r="D522" i="20"/>
  <c r="C522" i="20" a="1"/>
  <c r="C522" i="20" s="1"/>
  <c r="G521" i="20"/>
  <c r="F521" i="20"/>
  <c r="D521" i="20"/>
  <c r="C521" i="20" a="1"/>
  <c r="C521" i="20" s="1"/>
  <c r="G520" i="20"/>
  <c r="F520" i="20"/>
  <c r="D520" i="20"/>
  <c r="C520" i="20" a="1"/>
  <c r="C520" i="20" s="1"/>
  <c r="G519" i="20"/>
  <c r="I519" i="20" s="1"/>
  <c r="F519" i="20"/>
  <c r="D519" i="20"/>
  <c r="C519" i="20" a="1"/>
  <c r="C519" i="20" s="1"/>
  <c r="G518" i="20"/>
  <c r="F518" i="20"/>
  <c r="D518" i="20"/>
  <c r="C518" i="20" a="1"/>
  <c r="C518" i="20" s="1"/>
  <c r="G517" i="20"/>
  <c r="H517" i="20" s="1"/>
  <c r="F517" i="20"/>
  <c r="D517" i="20"/>
  <c r="C517" i="20" a="1"/>
  <c r="C517" i="20" s="1"/>
  <c r="G516" i="20"/>
  <c r="F516" i="20"/>
  <c r="D516" i="20"/>
  <c r="C516" i="20" a="1"/>
  <c r="C516" i="20" s="1"/>
  <c r="G515" i="20"/>
  <c r="F515" i="20"/>
  <c r="D515" i="20"/>
  <c r="C515" i="20" a="1"/>
  <c r="C515" i="20" s="1"/>
  <c r="G514" i="20"/>
  <c r="I514" i="20" s="1"/>
  <c r="F514" i="20"/>
  <c r="D514" i="20"/>
  <c r="C514" i="20" a="1"/>
  <c r="C514" i="20" s="1"/>
  <c r="G513" i="20"/>
  <c r="F513" i="20"/>
  <c r="D513" i="20"/>
  <c r="C513" i="20" a="1"/>
  <c r="C513" i="20" s="1"/>
  <c r="G512" i="20"/>
  <c r="H512" i="20" s="1"/>
  <c r="F512" i="20"/>
  <c r="D512" i="20"/>
  <c r="C512" i="20" a="1"/>
  <c r="C512" i="20" s="1"/>
  <c r="G511" i="20"/>
  <c r="F511" i="20"/>
  <c r="D511" i="20"/>
  <c r="C511" i="20" a="1"/>
  <c r="C511" i="20" s="1"/>
  <c r="G510" i="20"/>
  <c r="F510" i="20"/>
  <c r="D510" i="20"/>
  <c r="C510" i="20" a="1"/>
  <c r="C510" i="20" s="1"/>
  <c r="G509" i="20"/>
  <c r="F509" i="20"/>
  <c r="D509" i="20"/>
  <c r="C509" i="20" a="1"/>
  <c r="C509" i="20" s="1"/>
  <c r="G508" i="20"/>
  <c r="F508" i="20"/>
  <c r="D508" i="20"/>
  <c r="C508" i="20" a="1"/>
  <c r="C508" i="20" s="1"/>
  <c r="G507" i="20"/>
  <c r="F507" i="20"/>
  <c r="D507" i="20"/>
  <c r="C507" i="20" a="1"/>
  <c r="C507" i="20" s="1"/>
  <c r="G506" i="20"/>
  <c r="F506" i="20"/>
  <c r="D506" i="20"/>
  <c r="C506" i="20" a="1"/>
  <c r="C506" i="20" s="1"/>
  <c r="G505" i="20"/>
  <c r="F505" i="20"/>
  <c r="D505" i="20"/>
  <c r="C505" i="20" a="1"/>
  <c r="C505" i="20" s="1"/>
  <c r="G504" i="20"/>
  <c r="F504" i="20"/>
  <c r="D504" i="20"/>
  <c r="C504" i="20" a="1"/>
  <c r="C504" i="20" s="1"/>
  <c r="G503" i="20"/>
  <c r="F503" i="20"/>
  <c r="D503" i="20"/>
  <c r="C503" i="20" a="1"/>
  <c r="C503" i="20" s="1"/>
  <c r="G502" i="20"/>
  <c r="I502" i="20" s="1"/>
  <c r="F502" i="20"/>
  <c r="D502" i="20"/>
  <c r="C502" i="20" a="1"/>
  <c r="C502" i="20" s="1"/>
  <c r="G501" i="20"/>
  <c r="F501" i="20"/>
  <c r="D501" i="20"/>
  <c r="C501" i="20" a="1"/>
  <c r="C501" i="20" s="1"/>
  <c r="G500" i="20"/>
  <c r="F500" i="20"/>
  <c r="D500" i="20"/>
  <c r="C500" i="20" a="1"/>
  <c r="C500" i="20" s="1"/>
  <c r="G499" i="20"/>
  <c r="F499" i="20"/>
  <c r="D499" i="20"/>
  <c r="C499" i="20" a="1"/>
  <c r="C499" i="20" s="1"/>
  <c r="G498" i="20"/>
  <c r="I498" i="20" s="1"/>
  <c r="F498" i="20"/>
  <c r="D498" i="20"/>
  <c r="C498" i="20" a="1"/>
  <c r="C498" i="20" s="1"/>
  <c r="G497" i="20"/>
  <c r="F497" i="20"/>
  <c r="D497" i="20"/>
  <c r="C497" i="20" a="1"/>
  <c r="C497" i="20" s="1"/>
  <c r="G496" i="20"/>
  <c r="J496" i="20" s="1"/>
  <c r="F496" i="20"/>
  <c r="D496" i="20"/>
  <c r="C496" i="20" a="1"/>
  <c r="C496" i="20" s="1"/>
  <c r="G495" i="20"/>
  <c r="I495" i="20" s="1"/>
  <c r="F495" i="20"/>
  <c r="D495" i="20"/>
  <c r="C495" i="20" a="1"/>
  <c r="C495" i="20" s="1"/>
  <c r="G494" i="20"/>
  <c r="I494" i="20" s="1"/>
  <c r="F494" i="20"/>
  <c r="D494" i="20"/>
  <c r="C494" i="20" a="1"/>
  <c r="C494" i="20" s="1"/>
  <c r="G493" i="20"/>
  <c r="H493" i="20" s="1"/>
  <c r="F493" i="20"/>
  <c r="D493" i="20"/>
  <c r="C493" i="20" a="1"/>
  <c r="C493" i="20" s="1"/>
  <c r="G492" i="20"/>
  <c r="F492" i="20"/>
  <c r="D492" i="20"/>
  <c r="C492" i="20" a="1"/>
  <c r="C492" i="20" s="1"/>
  <c r="G491" i="20"/>
  <c r="F491" i="20"/>
  <c r="D491" i="20"/>
  <c r="C491" i="20" a="1"/>
  <c r="C491" i="20" s="1"/>
  <c r="G490" i="20"/>
  <c r="I490" i="20" s="1"/>
  <c r="F490" i="20"/>
  <c r="D490" i="20"/>
  <c r="C490" i="20" a="1"/>
  <c r="C490" i="20" s="1"/>
  <c r="G489" i="20"/>
  <c r="H489" i="20" s="1"/>
  <c r="F489" i="20"/>
  <c r="D489" i="20"/>
  <c r="C489" i="20" a="1"/>
  <c r="C489" i="20" s="1"/>
  <c r="G488" i="20"/>
  <c r="F488" i="20"/>
  <c r="D488" i="20"/>
  <c r="C488" i="20" a="1"/>
  <c r="C488" i="20" s="1"/>
  <c r="G487" i="20"/>
  <c r="F487" i="20"/>
  <c r="D487" i="20"/>
  <c r="C487" i="20" a="1"/>
  <c r="C487" i="20" s="1"/>
  <c r="G486" i="20"/>
  <c r="F486" i="20"/>
  <c r="D486" i="20"/>
  <c r="C486" i="20" a="1"/>
  <c r="C486" i="20" s="1"/>
  <c r="G485" i="20"/>
  <c r="F485" i="20"/>
  <c r="D485" i="20"/>
  <c r="C485" i="20" a="1"/>
  <c r="C485" i="20" s="1"/>
  <c r="G484" i="20"/>
  <c r="F484" i="20"/>
  <c r="D484" i="20"/>
  <c r="C484" i="20" a="1"/>
  <c r="C484" i="20" s="1"/>
  <c r="G483" i="20"/>
  <c r="F483" i="20"/>
  <c r="D483" i="20"/>
  <c r="C483" i="20" a="1"/>
  <c r="C483" i="20" s="1"/>
  <c r="G482" i="20"/>
  <c r="F482" i="20"/>
  <c r="D482" i="20"/>
  <c r="C482" i="20" a="1"/>
  <c r="C482" i="20" s="1"/>
  <c r="G481" i="20"/>
  <c r="H481" i="20" s="1"/>
  <c r="F481" i="20"/>
  <c r="D481" i="20"/>
  <c r="C481" i="20" a="1"/>
  <c r="C481" i="20" s="1"/>
  <c r="G480" i="20"/>
  <c r="I480" i="20" s="1"/>
  <c r="F480" i="20"/>
  <c r="D480" i="20"/>
  <c r="C480" i="20" a="1"/>
  <c r="C480" i="20" s="1"/>
  <c r="G479" i="20"/>
  <c r="I479" i="20" s="1"/>
  <c r="F479" i="20"/>
  <c r="D479" i="20"/>
  <c r="C479" i="20" a="1"/>
  <c r="C479" i="20" s="1"/>
  <c r="G478" i="20"/>
  <c r="I478" i="20" s="1"/>
  <c r="F478" i="20"/>
  <c r="C478" i="20" a="1"/>
  <c r="C478" i="20" s="1"/>
  <c r="G477" i="20"/>
  <c r="H477" i="20" s="1"/>
  <c r="F477" i="20"/>
  <c r="C477" i="20" a="1"/>
  <c r="C477" i="20" s="1"/>
  <c r="G476" i="20"/>
  <c r="H476" i="20" s="1"/>
  <c r="F476" i="20"/>
  <c r="C476" i="20" a="1"/>
  <c r="C476" i="20" s="1"/>
  <c r="G475" i="20"/>
  <c r="I475" i="20" s="1"/>
  <c r="F475" i="20"/>
  <c r="C475" i="20" a="1"/>
  <c r="C475" i="20" s="1"/>
  <c r="G474" i="20"/>
  <c r="J474" i="20" s="1"/>
  <c r="F474" i="20"/>
  <c r="C474" i="20" a="1"/>
  <c r="C474" i="20" s="1"/>
  <c r="G473" i="20"/>
  <c r="J473" i="20" s="1"/>
  <c r="F473" i="20"/>
  <c r="C473" i="20" a="1"/>
  <c r="C473" i="20" s="1"/>
  <c r="G472" i="20"/>
  <c r="F472" i="20"/>
  <c r="C472" i="20" a="1"/>
  <c r="C472" i="20" s="1"/>
  <c r="G471" i="20"/>
  <c r="H471" i="20" s="1"/>
  <c r="F471" i="20"/>
  <c r="C471" i="20" a="1"/>
  <c r="C471" i="20" s="1"/>
  <c r="G470" i="20"/>
  <c r="F470" i="20"/>
  <c r="C470" i="20" a="1"/>
  <c r="C470" i="20" s="1"/>
  <c r="G469" i="20"/>
  <c r="J469" i="20" s="1"/>
  <c r="F469" i="20"/>
  <c r="C469" i="20" a="1"/>
  <c r="C469" i="20" s="1"/>
  <c r="G468" i="20"/>
  <c r="I468" i="20" s="1"/>
  <c r="F468" i="20"/>
  <c r="C468" i="20" a="1"/>
  <c r="C468" i="20" s="1"/>
  <c r="G467" i="20"/>
  <c r="J467" i="20" s="1"/>
  <c r="F467" i="20"/>
  <c r="C467" i="20" a="1"/>
  <c r="C467" i="20" s="1"/>
  <c r="G466" i="20"/>
  <c r="J466" i="20" s="1"/>
  <c r="F466" i="20"/>
  <c r="C466" i="20" a="1"/>
  <c r="C466" i="20" s="1"/>
  <c r="G465" i="20"/>
  <c r="H465" i="20" s="1"/>
  <c r="F465" i="20"/>
  <c r="C465" i="20" a="1"/>
  <c r="C465" i="20" s="1"/>
  <c r="G464" i="20"/>
  <c r="F464" i="20"/>
  <c r="C464" i="20" a="1"/>
  <c r="C464" i="20" s="1"/>
  <c r="G463" i="20"/>
  <c r="J463" i="20" s="1"/>
  <c r="F463" i="20"/>
  <c r="C463" i="20" a="1"/>
  <c r="C463" i="20" s="1"/>
  <c r="G462" i="20"/>
  <c r="F462" i="20"/>
  <c r="C462" i="20" a="1"/>
  <c r="C462" i="20" s="1"/>
  <c r="G461" i="20"/>
  <c r="F461" i="20"/>
  <c r="C461" i="20" a="1"/>
  <c r="C461" i="20" s="1"/>
  <c r="G460" i="20"/>
  <c r="I460" i="20" s="1"/>
  <c r="F460" i="20"/>
  <c r="C460" i="20" a="1"/>
  <c r="C460" i="20" s="1"/>
  <c r="G459" i="20"/>
  <c r="F459" i="20"/>
  <c r="C459" i="20" a="1"/>
  <c r="C459" i="20" s="1"/>
  <c r="G458" i="20"/>
  <c r="I458" i="20" s="1"/>
  <c r="F458" i="20"/>
  <c r="C458" i="20" a="1"/>
  <c r="C458" i="20" s="1"/>
  <c r="G457" i="20"/>
  <c r="I457" i="20" s="1"/>
  <c r="F457" i="20"/>
  <c r="C457" i="20" a="1"/>
  <c r="C457" i="20" s="1"/>
  <c r="G456" i="20"/>
  <c r="F456" i="20"/>
  <c r="C456" i="20" a="1"/>
  <c r="C456" i="20" s="1"/>
  <c r="G455" i="20"/>
  <c r="J455" i="20" s="1"/>
  <c r="F455" i="20"/>
  <c r="C455" i="20" a="1"/>
  <c r="C455" i="20" s="1"/>
  <c r="G454" i="20"/>
  <c r="J454" i="20" s="1"/>
  <c r="F454" i="20"/>
  <c r="C454" i="20" a="1"/>
  <c r="C454" i="20" s="1"/>
  <c r="G453" i="20"/>
  <c r="J453" i="20" s="1"/>
  <c r="F453" i="20"/>
  <c r="C453" i="20" a="1"/>
  <c r="C453" i="20" s="1"/>
  <c r="G452" i="20"/>
  <c r="J452" i="20" s="1"/>
  <c r="F452" i="20"/>
  <c r="C452" i="20" a="1"/>
  <c r="C452" i="20" s="1"/>
  <c r="G451" i="20"/>
  <c r="H451" i="20" s="1"/>
  <c r="F451" i="20"/>
  <c r="C451" i="20" a="1"/>
  <c r="C451" i="20" s="1"/>
  <c r="G450" i="20"/>
  <c r="F450" i="20"/>
  <c r="C450" i="20" a="1"/>
  <c r="C450" i="20" s="1"/>
  <c r="G449" i="20"/>
  <c r="F449" i="20"/>
  <c r="C449" i="20" a="1"/>
  <c r="C449" i="20" s="1"/>
  <c r="G448" i="20"/>
  <c r="F448" i="20"/>
  <c r="C448" i="20" a="1"/>
  <c r="C448" i="20" s="1"/>
  <c r="G447" i="20"/>
  <c r="F447" i="20"/>
  <c r="C447" i="20" a="1"/>
  <c r="C447" i="20" s="1"/>
  <c r="G446" i="20"/>
  <c r="F446" i="20"/>
  <c r="C446" i="20" a="1"/>
  <c r="C446" i="20" s="1"/>
  <c r="G445" i="20"/>
  <c r="I445" i="20" s="1"/>
  <c r="F445" i="20"/>
  <c r="C445" i="20" a="1"/>
  <c r="C445" i="20" s="1"/>
  <c r="G444" i="20"/>
  <c r="H444" i="20" s="1"/>
  <c r="F444" i="20"/>
  <c r="C444" i="20" a="1"/>
  <c r="C444" i="20" s="1"/>
  <c r="G443" i="20"/>
  <c r="F443" i="20"/>
  <c r="C443" i="20" a="1"/>
  <c r="C443" i="20" s="1"/>
  <c r="G442" i="20"/>
  <c r="I442" i="20" s="1"/>
  <c r="F442" i="20"/>
  <c r="C442" i="20" a="1"/>
  <c r="C442" i="20" s="1"/>
  <c r="G441" i="20"/>
  <c r="F441" i="20"/>
  <c r="C441" i="20" a="1"/>
  <c r="C441" i="20" s="1"/>
  <c r="G440" i="20"/>
  <c r="J440" i="20" s="1"/>
  <c r="F440" i="20"/>
  <c r="C440" i="20" a="1"/>
  <c r="C440" i="20" s="1"/>
  <c r="G439" i="20"/>
  <c r="F439" i="20"/>
  <c r="C439" i="20" a="1"/>
  <c r="C439" i="20" s="1"/>
  <c r="G438" i="20"/>
  <c r="F438" i="20"/>
  <c r="C438" i="20" a="1"/>
  <c r="C438" i="20" s="1"/>
  <c r="G437" i="20"/>
  <c r="F437" i="20"/>
  <c r="C437" i="20" a="1"/>
  <c r="C437" i="20" s="1"/>
  <c r="G436" i="20"/>
  <c r="F436" i="20"/>
  <c r="C436" i="20" a="1"/>
  <c r="C436" i="20" s="1"/>
  <c r="G435" i="20"/>
  <c r="H435" i="20" s="1"/>
  <c r="F435" i="20"/>
  <c r="C435" i="20" a="1"/>
  <c r="C435" i="20" s="1"/>
  <c r="G434" i="20"/>
  <c r="H434" i="20" s="1"/>
  <c r="F434" i="20"/>
  <c r="C434" i="20" a="1"/>
  <c r="C434" i="20" s="1"/>
  <c r="G433" i="20"/>
  <c r="F433" i="20"/>
  <c r="C433" i="20" a="1"/>
  <c r="C433" i="20" s="1"/>
  <c r="G432" i="20"/>
  <c r="F432" i="20"/>
  <c r="C432" i="20" a="1"/>
  <c r="C432" i="20" s="1"/>
  <c r="G431" i="20"/>
  <c r="H431" i="20" s="1"/>
  <c r="F431" i="20"/>
  <c r="C431" i="20" a="1"/>
  <c r="C431" i="20" s="1"/>
  <c r="G430" i="20"/>
  <c r="F430" i="20"/>
  <c r="C430" i="20" a="1"/>
  <c r="C430" i="20" s="1"/>
  <c r="G429" i="20"/>
  <c r="F429" i="20"/>
  <c r="C429" i="20" a="1"/>
  <c r="C429" i="20" s="1"/>
  <c r="G428" i="20"/>
  <c r="F428" i="20"/>
  <c r="C428" i="20" a="1"/>
  <c r="C428" i="20" s="1"/>
  <c r="G427" i="20"/>
  <c r="F427" i="20"/>
  <c r="C427" i="20" a="1"/>
  <c r="C427" i="20" s="1"/>
  <c r="G426" i="20"/>
  <c r="H426" i="20" s="1"/>
  <c r="F426" i="20"/>
  <c r="C426" i="20" a="1"/>
  <c r="C426" i="20" s="1"/>
  <c r="G425" i="20"/>
  <c r="F425" i="20"/>
  <c r="C425" i="20" a="1"/>
  <c r="C425" i="20" s="1"/>
  <c r="G424" i="20"/>
  <c r="F424" i="20"/>
  <c r="C424" i="20" a="1"/>
  <c r="C424" i="20" s="1"/>
  <c r="G423" i="20"/>
  <c r="J423" i="20" s="1"/>
  <c r="F423" i="20"/>
  <c r="C423" i="20" a="1"/>
  <c r="C423" i="20" s="1"/>
  <c r="G422" i="20"/>
  <c r="F422" i="20"/>
  <c r="C422" i="20" a="1"/>
  <c r="C422" i="20" s="1"/>
  <c r="G421" i="20"/>
  <c r="H421" i="20" s="1"/>
  <c r="F421" i="20"/>
  <c r="C421" i="20" a="1"/>
  <c r="C421" i="20" s="1"/>
  <c r="G420" i="20"/>
  <c r="F420" i="20"/>
  <c r="C420" i="20" a="1"/>
  <c r="C420" i="20" s="1"/>
  <c r="G419" i="20"/>
  <c r="H419" i="20" s="1"/>
  <c r="F419" i="20"/>
  <c r="C419" i="20" a="1"/>
  <c r="C419" i="20" s="1"/>
  <c r="G418" i="20"/>
  <c r="I418" i="20" s="1"/>
  <c r="F418" i="20"/>
  <c r="C418" i="20" a="1"/>
  <c r="C418" i="20" s="1"/>
  <c r="G417" i="20"/>
  <c r="J417" i="20" s="1"/>
  <c r="F417" i="20"/>
  <c r="C417" i="20" a="1"/>
  <c r="C417" i="20" s="1"/>
  <c r="G416" i="20"/>
  <c r="J416" i="20" s="1"/>
  <c r="F416" i="20"/>
  <c r="C416" i="20" a="1"/>
  <c r="C416" i="20" s="1"/>
  <c r="G415" i="20"/>
  <c r="F415" i="20"/>
  <c r="C415" i="20" a="1"/>
  <c r="C415" i="20" s="1"/>
  <c r="G414" i="20"/>
  <c r="F414" i="20"/>
  <c r="C414" i="20" a="1"/>
  <c r="C414" i="20" s="1"/>
  <c r="G413" i="20"/>
  <c r="H413" i="20" s="1"/>
  <c r="F413" i="20"/>
  <c r="C413" i="20" a="1"/>
  <c r="C413" i="20" s="1"/>
  <c r="G412" i="20"/>
  <c r="F412" i="20"/>
  <c r="C412" i="20" a="1"/>
  <c r="C412" i="20" s="1"/>
  <c r="G411" i="20"/>
  <c r="F411" i="20"/>
  <c r="C411" i="20" a="1"/>
  <c r="C411" i="20" s="1"/>
  <c r="G410" i="20"/>
  <c r="F410" i="20"/>
  <c r="C410" i="20" a="1"/>
  <c r="C410" i="20" s="1"/>
  <c r="G409" i="20"/>
  <c r="F409" i="20"/>
  <c r="C409" i="20" a="1"/>
  <c r="C409" i="20" s="1"/>
  <c r="G408" i="20"/>
  <c r="F408" i="20"/>
  <c r="C408" i="20" a="1"/>
  <c r="C408" i="20" s="1"/>
  <c r="G407" i="20"/>
  <c r="J407" i="20" s="1"/>
  <c r="F407" i="20"/>
  <c r="C407" i="20" a="1"/>
  <c r="C407" i="20" s="1"/>
  <c r="G406" i="20"/>
  <c r="F406" i="20"/>
  <c r="C406" i="20" a="1"/>
  <c r="C406" i="20" s="1"/>
  <c r="G405" i="20"/>
  <c r="H405" i="20" s="1"/>
  <c r="F405" i="20"/>
  <c r="C405" i="20" a="1"/>
  <c r="C405" i="20" s="1"/>
  <c r="G404" i="20"/>
  <c r="F404" i="20"/>
  <c r="C404" i="20" a="1"/>
  <c r="C404" i="20" s="1"/>
  <c r="G403" i="20"/>
  <c r="F403" i="20"/>
  <c r="C403" i="20" a="1"/>
  <c r="C403" i="20" s="1"/>
  <c r="G402" i="20"/>
  <c r="I402" i="20" s="1"/>
  <c r="F402" i="20"/>
  <c r="C402" i="20" a="1"/>
  <c r="C402" i="20" s="1"/>
  <c r="G401" i="20"/>
  <c r="I401" i="20" s="1"/>
  <c r="F401" i="20"/>
  <c r="C401" i="20" a="1"/>
  <c r="C401" i="20" s="1"/>
  <c r="G400" i="20"/>
  <c r="F400" i="20"/>
  <c r="C400" i="20" a="1"/>
  <c r="C400" i="20" s="1"/>
  <c r="G399" i="20"/>
  <c r="J399" i="20" s="1"/>
  <c r="F399" i="20"/>
  <c r="C399" i="20" a="1"/>
  <c r="C399" i="20" s="1"/>
  <c r="G398" i="20"/>
  <c r="F398" i="20"/>
  <c r="C398" i="20" a="1"/>
  <c r="C398" i="20" s="1"/>
  <c r="G397" i="20"/>
  <c r="F397" i="20"/>
  <c r="C397" i="20" a="1"/>
  <c r="C397" i="20" s="1"/>
  <c r="G396" i="20"/>
  <c r="F396" i="20"/>
  <c r="C396" i="20" a="1"/>
  <c r="C396" i="20" s="1"/>
  <c r="G395" i="20"/>
  <c r="F395" i="20"/>
  <c r="C395" i="20" a="1"/>
  <c r="C395" i="20" s="1"/>
  <c r="G394" i="20"/>
  <c r="I394" i="20" s="1"/>
  <c r="F394" i="20"/>
  <c r="C394" i="20" a="1"/>
  <c r="C394" i="20" s="1"/>
  <c r="G393" i="20"/>
  <c r="J393" i="20" s="1"/>
  <c r="F393" i="20"/>
  <c r="C393" i="20" a="1"/>
  <c r="C393" i="20" s="1"/>
  <c r="G392" i="20"/>
  <c r="F392" i="20"/>
  <c r="C392" i="20" a="1"/>
  <c r="C392" i="20" s="1"/>
  <c r="G391" i="20"/>
  <c r="J391" i="20" s="1"/>
  <c r="F391" i="20"/>
  <c r="C391" i="20" a="1"/>
  <c r="C391" i="20" s="1"/>
  <c r="G390" i="20"/>
  <c r="F390" i="20"/>
  <c r="C390" i="20" a="1"/>
  <c r="C390" i="20" s="1"/>
  <c r="G389" i="20"/>
  <c r="H389" i="20" s="1"/>
  <c r="F389" i="20"/>
  <c r="C389" i="20" a="1"/>
  <c r="C389" i="20" s="1"/>
  <c r="G388" i="20"/>
  <c r="F388" i="20"/>
  <c r="C388" i="20" a="1"/>
  <c r="C388" i="20" s="1"/>
  <c r="G387" i="20"/>
  <c r="F387" i="20"/>
  <c r="C387" i="20" a="1"/>
  <c r="C387" i="20" s="1"/>
  <c r="G386" i="20"/>
  <c r="I386" i="20" s="1"/>
  <c r="F386" i="20"/>
  <c r="C386" i="20" a="1"/>
  <c r="C386" i="20" s="1"/>
  <c r="G385" i="20"/>
  <c r="J385" i="20" s="1"/>
  <c r="F385" i="20"/>
  <c r="C385" i="20" a="1"/>
  <c r="C385" i="20" s="1"/>
  <c r="G384" i="20"/>
  <c r="I384" i="20" s="1"/>
  <c r="F384" i="20"/>
  <c r="C384" i="20" a="1"/>
  <c r="C384" i="20" s="1"/>
  <c r="G383" i="20"/>
  <c r="H383" i="20" s="1"/>
  <c r="F383" i="20"/>
  <c r="C383" i="20" a="1"/>
  <c r="C383" i="20" s="1"/>
  <c r="G382" i="20"/>
  <c r="F382" i="20"/>
  <c r="C382" i="20" a="1"/>
  <c r="C382" i="20" s="1"/>
  <c r="G381" i="20"/>
  <c r="F381" i="20"/>
  <c r="C381" i="20" a="1"/>
  <c r="C381" i="20" s="1"/>
  <c r="G380" i="20"/>
  <c r="F380" i="20"/>
  <c r="C380" i="20" a="1"/>
  <c r="C380" i="20" s="1"/>
  <c r="G379" i="20"/>
  <c r="F379" i="20"/>
  <c r="C379" i="20" a="1"/>
  <c r="C379" i="20" s="1"/>
  <c r="G378" i="20"/>
  <c r="I378" i="20" s="1"/>
  <c r="F378" i="20"/>
  <c r="C378" i="20" a="1"/>
  <c r="C378" i="20" s="1"/>
  <c r="G377" i="20"/>
  <c r="H377" i="20" s="1"/>
  <c r="F377" i="20"/>
  <c r="C377" i="20" a="1"/>
  <c r="C377" i="20" s="1"/>
  <c r="G376" i="20"/>
  <c r="F376" i="20"/>
  <c r="C376" i="20" a="1"/>
  <c r="C376" i="20" s="1"/>
  <c r="G375" i="20"/>
  <c r="F375" i="20"/>
  <c r="C375" i="20" a="1"/>
  <c r="C375" i="20" s="1"/>
  <c r="G374" i="20"/>
  <c r="F374" i="20"/>
  <c r="C374" i="20" a="1"/>
  <c r="C374" i="20" s="1"/>
  <c r="G373" i="20"/>
  <c r="F373" i="20"/>
  <c r="C373" i="20" a="1"/>
  <c r="C373" i="20" s="1"/>
  <c r="G372" i="20"/>
  <c r="F372" i="20"/>
  <c r="C372" i="20" a="1"/>
  <c r="C372" i="20" s="1"/>
  <c r="G371" i="20"/>
  <c r="H371" i="20" s="1"/>
  <c r="F371" i="20"/>
  <c r="C371" i="20" a="1"/>
  <c r="C371" i="20" s="1"/>
  <c r="G370" i="20"/>
  <c r="H370" i="20" s="1"/>
  <c r="F370" i="20"/>
  <c r="C370" i="20" a="1"/>
  <c r="C370" i="20" s="1"/>
  <c r="G369" i="20"/>
  <c r="F369" i="20"/>
  <c r="C369" i="20" a="1"/>
  <c r="C369" i="20" s="1"/>
  <c r="G368" i="20"/>
  <c r="J368" i="20" s="1"/>
  <c r="F368" i="20"/>
  <c r="C368" i="20" a="1"/>
  <c r="C368" i="20" s="1"/>
  <c r="G367" i="20"/>
  <c r="J367" i="20" s="1"/>
  <c r="F367" i="20"/>
  <c r="C367" i="20" a="1"/>
  <c r="C367" i="20" s="1"/>
  <c r="G366" i="20"/>
  <c r="F366" i="20"/>
  <c r="C366" i="20" a="1"/>
  <c r="C366" i="20" s="1"/>
  <c r="G365" i="20"/>
  <c r="F365" i="20"/>
  <c r="C365" i="20" a="1"/>
  <c r="C365" i="20" s="1"/>
  <c r="G364" i="20"/>
  <c r="F364" i="20"/>
  <c r="C364" i="20" a="1"/>
  <c r="C364" i="20" s="1"/>
  <c r="G363" i="20"/>
  <c r="F363" i="20"/>
  <c r="C363" i="20" a="1"/>
  <c r="C363" i="20" s="1"/>
  <c r="G362" i="20"/>
  <c r="H362" i="20" s="1"/>
  <c r="F362" i="20"/>
  <c r="C362" i="20" a="1"/>
  <c r="C362" i="20" s="1"/>
  <c r="G361" i="20"/>
  <c r="F361" i="20"/>
  <c r="C361" i="20" a="1"/>
  <c r="C361" i="20" s="1"/>
  <c r="G360" i="20"/>
  <c r="I360" i="20" s="1"/>
  <c r="F360" i="20"/>
  <c r="C360" i="20" a="1"/>
  <c r="C360" i="20" s="1"/>
  <c r="G359" i="20"/>
  <c r="J359" i="20" s="1"/>
  <c r="F359" i="20"/>
  <c r="C359" i="20" a="1"/>
  <c r="C359" i="20" s="1"/>
  <c r="G358" i="20"/>
  <c r="F358" i="20"/>
  <c r="C358" i="20" a="1"/>
  <c r="C358" i="20" s="1"/>
  <c r="G357" i="20"/>
  <c r="F357" i="20"/>
  <c r="C357" i="20" a="1"/>
  <c r="C357" i="20" s="1"/>
  <c r="G356" i="20"/>
  <c r="F356" i="20"/>
  <c r="C356" i="20" a="1"/>
  <c r="C356" i="20" s="1"/>
  <c r="G355" i="20"/>
  <c r="H355" i="20" s="1"/>
  <c r="F355" i="20"/>
  <c r="C355" i="20" a="1"/>
  <c r="C355" i="20" s="1"/>
  <c r="G354" i="20"/>
  <c r="I354" i="20" s="1"/>
  <c r="F354" i="20"/>
  <c r="C354" i="20" a="1"/>
  <c r="C354" i="20" s="1"/>
  <c r="G353" i="20"/>
  <c r="F353" i="20"/>
  <c r="C353" i="20" a="1"/>
  <c r="C353" i="20" s="1"/>
  <c r="G352" i="20"/>
  <c r="J352" i="20" s="1"/>
  <c r="F352" i="20"/>
  <c r="C352" i="20" a="1"/>
  <c r="C352" i="20" s="1"/>
  <c r="G351" i="20"/>
  <c r="H351" i="20" s="1"/>
  <c r="F351" i="20"/>
  <c r="C351" i="20" a="1"/>
  <c r="C351" i="20" s="1"/>
  <c r="G350" i="20"/>
  <c r="F350" i="20"/>
  <c r="C350" i="20" a="1"/>
  <c r="C350" i="20" s="1"/>
  <c r="G349" i="20"/>
  <c r="F349" i="20"/>
  <c r="C349" i="20" a="1"/>
  <c r="C349" i="20" s="1"/>
  <c r="G348" i="20"/>
  <c r="F348" i="20"/>
  <c r="C348" i="20" a="1"/>
  <c r="C348" i="20" s="1"/>
  <c r="G347" i="20"/>
  <c r="F347" i="20"/>
  <c r="C347" i="20" a="1"/>
  <c r="C347" i="20" s="1"/>
  <c r="G346" i="20"/>
  <c r="H346" i="20" s="1"/>
  <c r="F346" i="20"/>
  <c r="C346" i="20" a="1"/>
  <c r="C346" i="20" s="1"/>
  <c r="G345" i="20"/>
  <c r="F345" i="20"/>
  <c r="C345" i="20" a="1"/>
  <c r="C345" i="20" s="1"/>
  <c r="G344" i="20"/>
  <c r="I344" i="20" s="1"/>
  <c r="F344" i="20"/>
  <c r="C344" i="20" a="1"/>
  <c r="C344" i="20" s="1"/>
  <c r="G343" i="20"/>
  <c r="J343" i="20" s="1"/>
  <c r="F343" i="20"/>
  <c r="C343" i="20" a="1"/>
  <c r="C343" i="20" s="1"/>
  <c r="G342" i="20"/>
  <c r="F342" i="20"/>
  <c r="C342" i="20" a="1"/>
  <c r="C342" i="20" s="1"/>
  <c r="G341" i="20"/>
  <c r="H341" i="20" s="1"/>
  <c r="F341" i="20"/>
  <c r="C341" i="20" a="1"/>
  <c r="C341" i="20" s="1"/>
  <c r="G340" i="20"/>
  <c r="F340" i="20"/>
  <c r="C340" i="20" a="1"/>
  <c r="C340" i="20" s="1"/>
  <c r="G339" i="20"/>
  <c r="F339" i="20"/>
  <c r="C339" i="20" a="1"/>
  <c r="C339" i="20" s="1"/>
  <c r="G338" i="20"/>
  <c r="I338" i="20" s="1"/>
  <c r="F338" i="20"/>
  <c r="C338" i="20" a="1"/>
  <c r="C338" i="20" s="1"/>
  <c r="G337" i="20"/>
  <c r="I337" i="20" s="1"/>
  <c r="F337" i="20"/>
  <c r="C337" i="20" a="1"/>
  <c r="C337" i="20" s="1"/>
  <c r="G336" i="20"/>
  <c r="I336" i="20" s="1"/>
  <c r="F336" i="20"/>
  <c r="C336" i="20" a="1"/>
  <c r="C336" i="20" s="1"/>
  <c r="G335" i="20"/>
  <c r="I335" i="20" s="1"/>
  <c r="F335" i="20"/>
  <c r="C335" i="20" a="1"/>
  <c r="C335" i="20" s="1"/>
  <c r="G334" i="20"/>
  <c r="F334" i="20"/>
  <c r="C334" i="20" a="1"/>
  <c r="C334" i="20" s="1"/>
  <c r="G333" i="20"/>
  <c r="H333" i="20" s="1"/>
  <c r="F333" i="20"/>
  <c r="C333" i="20" a="1"/>
  <c r="C333" i="20" s="1"/>
  <c r="G332" i="20"/>
  <c r="F332" i="20"/>
  <c r="C332" i="20" a="1"/>
  <c r="C332" i="20" s="1"/>
  <c r="G331" i="20"/>
  <c r="F331" i="20"/>
  <c r="C331" i="20" a="1"/>
  <c r="C331" i="20" s="1"/>
  <c r="G330" i="20"/>
  <c r="H330" i="20" s="1"/>
  <c r="F330" i="20"/>
  <c r="C330" i="20" a="1"/>
  <c r="C330" i="20" s="1"/>
  <c r="G329" i="20"/>
  <c r="J329" i="20" s="1"/>
  <c r="F329" i="20"/>
  <c r="C329" i="20" a="1"/>
  <c r="C329" i="20" s="1"/>
  <c r="G328" i="20"/>
  <c r="J328" i="20" s="1"/>
  <c r="F328" i="20"/>
  <c r="C328" i="20" a="1"/>
  <c r="C328" i="20" s="1"/>
  <c r="G327" i="20"/>
  <c r="H327" i="20" s="1"/>
  <c r="F327" i="20"/>
  <c r="C327" i="20" a="1"/>
  <c r="C327" i="20" s="1"/>
  <c r="G326" i="20"/>
  <c r="F326" i="20"/>
  <c r="C326" i="20" a="1"/>
  <c r="C326" i="20" s="1"/>
  <c r="G325" i="20"/>
  <c r="F325" i="20"/>
  <c r="C325" i="20" a="1"/>
  <c r="C325" i="20" s="1"/>
  <c r="G324" i="20"/>
  <c r="F324" i="20"/>
  <c r="C324" i="20" a="1"/>
  <c r="C324" i="20" s="1"/>
  <c r="G323" i="20"/>
  <c r="F323" i="20"/>
  <c r="C323" i="20" a="1"/>
  <c r="C323" i="20" s="1"/>
  <c r="G322" i="20"/>
  <c r="J322" i="20" s="1"/>
  <c r="F322" i="20"/>
  <c r="C322" i="20" a="1"/>
  <c r="C322" i="20" s="1"/>
  <c r="G321" i="20"/>
  <c r="J321" i="20" s="1"/>
  <c r="F321" i="20"/>
  <c r="C321" i="20" a="1"/>
  <c r="C321" i="20" s="1"/>
  <c r="G320" i="20"/>
  <c r="I320" i="20" s="1"/>
  <c r="F320" i="20"/>
  <c r="C320" i="20" a="1"/>
  <c r="C320" i="20" s="1"/>
  <c r="G319" i="20"/>
  <c r="J319" i="20" s="1"/>
  <c r="F319" i="20"/>
  <c r="C319" i="20" a="1"/>
  <c r="C319" i="20" s="1"/>
  <c r="G318" i="20"/>
  <c r="F318" i="20"/>
  <c r="C318" i="20" a="1"/>
  <c r="C318" i="20" s="1"/>
  <c r="G317" i="20"/>
  <c r="F317" i="20"/>
  <c r="C317" i="20" a="1"/>
  <c r="C317" i="20" s="1"/>
  <c r="G316" i="20"/>
  <c r="F316" i="20"/>
  <c r="C316" i="20" a="1"/>
  <c r="C316" i="20" s="1"/>
  <c r="G315" i="20"/>
  <c r="F315" i="20"/>
  <c r="C315" i="20" a="1"/>
  <c r="C315" i="20" s="1"/>
  <c r="G314" i="20"/>
  <c r="J314" i="20" s="1"/>
  <c r="F314" i="20"/>
  <c r="C314" i="20" a="1"/>
  <c r="C314" i="20" s="1"/>
  <c r="G313" i="20"/>
  <c r="J313" i="20" s="1"/>
  <c r="F313" i="20"/>
  <c r="C313" i="20" a="1"/>
  <c r="C313" i="20" s="1"/>
  <c r="G312" i="20"/>
  <c r="H312" i="20" s="1"/>
  <c r="F312" i="20"/>
  <c r="C312" i="20" a="1"/>
  <c r="C312" i="20" s="1"/>
  <c r="G311" i="20"/>
  <c r="J311" i="20" s="1"/>
  <c r="F311" i="20"/>
  <c r="C311" i="20" a="1"/>
  <c r="C311" i="20" s="1"/>
  <c r="G310" i="20"/>
  <c r="F310" i="20"/>
  <c r="C310" i="20" a="1"/>
  <c r="C310" i="20" s="1"/>
  <c r="G309" i="20"/>
  <c r="F309" i="20"/>
  <c r="C309" i="20" a="1"/>
  <c r="C309" i="20" s="1"/>
  <c r="G308" i="20"/>
  <c r="F308" i="20"/>
  <c r="C308" i="20" a="1"/>
  <c r="C308" i="20" s="1"/>
  <c r="G307" i="20"/>
  <c r="H307" i="20" s="1"/>
  <c r="F307" i="20"/>
  <c r="C307" i="20" a="1"/>
  <c r="C307" i="20" s="1"/>
  <c r="G306" i="20"/>
  <c r="H306" i="20" s="1"/>
  <c r="F306" i="20"/>
  <c r="C306" i="20" a="1"/>
  <c r="C306" i="20" s="1"/>
  <c r="G305" i="20"/>
  <c r="F305" i="20"/>
  <c r="C305" i="20" a="1"/>
  <c r="C305" i="20" s="1"/>
  <c r="G304" i="20"/>
  <c r="F304" i="20"/>
  <c r="C304" i="20" a="1"/>
  <c r="C304" i="20" s="1"/>
  <c r="G303" i="20"/>
  <c r="F303" i="20"/>
  <c r="C303" i="20" a="1"/>
  <c r="C303" i="20" s="1"/>
  <c r="G302" i="20"/>
  <c r="F302" i="20"/>
  <c r="C302" i="20" a="1"/>
  <c r="C302" i="20" s="1"/>
  <c r="G301" i="20"/>
  <c r="F301" i="20"/>
  <c r="C301" i="20" a="1"/>
  <c r="C301" i="20" s="1"/>
  <c r="G300" i="20"/>
  <c r="F300" i="20"/>
  <c r="D300" i="20"/>
  <c r="C300" i="20" a="1"/>
  <c r="C300" i="20" s="1"/>
  <c r="G299" i="20"/>
  <c r="F299" i="20"/>
  <c r="D299" i="20"/>
  <c r="C299" i="20" a="1"/>
  <c r="C299" i="20" s="1"/>
  <c r="G298" i="20"/>
  <c r="H298" i="20" s="1"/>
  <c r="F298" i="20"/>
  <c r="D298" i="20"/>
  <c r="C298" i="20" a="1"/>
  <c r="C298" i="20" s="1"/>
  <c r="G297" i="20"/>
  <c r="F297" i="20"/>
  <c r="D297" i="20"/>
  <c r="C297" i="20" a="1"/>
  <c r="C297" i="20" s="1"/>
  <c r="G296" i="20"/>
  <c r="F296" i="20"/>
  <c r="D296" i="20"/>
  <c r="C296" i="20" a="1"/>
  <c r="C296" i="20" s="1"/>
  <c r="G295" i="20"/>
  <c r="F295" i="20"/>
  <c r="D295" i="20"/>
  <c r="C295" i="20" a="1"/>
  <c r="C295" i="20" s="1"/>
  <c r="G294" i="20"/>
  <c r="H294" i="20" s="1"/>
  <c r="F294" i="20"/>
  <c r="D294" i="20"/>
  <c r="C294" i="20" a="1"/>
  <c r="C294" i="20" s="1"/>
  <c r="G293" i="20"/>
  <c r="F293" i="20"/>
  <c r="D293" i="20"/>
  <c r="C293" i="20" a="1"/>
  <c r="C293" i="20" s="1"/>
  <c r="G292" i="20"/>
  <c r="F292" i="20"/>
  <c r="D292" i="20"/>
  <c r="C292" i="20" a="1"/>
  <c r="C292" i="20" s="1"/>
  <c r="G291" i="20"/>
  <c r="F291" i="20"/>
  <c r="D291" i="20"/>
  <c r="C291" i="20" a="1"/>
  <c r="C291" i="20" s="1"/>
  <c r="G290" i="20"/>
  <c r="H290" i="20" s="1"/>
  <c r="F290" i="20"/>
  <c r="D290" i="20"/>
  <c r="C290" i="20" a="1"/>
  <c r="C290" i="20" s="1"/>
  <c r="G289" i="20"/>
  <c r="F289" i="20"/>
  <c r="D289" i="20"/>
  <c r="C289" i="20" a="1"/>
  <c r="C289" i="20" s="1"/>
  <c r="G288" i="20"/>
  <c r="F288" i="20"/>
  <c r="D288" i="20"/>
  <c r="C288" i="20" a="1"/>
  <c r="C288" i="20" s="1"/>
  <c r="G287" i="20"/>
  <c r="F287" i="20"/>
  <c r="D287" i="20"/>
  <c r="C287" i="20" a="1"/>
  <c r="C287" i="20" s="1"/>
  <c r="G286" i="20"/>
  <c r="H286" i="20" s="1"/>
  <c r="F286" i="20"/>
  <c r="D286" i="20"/>
  <c r="C286" i="20" a="1"/>
  <c r="C286" i="20" s="1"/>
  <c r="G285" i="20"/>
  <c r="F285" i="20"/>
  <c r="D285" i="20"/>
  <c r="C285" i="20" a="1"/>
  <c r="C285" i="20" s="1"/>
  <c r="G284" i="20"/>
  <c r="F284" i="20"/>
  <c r="D284" i="20"/>
  <c r="C284" i="20" a="1"/>
  <c r="C284" i="20" s="1"/>
  <c r="G283" i="20"/>
  <c r="F283" i="20"/>
  <c r="D283" i="20"/>
  <c r="C283" i="20" a="1"/>
  <c r="C283" i="20" s="1"/>
  <c r="G282" i="20"/>
  <c r="H282" i="20" s="1"/>
  <c r="F282" i="20"/>
  <c r="D282" i="20"/>
  <c r="C282" i="20" a="1"/>
  <c r="C282" i="20" s="1"/>
  <c r="G281" i="20"/>
  <c r="F281" i="20"/>
  <c r="D281" i="20"/>
  <c r="C281" i="20" a="1"/>
  <c r="C281" i="20" s="1"/>
  <c r="G280" i="20"/>
  <c r="F280" i="20"/>
  <c r="D280" i="20"/>
  <c r="C280" i="20" a="1"/>
  <c r="C280" i="20" s="1"/>
  <c r="G279" i="20"/>
  <c r="F279" i="20"/>
  <c r="D279" i="20"/>
  <c r="C279" i="20" a="1"/>
  <c r="C279" i="20" s="1"/>
  <c r="G278" i="20"/>
  <c r="H278" i="20" s="1"/>
  <c r="F278" i="20"/>
  <c r="D278" i="20"/>
  <c r="C278" i="20" a="1"/>
  <c r="C278" i="20" s="1"/>
  <c r="G277" i="20"/>
  <c r="F277" i="20"/>
  <c r="D277" i="20"/>
  <c r="C277" i="20" a="1"/>
  <c r="C277" i="20" s="1"/>
  <c r="G276" i="20"/>
  <c r="F276" i="20"/>
  <c r="D276" i="20"/>
  <c r="C276" i="20" a="1"/>
  <c r="C276" i="20" s="1"/>
  <c r="G275" i="20"/>
  <c r="F275" i="20"/>
  <c r="D275" i="20"/>
  <c r="C275" i="20" a="1"/>
  <c r="C275" i="20" s="1"/>
  <c r="G274" i="20"/>
  <c r="H274" i="20" s="1"/>
  <c r="F274" i="20"/>
  <c r="D274" i="20"/>
  <c r="C274" i="20" a="1"/>
  <c r="C274" i="20" s="1"/>
  <c r="G273" i="20"/>
  <c r="F273" i="20"/>
  <c r="D273" i="20"/>
  <c r="C273" i="20" a="1"/>
  <c r="C273" i="20" s="1"/>
  <c r="G272" i="20"/>
  <c r="F272" i="20"/>
  <c r="D272" i="20"/>
  <c r="C272" i="20" a="1"/>
  <c r="C272" i="20" s="1"/>
  <c r="G271" i="20"/>
  <c r="F271" i="20"/>
  <c r="D271" i="20"/>
  <c r="C271" i="20" a="1"/>
  <c r="C271" i="20" s="1"/>
  <c r="G270" i="20"/>
  <c r="H270" i="20" s="1"/>
  <c r="F270" i="20"/>
  <c r="D270" i="20"/>
  <c r="C270" i="20" a="1"/>
  <c r="C270" i="20" s="1"/>
  <c r="G269" i="20"/>
  <c r="F269" i="20"/>
  <c r="D269" i="20"/>
  <c r="C269" i="20" a="1"/>
  <c r="C269" i="20" s="1"/>
  <c r="G268" i="20"/>
  <c r="F268" i="20"/>
  <c r="D268" i="20"/>
  <c r="C268" i="20" a="1"/>
  <c r="C268" i="20" s="1"/>
  <c r="G267" i="20"/>
  <c r="F267" i="20"/>
  <c r="D267" i="20"/>
  <c r="C267" i="20" a="1"/>
  <c r="C267" i="20" s="1"/>
  <c r="G266" i="20"/>
  <c r="H266" i="20" s="1"/>
  <c r="F266" i="20"/>
  <c r="D266" i="20"/>
  <c r="C266" i="20" a="1"/>
  <c r="C266" i="20" s="1"/>
  <c r="G265" i="20"/>
  <c r="F265" i="20"/>
  <c r="D265" i="20"/>
  <c r="C265" i="20" a="1"/>
  <c r="C265" i="20" s="1"/>
  <c r="G264" i="20"/>
  <c r="F264" i="20"/>
  <c r="D264" i="20"/>
  <c r="C264" i="20" a="1"/>
  <c r="C264" i="20" s="1"/>
  <c r="G263" i="20"/>
  <c r="F263" i="20"/>
  <c r="D263" i="20"/>
  <c r="C263" i="20" a="1"/>
  <c r="C263" i="20" s="1"/>
  <c r="G262" i="20"/>
  <c r="H262" i="20" s="1"/>
  <c r="F262" i="20"/>
  <c r="D262" i="20"/>
  <c r="C262" i="20" a="1"/>
  <c r="C262" i="20" s="1"/>
  <c r="G261" i="20"/>
  <c r="F261" i="20"/>
  <c r="D261" i="20"/>
  <c r="C261" i="20" a="1"/>
  <c r="C261" i="20" s="1"/>
  <c r="G260" i="20"/>
  <c r="F260" i="20"/>
  <c r="D260" i="20"/>
  <c r="C260" i="20" a="1"/>
  <c r="C260" i="20" s="1"/>
  <c r="G259" i="20"/>
  <c r="F259" i="20"/>
  <c r="D259" i="20"/>
  <c r="C259" i="20" a="1"/>
  <c r="C259" i="20" s="1"/>
  <c r="G258" i="20"/>
  <c r="H258" i="20" s="1"/>
  <c r="F258" i="20"/>
  <c r="D258" i="20"/>
  <c r="C258" i="20" a="1"/>
  <c r="C258" i="20" s="1"/>
  <c r="G257" i="20"/>
  <c r="F257" i="20"/>
  <c r="D257" i="20"/>
  <c r="C257" i="20" a="1"/>
  <c r="C257" i="20" s="1"/>
  <c r="G256" i="20"/>
  <c r="F256" i="20"/>
  <c r="D256" i="20"/>
  <c r="C256" i="20" a="1"/>
  <c r="C256" i="20" s="1"/>
  <c r="G255" i="20"/>
  <c r="F255" i="20"/>
  <c r="D255" i="20"/>
  <c r="C255" i="20" a="1"/>
  <c r="C255" i="20" s="1"/>
  <c r="G254" i="20"/>
  <c r="H254" i="20" s="1"/>
  <c r="F254" i="20"/>
  <c r="D254" i="20"/>
  <c r="C254" i="20" a="1"/>
  <c r="C254" i="20" s="1"/>
  <c r="G253" i="20"/>
  <c r="F253" i="20"/>
  <c r="D253" i="20"/>
  <c r="C253" i="20" a="1"/>
  <c r="C253" i="20" s="1"/>
  <c r="G252" i="20"/>
  <c r="F252" i="20"/>
  <c r="D252" i="20"/>
  <c r="C252" i="20" a="1"/>
  <c r="C252" i="20" s="1"/>
  <c r="G251" i="20"/>
  <c r="F251" i="20"/>
  <c r="D251" i="20"/>
  <c r="C251" i="20" a="1"/>
  <c r="C251" i="20" s="1"/>
  <c r="G250" i="20"/>
  <c r="H250" i="20" s="1"/>
  <c r="F250" i="20"/>
  <c r="D250" i="20"/>
  <c r="C250" i="20" a="1"/>
  <c r="C250" i="20" s="1"/>
  <c r="G249" i="20"/>
  <c r="F249" i="20"/>
  <c r="D249" i="20"/>
  <c r="C249" i="20" a="1"/>
  <c r="C249" i="20" s="1"/>
  <c r="G248" i="20"/>
  <c r="F248" i="20"/>
  <c r="D248" i="20"/>
  <c r="C248" i="20" a="1"/>
  <c r="C248" i="20" s="1"/>
  <c r="G247" i="20"/>
  <c r="F247" i="20"/>
  <c r="D247" i="20"/>
  <c r="C247" i="20" a="1"/>
  <c r="C247" i="20" s="1"/>
  <c r="G246" i="20"/>
  <c r="H246" i="20" s="1"/>
  <c r="F246" i="20"/>
  <c r="D246" i="20"/>
  <c r="C246" i="20" a="1"/>
  <c r="C246" i="20" s="1"/>
  <c r="G245" i="20"/>
  <c r="F245" i="20"/>
  <c r="D245" i="20"/>
  <c r="C245" i="20" a="1"/>
  <c r="C245" i="20" s="1"/>
  <c r="G244" i="20"/>
  <c r="F244" i="20"/>
  <c r="D244" i="20"/>
  <c r="C244" i="20" a="1"/>
  <c r="C244" i="20" s="1"/>
  <c r="G243" i="20"/>
  <c r="J243" i="20" s="1"/>
  <c r="F243" i="20"/>
  <c r="D243" i="20"/>
  <c r="C243" i="20" a="1"/>
  <c r="C243" i="20" s="1"/>
  <c r="G242" i="20"/>
  <c r="J242" i="20" s="1"/>
  <c r="F242" i="20"/>
  <c r="D242" i="20"/>
  <c r="C242" i="20" a="1"/>
  <c r="C242" i="20" s="1"/>
  <c r="G241" i="20"/>
  <c r="F241" i="20"/>
  <c r="D241" i="20"/>
  <c r="C241" i="20" a="1"/>
  <c r="C241" i="20" s="1"/>
  <c r="G240" i="20"/>
  <c r="H240" i="20" s="1"/>
  <c r="F240" i="20"/>
  <c r="D240" i="20"/>
  <c r="C240" i="20" a="1"/>
  <c r="C240" i="20" s="1"/>
  <c r="G239" i="20"/>
  <c r="J239" i="20" s="1"/>
  <c r="F239" i="20"/>
  <c r="D239" i="20"/>
  <c r="C239" i="20" a="1"/>
  <c r="C239" i="20" s="1"/>
  <c r="G238" i="20"/>
  <c r="H238" i="20" s="1"/>
  <c r="F238" i="20"/>
  <c r="D238" i="20"/>
  <c r="C238" i="20" a="1"/>
  <c r="C238" i="20" s="1"/>
  <c r="G237" i="20"/>
  <c r="F237" i="20"/>
  <c r="D237" i="20"/>
  <c r="C237" i="20" a="1"/>
  <c r="C237" i="20" s="1"/>
  <c r="G236" i="20"/>
  <c r="F236" i="20"/>
  <c r="D236" i="20"/>
  <c r="C236" i="20" a="1"/>
  <c r="C236" i="20" s="1"/>
  <c r="G235" i="20"/>
  <c r="J235" i="20" s="1"/>
  <c r="F235" i="20"/>
  <c r="D235" i="20"/>
  <c r="C235" i="20" a="1"/>
  <c r="C235" i="20" s="1"/>
  <c r="G234" i="20"/>
  <c r="H234" i="20" s="1"/>
  <c r="F234" i="20"/>
  <c r="D234" i="20"/>
  <c r="C234" i="20" a="1"/>
  <c r="C234" i="20" s="1"/>
  <c r="G233" i="20"/>
  <c r="F233" i="20"/>
  <c r="D233" i="20"/>
  <c r="C233" i="20" a="1"/>
  <c r="C233" i="20" s="1"/>
  <c r="G232" i="20"/>
  <c r="F232" i="20"/>
  <c r="D232" i="20"/>
  <c r="C232" i="20" a="1"/>
  <c r="C232" i="20" s="1"/>
  <c r="G231" i="20"/>
  <c r="J231" i="20" s="1"/>
  <c r="F231" i="20"/>
  <c r="D231" i="20"/>
  <c r="C231" i="20" a="1"/>
  <c r="C231" i="20" s="1"/>
  <c r="G230" i="20"/>
  <c r="H230" i="20" s="1"/>
  <c r="F230" i="20"/>
  <c r="D230" i="20"/>
  <c r="C230" i="20" a="1"/>
  <c r="C230" i="20" s="1"/>
  <c r="G229" i="20"/>
  <c r="F229" i="20"/>
  <c r="D229" i="20"/>
  <c r="C229" i="20" a="1"/>
  <c r="C229" i="20" s="1"/>
  <c r="G228" i="20"/>
  <c r="F228" i="20"/>
  <c r="D228" i="20"/>
  <c r="C228" i="20" a="1"/>
  <c r="C228" i="20" s="1"/>
  <c r="G227" i="20"/>
  <c r="I227" i="20" s="1"/>
  <c r="F227" i="20"/>
  <c r="D227" i="20"/>
  <c r="C227" i="20" a="1"/>
  <c r="C227" i="20" s="1"/>
  <c r="G226" i="20"/>
  <c r="F226" i="20"/>
  <c r="D226" i="20"/>
  <c r="C226" i="20" a="1"/>
  <c r="C226" i="20" s="1"/>
  <c r="G225" i="20"/>
  <c r="F225" i="20"/>
  <c r="D225" i="20"/>
  <c r="C225" i="20" a="1"/>
  <c r="C225" i="20" s="1"/>
  <c r="G224" i="20"/>
  <c r="H224" i="20" s="1"/>
  <c r="F224" i="20"/>
  <c r="D224" i="20"/>
  <c r="C224" i="20" a="1"/>
  <c r="C224" i="20" s="1"/>
  <c r="G223" i="20"/>
  <c r="H223" i="20" s="1"/>
  <c r="F223" i="20"/>
  <c r="D223" i="20"/>
  <c r="C223" i="20" a="1"/>
  <c r="C223" i="20" s="1"/>
  <c r="G222" i="20"/>
  <c r="J222" i="20" s="1"/>
  <c r="F222" i="20"/>
  <c r="D222" i="20"/>
  <c r="C222" i="20" a="1"/>
  <c r="C222" i="20" s="1"/>
  <c r="G221" i="20"/>
  <c r="F221" i="20"/>
  <c r="D221" i="20"/>
  <c r="C221" i="20" a="1"/>
  <c r="C221" i="20" s="1"/>
  <c r="G220" i="20"/>
  <c r="F220" i="20"/>
  <c r="D220" i="20"/>
  <c r="C220" i="20" a="1"/>
  <c r="C220" i="20" s="1"/>
  <c r="G219" i="20"/>
  <c r="H219" i="20" s="1"/>
  <c r="F219" i="20"/>
  <c r="D219" i="20"/>
  <c r="C219" i="20" a="1"/>
  <c r="C219" i="20" s="1"/>
  <c r="G218" i="20"/>
  <c r="F218" i="20"/>
  <c r="D218" i="20"/>
  <c r="C218" i="20" a="1"/>
  <c r="C218" i="20" s="1"/>
  <c r="G217" i="20"/>
  <c r="F217" i="20"/>
  <c r="D217" i="20"/>
  <c r="C217" i="20" a="1"/>
  <c r="C217" i="20" s="1"/>
  <c r="G216" i="20"/>
  <c r="F216" i="20"/>
  <c r="D216" i="20"/>
  <c r="C216" i="20" a="1"/>
  <c r="C216" i="20" s="1"/>
  <c r="G215" i="20"/>
  <c r="F215" i="20"/>
  <c r="D215" i="20"/>
  <c r="C215" i="20" a="1"/>
  <c r="C215" i="20" s="1"/>
  <c r="G214" i="20"/>
  <c r="J214" i="20" s="1"/>
  <c r="F214" i="20"/>
  <c r="D214" i="20"/>
  <c r="C214" i="20" a="1"/>
  <c r="C214" i="20" s="1"/>
  <c r="G213" i="20"/>
  <c r="F213" i="20"/>
  <c r="D213" i="20"/>
  <c r="C213" i="20" a="1"/>
  <c r="C213" i="20" s="1"/>
  <c r="G212" i="20"/>
  <c r="F212" i="20"/>
  <c r="D212" i="20"/>
  <c r="C212" i="20" a="1"/>
  <c r="C212" i="20" s="1"/>
  <c r="G211" i="20"/>
  <c r="F211" i="20"/>
  <c r="D211" i="20"/>
  <c r="C211" i="20" a="1"/>
  <c r="C211" i="20" s="1"/>
  <c r="G210" i="20"/>
  <c r="J210" i="20" s="1"/>
  <c r="F210" i="20"/>
  <c r="D210" i="20"/>
  <c r="C210" i="20" a="1"/>
  <c r="C210" i="20" s="1"/>
  <c r="G209" i="20"/>
  <c r="F209" i="20"/>
  <c r="D209" i="20"/>
  <c r="C209" i="20" a="1"/>
  <c r="C209" i="20" s="1"/>
  <c r="G208" i="20"/>
  <c r="H208" i="20" s="1"/>
  <c r="F208" i="20"/>
  <c r="D208" i="20"/>
  <c r="C208" i="20" a="1"/>
  <c r="C208" i="20" s="1"/>
  <c r="G207" i="20"/>
  <c r="H207" i="20" s="1"/>
  <c r="F207" i="20"/>
  <c r="D207" i="20"/>
  <c r="C207" i="20" a="1"/>
  <c r="C207" i="20" s="1"/>
  <c r="G206" i="20"/>
  <c r="H206" i="20" s="1"/>
  <c r="F206" i="20"/>
  <c r="D206" i="20"/>
  <c r="C206" i="20" a="1"/>
  <c r="C206" i="20" s="1"/>
  <c r="G205" i="20"/>
  <c r="F205" i="20"/>
  <c r="D205" i="20"/>
  <c r="C205" i="20" a="1"/>
  <c r="C205" i="20" s="1"/>
  <c r="G204" i="20"/>
  <c r="F204" i="20"/>
  <c r="D204" i="20"/>
  <c r="C204" i="20" a="1"/>
  <c r="C204" i="20" s="1"/>
  <c r="G203" i="20"/>
  <c r="J203" i="20" s="1"/>
  <c r="F203" i="20"/>
  <c r="D203" i="20"/>
  <c r="C203" i="20" a="1"/>
  <c r="C203" i="20" s="1"/>
  <c r="G202" i="20"/>
  <c r="J202" i="20" s="1"/>
  <c r="F202" i="20"/>
  <c r="D202" i="20"/>
  <c r="C202" i="20" a="1"/>
  <c r="C202" i="20" s="1"/>
  <c r="G201" i="20"/>
  <c r="F201" i="20"/>
  <c r="D201" i="20"/>
  <c r="C201" i="20" a="1"/>
  <c r="C201" i="20" s="1"/>
  <c r="G200" i="20"/>
  <c r="F200" i="20"/>
  <c r="D200" i="20"/>
  <c r="C200" i="20" a="1"/>
  <c r="C200" i="20" s="1"/>
  <c r="G199" i="20"/>
  <c r="I199" i="20" s="1"/>
  <c r="F199" i="20"/>
  <c r="D199" i="20"/>
  <c r="C199" i="20" a="1"/>
  <c r="C199" i="20" s="1"/>
  <c r="G198" i="20"/>
  <c r="I198" i="20" s="1"/>
  <c r="F198" i="20"/>
  <c r="D198" i="20"/>
  <c r="C198" i="20" a="1"/>
  <c r="C198" i="20" s="1"/>
  <c r="G197" i="20"/>
  <c r="F197" i="20"/>
  <c r="D197" i="20"/>
  <c r="C197" i="20" a="1"/>
  <c r="C197" i="20" s="1"/>
  <c r="G196" i="20"/>
  <c r="H196" i="20" s="1"/>
  <c r="F196" i="20"/>
  <c r="D196" i="20"/>
  <c r="C196" i="20" a="1"/>
  <c r="C196" i="20" s="1"/>
  <c r="G195" i="20"/>
  <c r="J195" i="20" s="1"/>
  <c r="F195" i="20"/>
  <c r="D195" i="20"/>
  <c r="C195" i="20" a="1"/>
  <c r="C195" i="20" s="1"/>
  <c r="G194" i="20"/>
  <c r="H194" i="20" s="1"/>
  <c r="F194" i="20"/>
  <c r="D194" i="20"/>
  <c r="C194" i="20" a="1"/>
  <c r="C194" i="20" s="1"/>
  <c r="G193" i="20"/>
  <c r="F193" i="20"/>
  <c r="D193" i="20"/>
  <c r="C193" i="20" a="1"/>
  <c r="C193" i="20" s="1"/>
  <c r="G192" i="20"/>
  <c r="H192" i="20" s="1"/>
  <c r="F192" i="20"/>
  <c r="D192" i="20"/>
  <c r="C192" i="20" a="1"/>
  <c r="C192" i="20" s="1"/>
  <c r="G191" i="20"/>
  <c r="H191" i="20" s="1"/>
  <c r="F191" i="20"/>
  <c r="D191" i="20"/>
  <c r="C191" i="20" a="1"/>
  <c r="C191" i="20" s="1"/>
  <c r="G190" i="20"/>
  <c r="H190" i="20" s="1"/>
  <c r="F190" i="20"/>
  <c r="D190" i="20"/>
  <c r="C190" i="20" a="1"/>
  <c r="C190" i="20" s="1"/>
  <c r="G189" i="20"/>
  <c r="F189" i="20"/>
  <c r="D189" i="20"/>
  <c r="C189" i="20" a="1"/>
  <c r="C189" i="20" s="1"/>
  <c r="G188" i="20"/>
  <c r="F188" i="20"/>
  <c r="D188" i="20"/>
  <c r="C188" i="20" a="1"/>
  <c r="C188" i="20" s="1"/>
  <c r="G187" i="20"/>
  <c r="H187" i="20" s="1"/>
  <c r="F187" i="20"/>
  <c r="D187" i="20"/>
  <c r="C187" i="20" a="1"/>
  <c r="C187" i="20" s="1"/>
  <c r="G186" i="20"/>
  <c r="H186" i="20" s="1"/>
  <c r="F186" i="20"/>
  <c r="D186" i="20"/>
  <c r="C186" i="20" a="1"/>
  <c r="C186" i="20" s="1"/>
  <c r="G185" i="20"/>
  <c r="F185" i="20"/>
  <c r="D185" i="20"/>
  <c r="C185" i="20" a="1"/>
  <c r="C185" i="20" s="1"/>
  <c r="G184" i="20"/>
  <c r="F184" i="20"/>
  <c r="D184" i="20"/>
  <c r="C184" i="20" a="1"/>
  <c r="C184" i="20" s="1"/>
  <c r="G183" i="20"/>
  <c r="F183" i="20"/>
  <c r="D183" i="20"/>
  <c r="C183" i="20" a="1"/>
  <c r="C183" i="20" s="1"/>
  <c r="G182" i="20"/>
  <c r="H182" i="20" s="1"/>
  <c r="F182" i="20"/>
  <c r="D182" i="20"/>
  <c r="C182" i="20" a="1"/>
  <c r="C182" i="20" s="1"/>
  <c r="G181" i="20"/>
  <c r="J181" i="20" s="1"/>
  <c r="F181" i="20"/>
  <c r="D181" i="20"/>
  <c r="C181" i="20" a="1"/>
  <c r="C181" i="20" s="1"/>
  <c r="G180" i="20"/>
  <c r="F180" i="20"/>
  <c r="D180" i="20"/>
  <c r="C180" i="20" a="1"/>
  <c r="C180" i="20" s="1"/>
  <c r="G179" i="20"/>
  <c r="I179" i="20" s="1"/>
  <c r="F179" i="20"/>
  <c r="D179" i="20"/>
  <c r="C179" i="20" a="1"/>
  <c r="C179" i="20" s="1"/>
  <c r="G178" i="20"/>
  <c r="H178" i="20" s="1"/>
  <c r="F178" i="20"/>
  <c r="D178" i="20"/>
  <c r="C178" i="20" a="1"/>
  <c r="C178" i="20" s="1"/>
  <c r="G177" i="20"/>
  <c r="J177" i="20" s="1"/>
  <c r="F177" i="20"/>
  <c r="D177" i="20"/>
  <c r="C177" i="20" a="1"/>
  <c r="C177" i="20" s="1"/>
  <c r="G176" i="20"/>
  <c r="F176" i="20"/>
  <c r="D176" i="20"/>
  <c r="C176" i="20" a="1"/>
  <c r="C176" i="20" s="1"/>
  <c r="G175" i="20"/>
  <c r="F175" i="20"/>
  <c r="D175" i="20"/>
  <c r="C175" i="20" a="1"/>
  <c r="C175" i="20" s="1"/>
  <c r="G174" i="20"/>
  <c r="J174" i="20" s="1"/>
  <c r="F174" i="20"/>
  <c r="D174" i="20"/>
  <c r="C174" i="20" a="1"/>
  <c r="C174" i="20" s="1"/>
  <c r="G173" i="20"/>
  <c r="H173" i="20" s="1"/>
  <c r="F173" i="20"/>
  <c r="D173" i="20"/>
  <c r="C173" i="20" a="1"/>
  <c r="C173" i="20" s="1"/>
  <c r="G172" i="20"/>
  <c r="F172" i="20"/>
  <c r="D172" i="20"/>
  <c r="C172" i="20" a="1"/>
  <c r="C172" i="20" s="1"/>
  <c r="G171" i="20"/>
  <c r="F171" i="20"/>
  <c r="D171" i="20"/>
  <c r="C171" i="20" a="1"/>
  <c r="C171" i="20" s="1"/>
  <c r="G170" i="20"/>
  <c r="F170" i="20"/>
  <c r="D170" i="20"/>
  <c r="C170" i="20" a="1"/>
  <c r="C170" i="20" s="1"/>
  <c r="G169" i="20"/>
  <c r="H169" i="20" s="1"/>
  <c r="F169" i="20"/>
  <c r="D169" i="20"/>
  <c r="C169" i="20" a="1"/>
  <c r="C169" i="20" s="1"/>
  <c r="G168" i="20"/>
  <c r="F168" i="20"/>
  <c r="D168" i="20"/>
  <c r="C168" i="20" a="1"/>
  <c r="C168" i="20" s="1"/>
  <c r="G167" i="20"/>
  <c r="I167" i="20" s="1"/>
  <c r="F167" i="20"/>
  <c r="D167" i="20"/>
  <c r="C167" i="20" a="1"/>
  <c r="C167" i="20" s="1"/>
  <c r="G166" i="20"/>
  <c r="J166" i="20" s="1"/>
  <c r="F166" i="20"/>
  <c r="D166" i="20"/>
  <c r="C166" i="20" a="1"/>
  <c r="C166" i="20" s="1"/>
  <c r="G165" i="20"/>
  <c r="H165" i="20" s="1"/>
  <c r="F165" i="20"/>
  <c r="D165" i="20"/>
  <c r="C165" i="20" a="1"/>
  <c r="C165" i="20" s="1"/>
  <c r="G164" i="20"/>
  <c r="F164" i="20"/>
  <c r="D164" i="20"/>
  <c r="C164" i="20" a="1"/>
  <c r="C164" i="20" s="1"/>
  <c r="G163" i="20"/>
  <c r="F163" i="20"/>
  <c r="D163" i="20"/>
  <c r="C163" i="20" a="1"/>
  <c r="C163" i="20" s="1"/>
  <c r="G162" i="20"/>
  <c r="I162" i="20" s="1"/>
  <c r="F162" i="20"/>
  <c r="D162" i="20"/>
  <c r="C162" i="20" a="1"/>
  <c r="C162" i="20" s="1"/>
  <c r="G161" i="20"/>
  <c r="I161" i="20" s="1"/>
  <c r="F161" i="20"/>
  <c r="D161" i="20"/>
  <c r="C161" i="20" a="1"/>
  <c r="C161" i="20" s="1"/>
  <c r="G160" i="20"/>
  <c r="F160" i="20"/>
  <c r="D160" i="20"/>
  <c r="C160" i="20" a="1"/>
  <c r="C160" i="20" s="1"/>
  <c r="G159" i="20"/>
  <c r="H159" i="20" s="1"/>
  <c r="F159" i="20"/>
  <c r="D159" i="20"/>
  <c r="C159" i="20" a="1"/>
  <c r="C159" i="20" s="1"/>
  <c r="G158" i="20"/>
  <c r="J158" i="20" s="1"/>
  <c r="F158" i="20"/>
  <c r="D158" i="20"/>
  <c r="C158" i="20" a="1"/>
  <c r="C158" i="20" s="1"/>
  <c r="G157" i="20"/>
  <c r="H157" i="20" s="1"/>
  <c r="F157" i="20"/>
  <c r="D157" i="20"/>
  <c r="C157" i="20" a="1"/>
  <c r="C157" i="20" s="1"/>
  <c r="G156" i="20"/>
  <c r="F156" i="20"/>
  <c r="D156" i="20"/>
  <c r="C156" i="20" a="1"/>
  <c r="C156" i="20" s="1"/>
  <c r="G155" i="20"/>
  <c r="F155" i="20"/>
  <c r="D155" i="20"/>
  <c r="C155" i="20" a="1"/>
  <c r="C155" i="20" s="1"/>
  <c r="G154" i="20"/>
  <c r="J154" i="20" s="1"/>
  <c r="F154" i="20"/>
  <c r="D154" i="20"/>
  <c r="C154" i="20" a="1"/>
  <c r="C154" i="20" s="1"/>
  <c r="G153" i="20"/>
  <c r="H153" i="20" s="1"/>
  <c r="F153" i="20"/>
  <c r="D153" i="20"/>
  <c r="C153" i="20" a="1"/>
  <c r="C153" i="20" s="1"/>
  <c r="G152" i="20"/>
  <c r="F152" i="20"/>
  <c r="D152" i="20"/>
  <c r="C152" i="20" a="1"/>
  <c r="C152" i="20" s="1"/>
  <c r="G151" i="20"/>
  <c r="F151" i="20"/>
  <c r="D151" i="20"/>
  <c r="C151" i="20" a="1"/>
  <c r="C151" i="20" s="1"/>
  <c r="G150" i="20"/>
  <c r="H150" i="20" s="1"/>
  <c r="F150" i="20"/>
  <c r="D150" i="20"/>
  <c r="C150" i="20" a="1"/>
  <c r="C150" i="20" s="1"/>
  <c r="G149" i="20"/>
  <c r="H149" i="20" s="1"/>
  <c r="F149" i="20"/>
  <c r="D149" i="20"/>
  <c r="C149" i="20" a="1"/>
  <c r="C149" i="20" s="1"/>
  <c r="G148" i="20"/>
  <c r="F148" i="20"/>
  <c r="D148" i="20"/>
  <c r="C148" i="20" a="1"/>
  <c r="C148" i="20" s="1"/>
  <c r="G147" i="20"/>
  <c r="I147" i="20" s="1"/>
  <c r="F147" i="20"/>
  <c r="D147" i="20"/>
  <c r="C147" i="20" a="1"/>
  <c r="C147" i="20" s="1"/>
  <c r="G146" i="20"/>
  <c r="F146" i="20"/>
  <c r="D146" i="20"/>
  <c r="C146" i="20" a="1"/>
  <c r="C146" i="20" s="1"/>
  <c r="G145" i="20"/>
  <c r="F145" i="20"/>
  <c r="D145" i="20"/>
  <c r="C145" i="20" a="1"/>
  <c r="C145" i="20" s="1"/>
  <c r="G144" i="20"/>
  <c r="F144" i="20"/>
  <c r="D144" i="20"/>
  <c r="C144" i="20" a="1"/>
  <c r="C144" i="20" s="1"/>
  <c r="G143" i="20"/>
  <c r="F143" i="20"/>
  <c r="D143" i="20"/>
  <c r="C143" i="20" a="1"/>
  <c r="C143" i="20" s="1"/>
  <c r="G142" i="20"/>
  <c r="F142" i="20"/>
  <c r="D142" i="20"/>
  <c r="C142" i="20" a="1"/>
  <c r="C142" i="20" s="1"/>
  <c r="G141" i="20"/>
  <c r="H141" i="20" s="1"/>
  <c r="F141" i="20"/>
  <c r="D141" i="20"/>
  <c r="C141" i="20" a="1"/>
  <c r="C141" i="20" s="1"/>
  <c r="G140" i="20"/>
  <c r="F140" i="20"/>
  <c r="D140" i="20"/>
  <c r="C140" i="20" a="1"/>
  <c r="C140" i="20" s="1"/>
  <c r="G139" i="20"/>
  <c r="F139" i="20"/>
  <c r="D139" i="20"/>
  <c r="C139" i="20" a="1"/>
  <c r="C139" i="20" s="1"/>
  <c r="G138" i="20"/>
  <c r="F138" i="20"/>
  <c r="D138" i="20"/>
  <c r="C138" i="20" a="1"/>
  <c r="C138" i="20" s="1"/>
  <c r="G137" i="20"/>
  <c r="F137" i="20"/>
  <c r="D137" i="20"/>
  <c r="C137" i="20" a="1"/>
  <c r="C137" i="20" s="1"/>
  <c r="G136" i="20"/>
  <c r="F136" i="20"/>
  <c r="D136" i="20"/>
  <c r="C136" i="20" a="1"/>
  <c r="C136" i="20" s="1"/>
  <c r="G135" i="20"/>
  <c r="F135" i="20"/>
  <c r="D135" i="20"/>
  <c r="C135" i="20" a="1"/>
  <c r="C135" i="20" s="1"/>
  <c r="G134" i="20"/>
  <c r="J134" i="20" s="1"/>
  <c r="F134" i="20"/>
  <c r="D134" i="20"/>
  <c r="C134" i="20" a="1"/>
  <c r="C134" i="20" s="1"/>
  <c r="G133" i="20"/>
  <c r="J133" i="20" s="1"/>
  <c r="F133" i="20"/>
  <c r="D133" i="20"/>
  <c r="C133" i="20" a="1"/>
  <c r="C133" i="20" s="1"/>
  <c r="G132" i="20"/>
  <c r="F132" i="20"/>
  <c r="D132" i="20"/>
  <c r="C132" i="20" a="1"/>
  <c r="C132" i="20" s="1"/>
  <c r="G131" i="20"/>
  <c r="H131" i="20" s="1"/>
  <c r="F131" i="20"/>
  <c r="D131" i="20"/>
  <c r="C131" i="20" a="1"/>
  <c r="C131" i="20" s="1"/>
  <c r="G130" i="20"/>
  <c r="J130" i="20" s="1"/>
  <c r="F130" i="20"/>
  <c r="D130" i="20"/>
  <c r="C130" i="20" a="1"/>
  <c r="C130" i="20" s="1"/>
  <c r="G129" i="20"/>
  <c r="H129" i="20" s="1"/>
  <c r="F129" i="20"/>
  <c r="D129" i="20"/>
  <c r="C129" i="20" a="1"/>
  <c r="C129" i="20" s="1"/>
  <c r="G128" i="20"/>
  <c r="F128" i="20"/>
  <c r="D128" i="20"/>
  <c r="C128" i="20" a="1"/>
  <c r="C128" i="20" s="1"/>
  <c r="G127" i="20"/>
  <c r="F127" i="20"/>
  <c r="D127" i="20"/>
  <c r="C127" i="20" a="1"/>
  <c r="C127" i="20" s="1"/>
  <c r="G126" i="20"/>
  <c r="J126" i="20" s="1"/>
  <c r="F126" i="20"/>
  <c r="D126" i="20"/>
  <c r="C126" i="20" a="1"/>
  <c r="C126" i="20" s="1"/>
  <c r="G125" i="20"/>
  <c r="H125" i="20" s="1"/>
  <c r="F125" i="20"/>
  <c r="D125" i="20"/>
  <c r="C125" i="20" a="1"/>
  <c r="C125" i="20" s="1"/>
  <c r="G124" i="20"/>
  <c r="F124" i="20"/>
  <c r="D124" i="20"/>
  <c r="C124" i="20" a="1"/>
  <c r="C124" i="20" s="1"/>
  <c r="G123" i="20"/>
  <c r="F123" i="20"/>
  <c r="D123" i="20"/>
  <c r="C123" i="20" a="1"/>
  <c r="C123" i="20" s="1"/>
  <c r="G122" i="20"/>
  <c r="J122" i="20" s="1"/>
  <c r="F122" i="20"/>
  <c r="D122" i="20"/>
  <c r="C122" i="20" a="1"/>
  <c r="C122" i="20" s="1"/>
  <c r="G121" i="20"/>
  <c r="F121" i="20"/>
  <c r="D121" i="20"/>
  <c r="C121" i="20" a="1"/>
  <c r="C121" i="20" s="1"/>
  <c r="G120" i="20"/>
  <c r="F120" i="20"/>
  <c r="D120" i="20"/>
  <c r="C120" i="20" a="1"/>
  <c r="C120" i="20" s="1"/>
  <c r="G119" i="20"/>
  <c r="F119" i="20"/>
  <c r="D119" i="20"/>
  <c r="C119" i="20" a="1"/>
  <c r="C119" i="20" s="1"/>
  <c r="G118" i="20"/>
  <c r="H118" i="20" s="1"/>
  <c r="F118" i="20"/>
  <c r="D118" i="20"/>
  <c r="C118" i="20" a="1"/>
  <c r="C118" i="20" s="1"/>
  <c r="G117" i="20"/>
  <c r="F117" i="20"/>
  <c r="D117" i="20"/>
  <c r="C117" i="20" a="1"/>
  <c r="C117" i="20" s="1"/>
  <c r="G116" i="20"/>
  <c r="F116" i="20"/>
  <c r="D116" i="20"/>
  <c r="C116" i="20" a="1"/>
  <c r="C116" i="20" s="1"/>
  <c r="G115" i="20"/>
  <c r="F115" i="20"/>
  <c r="D115" i="20"/>
  <c r="C115" i="20" a="1"/>
  <c r="C115" i="20" s="1"/>
  <c r="G114" i="20"/>
  <c r="H114" i="20" s="1"/>
  <c r="F114" i="20"/>
  <c r="D114" i="20"/>
  <c r="C114" i="20" a="1"/>
  <c r="C114" i="20" s="1"/>
  <c r="G113" i="20"/>
  <c r="H113" i="20" s="1"/>
  <c r="F113" i="20"/>
  <c r="D113" i="20"/>
  <c r="C113" i="20" a="1"/>
  <c r="C113" i="20" s="1"/>
  <c r="G112" i="20"/>
  <c r="F112" i="20"/>
  <c r="D112" i="20"/>
  <c r="C112" i="20" a="1"/>
  <c r="C112" i="20" s="1"/>
  <c r="G111" i="20"/>
  <c r="F111" i="20"/>
  <c r="D111" i="20"/>
  <c r="C111" i="20" a="1"/>
  <c r="C111" i="20" s="1"/>
  <c r="G110" i="20"/>
  <c r="J110" i="20" s="1"/>
  <c r="F110" i="20"/>
  <c r="D110" i="20"/>
  <c r="C110" i="20" a="1"/>
  <c r="C110" i="20" s="1"/>
  <c r="G109" i="20"/>
  <c r="J109" i="20" s="1"/>
  <c r="F109" i="20"/>
  <c r="D109" i="20"/>
  <c r="C109" i="20" a="1"/>
  <c r="C109" i="20" s="1"/>
  <c r="G108" i="20"/>
  <c r="F108" i="20"/>
  <c r="D108" i="20"/>
  <c r="C108" i="20" a="1"/>
  <c r="C108" i="20" s="1"/>
  <c r="G107" i="20"/>
  <c r="F107" i="20"/>
  <c r="D107" i="20"/>
  <c r="C107" i="20" a="1"/>
  <c r="C107" i="20" s="1"/>
  <c r="G106" i="20"/>
  <c r="J106" i="20" s="1"/>
  <c r="F106" i="20"/>
  <c r="D106" i="20"/>
  <c r="C106" i="20" a="1"/>
  <c r="C106" i="20" s="1"/>
  <c r="G105" i="20"/>
  <c r="J105" i="20" s="1"/>
  <c r="F105" i="20"/>
  <c r="D105" i="20"/>
  <c r="C105" i="20" a="1"/>
  <c r="C105" i="20" s="1"/>
  <c r="G104" i="20"/>
  <c r="F104" i="20"/>
  <c r="D104" i="20"/>
  <c r="C104" i="20" a="1"/>
  <c r="C104" i="20" s="1"/>
  <c r="G103" i="20"/>
  <c r="I103" i="20" s="1"/>
  <c r="F103" i="20"/>
  <c r="D103" i="20"/>
  <c r="C103" i="20" a="1"/>
  <c r="C103" i="20" s="1"/>
  <c r="G102" i="20"/>
  <c r="J102" i="20" s="1"/>
  <c r="F102" i="20"/>
  <c r="D102" i="20"/>
  <c r="C102" i="20" a="1"/>
  <c r="C102" i="20" s="1"/>
  <c r="G101" i="20"/>
  <c r="H101" i="20" s="1"/>
  <c r="F101" i="20"/>
  <c r="D101" i="20"/>
  <c r="C101" i="20" a="1"/>
  <c r="C101" i="20" s="1"/>
  <c r="G100" i="20"/>
  <c r="F100" i="20"/>
  <c r="D100" i="20"/>
  <c r="C100" i="20" a="1"/>
  <c r="C100" i="20" s="1"/>
  <c r="G99" i="20"/>
  <c r="F99" i="20"/>
  <c r="D99" i="20"/>
  <c r="C99" i="20" a="1"/>
  <c r="C99" i="20" s="1"/>
  <c r="G98" i="20"/>
  <c r="H98" i="20" s="1"/>
  <c r="F98" i="20"/>
  <c r="D98" i="20"/>
  <c r="C98" i="20" a="1"/>
  <c r="C98" i="20" s="1"/>
  <c r="G97" i="20"/>
  <c r="I97" i="20" s="1"/>
  <c r="F97" i="20"/>
  <c r="D97" i="20"/>
  <c r="C97" i="20" a="1"/>
  <c r="C97" i="20" s="1"/>
  <c r="G96" i="20"/>
  <c r="F96" i="20"/>
  <c r="D96" i="20"/>
  <c r="C96" i="20" a="1"/>
  <c r="C96" i="20" s="1"/>
  <c r="G95" i="20"/>
  <c r="F95" i="20"/>
  <c r="D95" i="20"/>
  <c r="C95" i="20" a="1"/>
  <c r="C95" i="20" s="1"/>
  <c r="G94" i="20"/>
  <c r="H94" i="20" s="1"/>
  <c r="F94" i="20"/>
  <c r="D94" i="20"/>
  <c r="C94" i="20" a="1"/>
  <c r="C94" i="20" s="1"/>
  <c r="G93" i="20"/>
  <c r="H93" i="20" s="1"/>
  <c r="F93" i="20"/>
  <c r="D93" i="20"/>
  <c r="C93" i="20" a="1"/>
  <c r="C93" i="20" s="1"/>
  <c r="G92" i="20"/>
  <c r="F92" i="20"/>
  <c r="D92" i="20"/>
  <c r="C92" i="20" a="1"/>
  <c r="C92" i="20" s="1"/>
  <c r="G91" i="20"/>
  <c r="F91" i="20"/>
  <c r="D91" i="20"/>
  <c r="C91" i="20" a="1"/>
  <c r="C91" i="20" s="1"/>
  <c r="G90" i="20"/>
  <c r="H90" i="20" s="1"/>
  <c r="F90" i="20"/>
  <c r="D90" i="20"/>
  <c r="C90" i="20" a="1"/>
  <c r="C90" i="20" s="1"/>
  <c r="G89" i="20"/>
  <c r="H89" i="20" s="1"/>
  <c r="F89" i="20"/>
  <c r="D89" i="20"/>
  <c r="C89" i="20" a="1"/>
  <c r="C89" i="20" s="1"/>
  <c r="G88" i="20"/>
  <c r="F88" i="20"/>
  <c r="D88" i="20"/>
  <c r="C88" i="20" a="1"/>
  <c r="C88" i="20" s="1"/>
  <c r="G87" i="20"/>
  <c r="H87" i="20" s="1"/>
  <c r="F87" i="20"/>
  <c r="D87" i="20"/>
  <c r="C87" i="20" a="1"/>
  <c r="C87" i="20" s="1"/>
  <c r="G86" i="20"/>
  <c r="F86" i="20"/>
  <c r="D86" i="20"/>
  <c r="C86" i="20" a="1"/>
  <c r="C86" i="20" s="1"/>
  <c r="G85" i="20"/>
  <c r="J85" i="20" s="1"/>
  <c r="F85" i="20"/>
  <c r="D85" i="20"/>
  <c r="C85" i="20" a="1"/>
  <c r="C85" i="20" s="1"/>
  <c r="G84" i="20"/>
  <c r="F84" i="20"/>
  <c r="D84" i="20"/>
  <c r="C84" i="20" a="1"/>
  <c r="C84" i="20" s="1"/>
  <c r="G83" i="20"/>
  <c r="F83" i="20"/>
  <c r="D83" i="20"/>
  <c r="C83" i="20" a="1"/>
  <c r="C83" i="20" s="1"/>
  <c r="G82" i="20"/>
  <c r="F82" i="20"/>
  <c r="D82" i="20"/>
  <c r="C82" i="20" a="1"/>
  <c r="C82" i="20" s="1"/>
  <c r="G81" i="20"/>
  <c r="H81" i="20" s="1"/>
  <c r="F81" i="20"/>
  <c r="D81" i="20"/>
  <c r="C81" i="20" a="1"/>
  <c r="C81" i="20" s="1"/>
  <c r="G80" i="20"/>
  <c r="F80" i="20"/>
  <c r="D80" i="20"/>
  <c r="C80" i="20" a="1"/>
  <c r="C80" i="20" s="1"/>
  <c r="G79" i="20"/>
  <c r="F79" i="20"/>
  <c r="D79" i="20"/>
  <c r="C79" i="20" a="1"/>
  <c r="C79" i="20" s="1"/>
  <c r="G78" i="20"/>
  <c r="F78" i="20"/>
  <c r="D78" i="20"/>
  <c r="C78" i="20" a="1"/>
  <c r="C78" i="20" s="1"/>
  <c r="G77" i="20"/>
  <c r="H77" i="20" s="1"/>
  <c r="F77" i="20"/>
  <c r="D77" i="20"/>
  <c r="C77" i="20" a="1"/>
  <c r="C77" i="20" s="1"/>
  <c r="G76" i="20"/>
  <c r="J76" i="20" s="1"/>
  <c r="F76" i="20"/>
  <c r="D76" i="20"/>
  <c r="C76" i="20" a="1"/>
  <c r="C76" i="20" s="1"/>
  <c r="G75" i="20"/>
  <c r="F75" i="20"/>
  <c r="D75" i="20"/>
  <c r="C75" i="20" a="1"/>
  <c r="C75" i="20" s="1"/>
  <c r="G74" i="20"/>
  <c r="F74" i="20"/>
  <c r="D74" i="20"/>
  <c r="C74" i="20" a="1"/>
  <c r="C74" i="20" s="1"/>
  <c r="G73" i="20"/>
  <c r="H73" i="20" s="1"/>
  <c r="F73" i="20"/>
  <c r="D73" i="20"/>
  <c r="C73" i="20" a="1"/>
  <c r="C73" i="20" s="1"/>
  <c r="G72" i="20"/>
  <c r="J72" i="20" s="1"/>
  <c r="F72" i="20"/>
  <c r="D72" i="20"/>
  <c r="C72" i="20" a="1"/>
  <c r="C72" i="20" s="1"/>
  <c r="G71" i="20"/>
  <c r="F71" i="20"/>
  <c r="D71" i="20"/>
  <c r="C71" i="20" a="1"/>
  <c r="C71" i="20" s="1"/>
  <c r="G70" i="20"/>
  <c r="H70" i="20" s="1"/>
  <c r="F70" i="20"/>
  <c r="D70" i="20"/>
  <c r="C70" i="20" a="1"/>
  <c r="C70" i="20" s="1"/>
  <c r="G69" i="20"/>
  <c r="H69" i="20" s="1"/>
  <c r="F69" i="20"/>
  <c r="D69" i="20"/>
  <c r="C69" i="20" a="1"/>
  <c r="C69" i="20" s="1"/>
  <c r="G68" i="20"/>
  <c r="H68" i="20" s="1"/>
  <c r="F68" i="20"/>
  <c r="D68" i="20"/>
  <c r="C68" i="20" a="1"/>
  <c r="C68" i="20" s="1"/>
  <c r="G67" i="20"/>
  <c r="F67" i="20"/>
  <c r="D67" i="20"/>
  <c r="C67" i="20" a="1"/>
  <c r="C67" i="20" s="1"/>
  <c r="G66" i="20"/>
  <c r="H66" i="20" s="1"/>
  <c r="F66" i="20"/>
  <c r="D66" i="20"/>
  <c r="C66" i="20" a="1"/>
  <c r="C66" i="20" s="1"/>
  <c r="G65" i="20"/>
  <c r="F65" i="20"/>
  <c r="D65" i="20"/>
  <c r="C65" i="20" a="1"/>
  <c r="C65" i="20" s="1"/>
  <c r="G64" i="20"/>
  <c r="F64" i="20"/>
  <c r="D64" i="20"/>
  <c r="C64" i="20" a="1"/>
  <c r="C64" i="20" s="1"/>
  <c r="G63" i="20"/>
  <c r="F63" i="20"/>
  <c r="D63" i="20"/>
  <c r="C63" i="20" a="1"/>
  <c r="C63" i="20" s="1"/>
  <c r="G62" i="20"/>
  <c r="F62" i="20"/>
  <c r="D62" i="20"/>
  <c r="C62" i="20" a="1"/>
  <c r="C62" i="20" s="1"/>
  <c r="G61" i="20"/>
  <c r="H61" i="20" s="1"/>
  <c r="F61" i="20"/>
  <c r="D61" i="20"/>
  <c r="C61" i="20" a="1"/>
  <c r="C61" i="20" s="1"/>
  <c r="G60" i="20"/>
  <c r="F60" i="20"/>
  <c r="D60" i="20"/>
  <c r="C60" i="20" a="1"/>
  <c r="C60" i="20" s="1"/>
  <c r="G59" i="20"/>
  <c r="F59" i="20"/>
  <c r="D59" i="20"/>
  <c r="C59" i="20" a="1"/>
  <c r="C59" i="20" s="1"/>
  <c r="G58" i="20"/>
  <c r="F58" i="20"/>
  <c r="D58" i="20"/>
  <c r="C58" i="20" a="1"/>
  <c r="C58" i="20" s="1"/>
  <c r="G57" i="20"/>
  <c r="F57" i="20"/>
  <c r="D57" i="20"/>
  <c r="C57" i="20" a="1"/>
  <c r="C57" i="20" s="1"/>
  <c r="G56" i="20"/>
  <c r="F56" i="20"/>
  <c r="D56" i="20"/>
  <c r="C56" i="20" a="1"/>
  <c r="C56" i="20" s="1"/>
  <c r="G55" i="20"/>
  <c r="F55" i="20"/>
  <c r="D55" i="20"/>
  <c r="C55" i="20" a="1"/>
  <c r="C55" i="20" s="1"/>
  <c r="G54" i="20"/>
  <c r="F54" i="20"/>
  <c r="D54" i="20"/>
  <c r="C54" i="20" a="1"/>
  <c r="C54" i="20" s="1"/>
  <c r="G53" i="20"/>
  <c r="H53" i="20" s="1"/>
  <c r="F53" i="20"/>
  <c r="D53" i="20"/>
  <c r="C53" i="20" a="1"/>
  <c r="C53" i="20" s="1"/>
  <c r="G52" i="20"/>
  <c r="H52" i="20" s="1"/>
  <c r="F52" i="20"/>
  <c r="D52" i="20"/>
  <c r="C52" i="20" a="1"/>
  <c r="C52" i="20" s="1"/>
  <c r="G51" i="20"/>
  <c r="F51" i="20"/>
  <c r="D51" i="20"/>
  <c r="C51" i="20" a="1"/>
  <c r="C51" i="20" s="1"/>
  <c r="G50" i="20"/>
  <c r="F50" i="20"/>
  <c r="D50" i="20"/>
  <c r="C50" i="20" a="1"/>
  <c r="C50" i="20" s="1"/>
  <c r="G49" i="20"/>
  <c r="J49" i="20" s="1"/>
  <c r="F49" i="20"/>
  <c r="D49" i="20"/>
  <c r="C49" i="20" a="1"/>
  <c r="C49" i="20" s="1"/>
  <c r="G48" i="20"/>
  <c r="J48" i="20" s="1"/>
  <c r="F48" i="20"/>
  <c r="D48" i="20"/>
  <c r="C48" i="20" a="1"/>
  <c r="C48" i="20" s="1"/>
  <c r="G47" i="20"/>
  <c r="F47" i="20"/>
  <c r="D47" i="20"/>
  <c r="C47" i="20" a="1"/>
  <c r="C47" i="20" s="1"/>
  <c r="G46" i="20"/>
  <c r="F46" i="20"/>
  <c r="D46" i="20"/>
  <c r="C46" i="20" a="1"/>
  <c r="C46" i="20" s="1"/>
  <c r="G45" i="20"/>
  <c r="I45" i="20" s="1"/>
  <c r="F45" i="20"/>
  <c r="D45" i="20"/>
  <c r="C45" i="20" a="1"/>
  <c r="C45" i="20" s="1"/>
  <c r="G44" i="20"/>
  <c r="J44" i="20" s="1"/>
  <c r="F44" i="20"/>
  <c r="D44" i="20"/>
  <c r="C44" i="20" a="1"/>
  <c r="C44" i="20" s="1"/>
  <c r="G43" i="20"/>
  <c r="F43" i="20"/>
  <c r="D43" i="20"/>
  <c r="C43" i="20" a="1"/>
  <c r="C43" i="20" s="1"/>
  <c r="G42" i="20"/>
  <c r="I42" i="20" s="1"/>
  <c r="F42" i="20"/>
  <c r="D42" i="20"/>
  <c r="C42" i="20" a="1"/>
  <c r="C42" i="20" s="1"/>
  <c r="G41" i="20"/>
  <c r="H41" i="20" s="1"/>
  <c r="F41" i="20"/>
  <c r="D41" i="20"/>
  <c r="C41" i="20" a="1"/>
  <c r="C41" i="20" s="1"/>
  <c r="G40" i="20"/>
  <c r="I40" i="20" s="1"/>
  <c r="F40" i="20"/>
  <c r="D40" i="20"/>
  <c r="C40" i="20" a="1"/>
  <c r="C40" i="20" s="1"/>
  <c r="G39" i="20"/>
  <c r="F39" i="20"/>
  <c r="D39" i="20"/>
  <c r="C39" i="20" a="1"/>
  <c r="C39" i="20" s="1"/>
  <c r="G38" i="20"/>
  <c r="H38" i="20" s="1"/>
  <c r="F38" i="20"/>
  <c r="D38" i="20"/>
  <c r="C38" i="20" a="1"/>
  <c r="C38" i="20" s="1"/>
  <c r="G37" i="20"/>
  <c r="F37" i="20"/>
  <c r="D37" i="20"/>
  <c r="C37" i="20" a="1"/>
  <c r="C37" i="20" s="1"/>
  <c r="G36" i="20"/>
  <c r="F36" i="20"/>
  <c r="D36" i="20"/>
  <c r="C36" i="20" a="1"/>
  <c r="C36" i="20" s="1"/>
  <c r="G35" i="20"/>
  <c r="F35" i="20"/>
  <c r="D35" i="20"/>
  <c r="C35" i="20" a="1"/>
  <c r="C35" i="20" s="1"/>
  <c r="G34" i="20"/>
  <c r="F34" i="20"/>
  <c r="D34" i="20"/>
  <c r="C34" i="20" a="1"/>
  <c r="C34" i="20" s="1"/>
  <c r="G33" i="20"/>
  <c r="H33" i="20" s="1"/>
  <c r="F33" i="20"/>
  <c r="D33" i="20"/>
  <c r="C33" i="20" a="1"/>
  <c r="C33" i="20" s="1"/>
  <c r="G32" i="20"/>
  <c r="H32" i="20" s="1"/>
  <c r="F32" i="20"/>
  <c r="D32" i="20"/>
  <c r="C32" i="20" a="1"/>
  <c r="C32" i="20" s="1"/>
  <c r="G31" i="20"/>
  <c r="F31" i="20"/>
  <c r="D31" i="20"/>
  <c r="C31" i="20" a="1"/>
  <c r="C31" i="20" s="1"/>
  <c r="G30" i="20"/>
  <c r="F30" i="20"/>
  <c r="D30" i="20"/>
  <c r="C30" i="20" a="1"/>
  <c r="C30" i="20" s="1"/>
  <c r="G29" i="20"/>
  <c r="F29" i="20"/>
  <c r="D29" i="20"/>
  <c r="C29" i="20" a="1"/>
  <c r="C29" i="20" s="1"/>
  <c r="G28" i="20"/>
  <c r="H28" i="20" s="1"/>
  <c r="F28" i="20"/>
  <c r="D28" i="20"/>
  <c r="C28" i="20" a="1"/>
  <c r="C28" i="20" s="1"/>
  <c r="G27" i="20"/>
  <c r="F27" i="20"/>
  <c r="D27" i="20"/>
  <c r="C27" i="20" a="1"/>
  <c r="C27" i="20" s="1"/>
  <c r="G26" i="20"/>
  <c r="F26" i="20"/>
  <c r="D26" i="20"/>
  <c r="C26" i="20" a="1"/>
  <c r="C26" i="20" s="1"/>
  <c r="G25" i="20"/>
  <c r="J25" i="20" s="1"/>
  <c r="F25" i="20"/>
  <c r="D25" i="20"/>
  <c r="C25" i="20" a="1"/>
  <c r="C25" i="20" s="1"/>
  <c r="G24" i="20"/>
  <c r="I24" i="20" s="1"/>
  <c r="F24" i="20"/>
  <c r="D24" i="20"/>
  <c r="C24" i="20" a="1"/>
  <c r="C24" i="20" s="1"/>
  <c r="G23" i="20"/>
  <c r="F23" i="20"/>
  <c r="D23" i="20"/>
  <c r="C23" i="20" a="1"/>
  <c r="C23" i="20" s="1"/>
  <c r="G22" i="20"/>
  <c r="I22" i="20" s="1"/>
  <c r="F22" i="20"/>
  <c r="D22" i="20"/>
  <c r="C22" i="20" a="1"/>
  <c r="C22" i="20" s="1"/>
  <c r="G21" i="20"/>
  <c r="H21" i="20" s="1"/>
  <c r="F21" i="20"/>
  <c r="D21" i="20"/>
  <c r="C21" i="20" a="1"/>
  <c r="C21" i="20" s="1"/>
  <c r="G20" i="20"/>
  <c r="H20" i="20" s="1"/>
  <c r="F20" i="20"/>
  <c r="D20" i="20"/>
  <c r="C20" i="20" a="1"/>
  <c r="C20" i="20" s="1"/>
  <c r="G19" i="20"/>
  <c r="F19" i="20"/>
  <c r="D19" i="20"/>
  <c r="C19" i="20" a="1"/>
  <c r="C19" i="20" s="1"/>
  <c r="G18" i="20"/>
  <c r="F18" i="20"/>
  <c r="D18" i="20"/>
  <c r="C18" i="20" a="1"/>
  <c r="C18" i="20" s="1"/>
  <c r="G17" i="20"/>
  <c r="H17" i="20" s="1"/>
  <c r="F17" i="20"/>
  <c r="D17" i="20"/>
  <c r="C17" i="20" a="1"/>
  <c r="C17" i="20" s="1"/>
  <c r="G16" i="20"/>
  <c r="H16" i="20" s="1"/>
  <c r="F16" i="20"/>
  <c r="D16" i="20"/>
  <c r="C16" i="20" a="1"/>
  <c r="C16" i="20" s="1"/>
  <c r="G15" i="20"/>
  <c r="F15" i="20"/>
  <c r="D15" i="20"/>
  <c r="C15" i="20" a="1"/>
  <c r="C15" i="20" s="1"/>
  <c r="G14" i="20"/>
  <c r="F14" i="20"/>
  <c r="D14" i="20"/>
  <c r="C14" i="20" a="1"/>
  <c r="C14" i="20" s="1"/>
  <c r="G13" i="20"/>
  <c r="H13" i="20" s="1"/>
  <c r="F13" i="20"/>
  <c r="D13" i="20"/>
  <c r="C13" i="20" a="1"/>
  <c r="C13" i="20" s="1"/>
  <c r="G12" i="20"/>
  <c r="I12" i="20" s="1"/>
  <c r="F12" i="20"/>
  <c r="D12" i="20"/>
  <c r="C12" i="20" a="1"/>
  <c r="C12" i="20" s="1"/>
  <c r="G11" i="20"/>
  <c r="F11" i="20"/>
  <c r="D11" i="20"/>
  <c r="C11" i="20" a="1"/>
  <c r="C11" i="20" s="1"/>
  <c r="G10" i="20"/>
  <c r="H10" i="20" s="1"/>
  <c r="F10" i="20"/>
  <c r="D10" i="20"/>
  <c r="C10" i="20" a="1"/>
  <c r="C10" i="20" s="1"/>
  <c r="G9" i="20"/>
  <c r="F9" i="20"/>
  <c r="D9" i="20"/>
  <c r="C9" i="20" a="1"/>
  <c r="C9" i="20" s="1"/>
  <c r="G8" i="20"/>
  <c r="F8" i="20"/>
  <c r="D8" i="20"/>
  <c r="C8" i="20" a="1"/>
  <c r="C8" i="20" s="1"/>
  <c r="G7" i="20"/>
  <c r="F7" i="20"/>
  <c r="D7" i="20"/>
  <c r="C7" i="20" a="1"/>
  <c r="C7" i="20" s="1"/>
  <c r="G6" i="20"/>
  <c r="F6" i="20"/>
  <c r="D6" i="20"/>
  <c r="C6" i="20" a="1"/>
  <c r="C6" i="20" s="1"/>
  <c r="G5" i="20"/>
  <c r="H5" i="20" s="1"/>
  <c r="F5" i="20"/>
  <c r="D5" i="20"/>
  <c r="C5" i="20" a="1"/>
  <c r="C5" i="20" s="1"/>
  <c r="G4" i="20"/>
  <c r="H4" i="20" s="1"/>
  <c r="F4" i="20"/>
  <c r="D4" i="20"/>
  <c r="C4" i="20" a="1"/>
  <c r="C4" i="20" s="1"/>
  <c r="G3" i="20"/>
  <c r="F3" i="20"/>
  <c r="D3" i="20"/>
  <c r="C3" i="20" a="1"/>
  <c r="C3" i="20" s="1"/>
  <c r="G2" i="20"/>
  <c r="F2" i="20"/>
  <c r="D2" i="20"/>
  <c r="C2" i="20" a="1"/>
  <c r="C2" i="20" s="1"/>
  <c r="E28" i="10"/>
  <c r="E29" i="10"/>
  <c r="E30" i="10"/>
  <c r="E35" i="10"/>
  <c r="F15" i="10"/>
  <c r="F16" i="10"/>
  <c r="F17" i="10"/>
  <c r="F13" i="10"/>
  <c r="F14"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12" i="10"/>
  <c r="N11" i="10"/>
  <c r="M11" i="10"/>
  <c r="C79" i="10"/>
  <c r="I20" i="13" s="1"/>
  <c r="E73" i="10"/>
  <c r="G73" i="10"/>
  <c r="E74" i="10"/>
  <c r="G74" i="10"/>
  <c r="E75" i="10"/>
  <c r="G75" i="10"/>
  <c r="E76" i="10"/>
  <c r="G76" i="10"/>
  <c r="E77" i="10"/>
  <c r="G77" i="10"/>
  <c r="G72" i="10"/>
  <c r="E72" i="10"/>
  <c r="E51" i="10"/>
  <c r="G51" i="10"/>
  <c r="E52" i="10"/>
  <c r="G52" i="10"/>
  <c r="E53" i="10"/>
  <c r="G53" i="10"/>
  <c r="E41" i="10"/>
  <c r="G41" i="10"/>
  <c r="E42" i="10"/>
  <c r="G42" i="10"/>
  <c r="E43" i="10"/>
  <c r="G43" i="10"/>
  <c r="G30" i="10"/>
  <c r="G29" i="10"/>
  <c r="G28" i="10"/>
  <c r="G26" i="10"/>
  <c r="E26" i="10"/>
  <c r="G21" i="10"/>
  <c r="E21" i="10"/>
  <c r="G20" i="10"/>
  <c r="E20" i="10"/>
  <c r="G13" i="10"/>
  <c r="G14" i="10"/>
  <c r="G15" i="10"/>
  <c r="G16" i="10"/>
  <c r="G17" i="10"/>
  <c r="G18" i="10"/>
  <c r="G19" i="10"/>
  <c r="G22" i="10"/>
  <c r="G23" i="10"/>
  <c r="G24" i="10"/>
  <c r="G25" i="10"/>
  <c r="G27" i="10"/>
  <c r="G31" i="10"/>
  <c r="G32" i="10"/>
  <c r="G33" i="10"/>
  <c r="G34" i="10"/>
  <c r="G35" i="10"/>
  <c r="G36" i="10"/>
  <c r="G37" i="10"/>
  <c r="G38" i="10"/>
  <c r="G39" i="10"/>
  <c r="G40" i="10"/>
  <c r="G44" i="10"/>
  <c r="G45" i="10"/>
  <c r="G46" i="10"/>
  <c r="G47" i="10"/>
  <c r="G48" i="10"/>
  <c r="G49" i="10"/>
  <c r="G50" i="10"/>
  <c r="G54" i="10"/>
  <c r="G55" i="10"/>
  <c r="G56" i="10"/>
  <c r="G57" i="10"/>
  <c r="G58" i="10"/>
  <c r="G59" i="10"/>
  <c r="G60" i="10"/>
  <c r="G61" i="10"/>
  <c r="G62" i="10"/>
  <c r="G63" i="10"/>
  <c r="G64" i="10"/>
  <c r="G65" i="10"/>
  <c r="G66" i="10"/>
  <c r="G67" i="10"/>
  <c r="G68" i="10"/>
  <c r="G69" i="10"/>
  <c r="G70" i="10"/>
  <c r="G71" i="10"/>
  <c r="G12" i="10"/>
  <c r="E13" i="10"/>
  <c r="E14" i="10"/>
  <c r="E15" i="10"/>
  <c r="E16" i="10"/>
  <c r="E17" i="10"/>
  <c r="E18" i="10"/>
  <c r="E19" i="10"/>
  <c r="E22" i="10"/>
  <c r="E23" i="10"/>
  <c r="E24" i="10"/>
  <c r="E25" i="10"/>
  <c r="E27" i="10"/>
  <c r="E31" i="10"/>
  <c r="E32" i="10"/>
  <c r="E33" i="10"/>
  <c r="E34" i="10"/>
  <c r="E36" i="10"/>
  <c r="E37" i="10"/>
  <c r="E38" i="10"/>
  <c r="E39" i="10"/>
  <c r="E40" i="10"/>
  <c r="E44" i="10"/>
  <c r="E45" i="10"/>
  <c r="E46" i="10"/>
  <c r="E47" i="10"/>
  <c r="E48" i="10"/>
  <c r="E49" i="10"/>
  <c r="E50" i="10"/>
  <c r="E54" i="10"/>
  <c r="E55" i="10"/>
  <c r="E56" i="10"/>
  <c r="E57" i="10"/>
  <c r="E58" i="10"/>
  <c r="E59" i="10"/>
  <c r="E60" i="10"/>
  <c r="E61" i="10"/>
  <c r="E62" i="10"/>
  <c r="E63" i="10"/>
  <c r="E64" i="10"/>
  <c r="E65" i="10"/>
  <c r="E66" i="10"/>
  <c r="E67" i="10"/>
  <c r="E68" i="10"/>
  <c r="E69" i="10"/>
  <c r="E70" i="10"/>
  <c r="E71" i="10"/>
  <c r="E12" i="10"/>
  <c r="I64" i="9"/>
  <c r="I68" i="9"/>
  <c r="I12" i="9"/>
  <c r="B4" i="9"/>
  <c r="B18" i="9"/>
  <c r="B23" i="9"/>
  <c r="B36" i="9"/>
  <c r="B39" i="9"/>
  <c r="B40" i="9"/>
  <c r="B42" i="9"/>
  <c r="B43" i="9"/>
  <c r="B44" i="9"/>
  <c r="B82" i="9"/>
  <c r="B117" i="9"/>
  <c r="B122" i="9"/>
  <c r="C4" i="9"/>
  <c r="C18" i="9"/>
  <c r="C23" i="9"/>
  <c r="C36" i="9"/>
  <c r="C39" i="9"/>
  <c r="C40" i="9"/>
  <c r="C42" i="9"/>
  <c r="C43" i="9"/>
  <c r="C44" i="9"/>
  <c r="C82" i="9"/>
  <c r="C117" i="9"/>
  <c r="C122" i="9"/>
  <c r="I19" i="9"/>
  <c r="B15" i="9"/>
  <c r="C15" i="9"/>
  <c r="B81" i="9"/>
  <c r="C81" i="9"/>
  <c r="I44" i="9"/>
  <c r="B79" i="9"/>
  <c r="B80" i="9"/>
  <c r="C79" i="9"/>
  <c r="C80" i="9"/>
  <c r="I42" i="9"/>
  <c r="I43" i="9"/>
  <c r="G1229" i="8"/>
  <c r="H1229" i="8" s="1"/>
  <c r="G1236" i="8"/>
  <c r="H1236" i="8" s="1"/>
  <c r="G1202" i="8"/>
  <c r="J1202" i="8" s="1"/>
  <c r="G1180" i="8"/>
  <c r="H1180" i="8" s="1"/>
  <c r="G1235" i="8"/>
  <c r="H1235" i="8" s="1"/>
  <c r="G1234" i="8"/>
  <c r="J1234" i="8" s="1"/>
  <c r="G1233" i="8"/>
  <c r="I1233" i="8" s="1"/>
  <c r="G1215" i="8"/>
  <c r="J1215" i="8" s="1"/>
  <c r="G1214" i="8"/>
  <c r="H1214" i="8" s="1"/>
  <c r="G1155" i="8"/>
  <c r="H1155" i="8" s="1"/>
  <c r="G1154" i="8"/>
  <c r="H1154" i="8" s="1"/>
  <c r="G1225" i="8"/>
  <c r="J1225" i="8" s="1"/>
  <c r="G1227" i="8"/>
  <c r="H1227" i="8" s="1"/>
  <c r="G1228" i="8"/>
  <c r="J1228" i="8" s="1"/>
  <c r="G1226" i="8"/>
  <c r="H1226" i="8" s="1"/>
  <c r="G1224" i="8"/>
  <c r="J1224" i="8" s="1"/>
  <c r="G1223" i="8"/>
  <c r="H1223" i="8" s="1"/>
  <c r="G1222" i="8"/>
  <c r="J1222" i="8" s="1"/>
  <c r="G1217" i="8"/>
  <c r="H1217" i="8" s="1"/>
  <c r="G1237" i="8"/>
  <c r="J1237" i="8" s="1"/>
  <c r="G1220" i="8"/>
  <c r="H1220" i="8" s="1"/>
  <c r="G1219" i="8"/>
  <c r="H1219" i="8" s="1"/>
  <c r="G1218" i="8"/>
  <c r="J1218" i="8" s="1"/>
  <c r="G1213" i="8"/>
  <c r="H1213" i="8" s="1"/>
  <c r="G1212" i="8"/>
  <c r="H1212" i="8" s="1"/>
  <c r="G1186" i="8"/>
  <c r="H1186" i="8" s="1"/>
  <c r="G1185" i="8"/>
  <c r="H1185" i="8" s="1"/>
  <c r="G1168" i="8"/>
  <c r="H1168" i="8" s="1"/>
  <c r="G1167" i="8"/>
  <c r="H1167" i="8" s="1"/>
  <c r="G1134" i="8"/>
  <c r="J1134" i="8" s="1"/>
  <c r="G1133" i="8"/>
  <c r="J1133" i="8" s="1"/>
  <c r="G1111" i="8"/>
  <c r="H1111" i="8" s="1"/>
  <c r="G1110" i="8"/>
  <c r="H1110" i="8" s="1"/>
  <c r="G1084" i="8"/>
  <c r="J1084" i="8" s="1"/>
  <c r="G1083" i="8"/>
  <c r="H1083" i="8" s="1"/>
  <c r="G1050" i="8"/>
  <c r="H1050" i="8" s="1"/>
  <c r="G1049" i="8"/>
  <c r="H1049" i="8" s="1"/>
  <c r="G1196" i="8"/>
  <c r="J1196" i="8" s="1"/>
  <c r="G1216" i="8"/>
  <c r="J1216" i="8" s="1"/>
  <c r="G1207" i="8"/>
  <c r="H1207" i="8" s="1"/>
  <c r="G1209" i="8"/>
  <c r="J1209" i="8" s="1"/>
  <c r="G1208" i="8"/>
  <c r="H1208" i="8" s="1"/>
  <c r="G1204" i="8"/>
  <c r="J1204" i="8" s="1"/>
  <c r="G1203" i="8"/>
  <c r="H1203" i="8" s="1"/>
  <c r="G1198" i="8"/>
  <c r="H1198" i="8" s="1"/>
  <c r="G1174" i="8"/>
  <c r="H1174" i="8" s="1"/>
  <c r="G1179" i="8"/>
  <c r="J1179" i="8" s="1"/>
  <c r="G1178" i="8"/>
  <c r="H1178" i="8" s="1"/>
  <c r="G1201" i="8"/>
  <c r="J1201" i="8" s="1"/>
  <c r="G1200" i="8"/>
  <c r="H1200" i="8" s="1"/>
  <c r="G1199" i="8"/>
  <c r="H1199" i="8" s="1"/>
  <c r="G1197" i="8"/>
  <c r="J1197" i="8" s="1"/>
  <c r="G1191" i="8"/>
  <c r="H1191" i="8" s="1"/>
  <c r="G1194" i="8"/>
  <c r="J1194" i="8" s="1"/>
  <c r="G1195" i="8"/>
  <c r="J1195" i="8" s="1"/>
  <c r="G1192" i="8"/>
  <c r="H1192" i="8" s="1"/>
  <c r="G1193" i="8"/>
  <c r="J1193" i="8" s="1"/>
  <c r="G1182" i="8"/>
  <c r="H1182" i="8" s="1"/>
  <c r="G1190" i="8"/>
  <c r="J1190" i="8" s="1"/>
  <c r="G1188" i="8"/>
  <c r="H1188" i="8" s="1"/>
  <c r="G1184" i="8"/>
  <c r="H1184" i="8" s="1"/>
  <c r="G1183" i="8"/>
  <c r="H1183" i="8" s="1"/>
  <c r="G1181" i="8"/>
  <c r="J1181" i="8" s="1"/>
  <c r="G1177" i="8"/>
  <c r="H1177" i="8" s="1"/>
  <c r="G1176" i="8"/>
  <c r="J1176" i="8" s="1"/>
  <c r="G1175" i="8"/>
  <c r="H1175" i="8" s="1"/>
  <c r="G1173" i="8"/>
  <c r="J1173" i="8" s="1"/>
  <c r="G1151" i="8"/>
  <c r="H1151" i="8" s="1"/>
  <c r="G1150" i="8"/>
  <c r="H1150" i="8" s="1"/>
  <c r="G1172" i="8"/>
  <c r="J1172" i="8" s="1"/>
  <c r="G1171" i="8"/>
  <c r="H1171" i="8" s="1"/>
  <c r="G1170" i="8"/>
  <c r="J1170" i="8" s="1"/>
  <c r="G1169" i="8"/>
  <c r="G1162" i="8"/>
  <c r="H1162" i="8" s="1"/>
  <c r="G1164" i="8"/>
  <c r="J1164" i="8" s="1"/>
  <c r="G1165" i="8"/>
  <c r="H1165" i="8" s="1"/>
  <c r="G1166" i="8"/>
  <c r="H1166" i="8" s="1"/>
  <c r="G1163" i="8"/>
  <c r="H1163" i="8" s="1"/>
  <c r="G415" i="8"/>
  <c r="G431" i="8"/>
  <c r="G466" i="8"/>
  <c r="G495" i="8"/>
  <c r="G554" i="8"/>
  <c r="G385" i="8"/>
  <c r="G433" i="8"/>
  <c r="G468" i="8"/>
  <c r="J468" i="8" s="1"/>
  <c r="G497" i="8"/>
  <c r="G556" i="8"/>
  <c r="H556" i="8" s="1"/>
  <c r="G417" i="8"/>
  <c r="G435" i="8"/>
  <c r="G470" i="8"/>
  <c r="G499" i="8"/>
  <c r="G558" i="8"/>
  <c r="H558" i="8" s="1"/>
  <c r="G639" i="8"/>
  <c r="G641" i="8"/>
  <c r="G643" i="8"/>
  <c r="G587" i="8"/>
  <c r="G589" i="8"/>
  <c r="G591" i="8"/>
  <c r="G697" i="8"/>
  <c r="G699" i="8"/>
  <c r="G701" i="8"/>
  <c r="G737" i="8"/>
  <c r="G739" i="8"/>
  <c r="G741" i="8"/>
  <c r="G837" i="8"/>
  <c r="H837" i="8" s="1"/>
  <c r="G839" i="8"/>
  <c r="G835" i="8"/>
  <c r="G796" i="8"/>
  <c r="J796" i="8" s="1"/>
  <c r="G798" i="8"/>
  <c r="G800" i="8"/>
  <c r="G881" i="8"/>
  <c r="G883" i="8"/>
  <c r="G885" i="8"/>
  <c r="J885" i="8" s="1"/>
  <c r="G614" i="8"/>
  <c r="G519" i="8"/>
  <c r="G616" i="8"/>
  <c r="G618" i="8"/>
  <c r="G521" i="8"/>
  <c r="G523" i="8"/>
  <c r="G918" i="8"/>
  <c r="G920" i="8"/>
  <c r="G922" i="8"/>
  <c r="H922" i="8" s="1"/>
  <c r="G967" i="8"/>
  <c r="H967" i="8" s="1"/>
  <c r="G969" i="8"/>
  <c r="G971" i="8"/>
  <c r="G996" i="8"/>
  <c r="J996" i="8" s="1"/>
  <c r="G998" i="8"/>
  <c r="J998" i="8" s="1"/>
  <c r="G1000" i="8"/>
  <c r="G1076" i="8"/>
  <c r="H1076" i="8" s="1"/>
  <c r="G1078" i="8"/>
  <c r="J1078" i="8" s="1"/>
  <c r="G1080" i="8"/>
  <c r="H1080" i="8" s="1"/>
  <c r="G944" i="8"/>
  <c r="G946" i="8"/>
  <c r="H946" i="8" s="1"/>
  <c r="G948" i="8"/>
  <c r="J948" i="8" s="1"/>
  <c r="G854" i="8"/>
  <c r="G856" i="8"/>
  <c r="G858" i="8"/>
  <c r="J858" i="8" s="1"/>
  <c r="G775" i="8"/>
  <c r="G777" i="8"/>
  <c r="G779" i="8"/>
  <c r="G678" i="8"/>
  <c r="G680" i="8"/>
  <c r="G682" i="8"/>
  <c r="J682" i="8" s="1"/>
  <c r="G1023" i="8"/>
  <c r="H1023" i="8" s="1"/>
  <c r="G1025" i="8"/>
  <c r="H1025" i="8" s="1"/>
  <c r="G1027" i="8"/>
  <c r="H1027" i="8" s="1"/>
  <c r="G1146" i="8"/>
  <c r="H1146" i="8" s="1"/>
  <c r="G1160" i="8"/>
  <c r="H1160" i="8" s="1"/>
  <c r="G1158" i="8"/>
  <c r="H1158" i="8" s="1"/>
  <c r="G1159" i="8"/>
  <c r="J1159" i="8" s="1"/>
  <c r="G1156" i="8"/>
  <c r="J1156" i="8" s="1"/>
  <c r="G1149" i="8"/>
  <c r="H1149" i="8" s="1"/>
  <c r="G1147" i="8"/>
  <c r="H1147" i="8" s="1"/>
  <c r="G1148" i="8"/>
  <c r="J1148" i="8" s="1"/>
  <c r="G1145" i="8"/>
  <c r="J1145" i="8" s="1"/>
  <c r="G1136" i="8"/>
  <c r="J1136" i="8" s="1"/>
  <c r="G1144" i="8"/>
  <c r="J1144" i="8" s="1"/>
  <c r="G1091" i="8"/>
  <c r="J1091" i="8" s="1"/>
  <c r="G1132" i="8"/>
  <c r="H1132" i="8" s="1"/>
  <c r="G1120" i="8"/>
  <c r="H1120" i="8" s="1"/>
  <c r="G1129" i="8"/>
  <c r="J1129" i="8" s="1"/>
  <c r="G1139" i="8"/>
  <c r="H1139" i="8" s="1"/>
  <c r="G1143" i="8"/>
  <c r="J1143" i="8" s="1"/>
  <c r="G1141" i="8"/>
  <c r="J1141" i="8" s="1"/>
  <c r="G1142" i="8"/>
  <c r="J1142" i="8" s="1"/>
  <c r="G1140" i="8"/>
  <c r="H1140" i="8" s="1"/>
  <c r="G1137" i="8"/>
  <c r="H1137" i="8" s="1"/>
  <c r="G1138" i="8"/>
  <c r="H1138" i="8" s="1"/>
  <c r="G1135" i="8"/>
  <c r="H1135" i="8" s="1"/>
  <c r="G1131" i="8"/>
  <c r="H1131" i="8" s="1"/>
  <c r="G1130" i="8"/>
  <c r="J1130" i="8" s="1"/>
  <c r="G1126" i="8"/>
  <c r="J1126" i="8" s="1"/>
  <c r="G1125" i="8"/>
  <c r="H1125" i="8" s="1"/>
  <c r="G1124" i="8"/>
  <c r="J1124" i="8" s="1"/>
  <c r="G1123" i="8"/>
  <c r="H1123" i="8" s="1"/>
  <c r="G1122" i="8"/>
  <c r="H1122" i="8" s="1"/>
  <c r="C1122" i="8" a="1"/>
  <c r="C1122" i="8" s="1"/>
  <c r="D1122" i="8"/>
  <c r="F1122" i="8"/>
  <c r="R1122" i="8"/>
  <c r="T1122" i="8"/>
  <c r="C1229" i="8" a="1"/>
  <c r="C1229" i="8" s="1"/>
  <c r="C1238" i="8" a="1"/>
  <c r="C1238" i="8" s="1"/>
  <c r="C1236" i="8" a="1"/>
  <c r="C1236" i="8" s="1"/>
  <c r="C1202" i="8" a="1"/>
  <c r="C1202" i="8" s="1"/>
  <c r="C1180" i="8" a="1"/>
  <c r="C1180" i="8" s="1"/>
  <c r="C1235" i="8" a="1"/>
  <c r="C1235" i="8" s="1"/>
  <c r="C1234" i="8" a="1"/>
  <c r="C1234" i="8" s="1"/>
  <c r="C1233" i="8" a="1"/>
  <c r="C1233" i="8" s="1"/>
  <c r="C1189" i="8" a="1"/>
  <c r="C1189" i="8" s="1"/>
  <c r="C1187" i="8" a="1"/>
  <c r="C1187" i="8" s="1"/>
  <c r="C1232" i="8" a="1"/>
  <c r="C1232" i="8" s="1"/>
  <c r="C1231" i="8" a="1"/>
  <c r="C1231" i="8" s="1"/>
  <c r="C1230" i="8" a="1"/>
  <c r="C1230" i="8" s="1"/>
  <c r="C1215" i="8" a="1"/>
  <c r="C1215" i="8" s="1"/>
  <c r="C1214" i="8" a="1"/>
  <c r="C1214" i="8" s="1"/>
  <c r="C1155" i="8" a="1"/>
  <c r="C1155" i="8" s="1"/>
  <c r="C1154" i="8" a="1"/>
  <c r="C1154" i="8" s="1"/>
  <c r="C1225" i="8" a="1"/>
  <c r="C1225" i="8" s="1"/>
  <c r="C1227" i="8" a="1"/>
  <c r="C1227" i="8" s="1"/>
  <c r="C1228" i="8" a="1"/>
  <c r="C1228" i="8" s="1"/>
  <c r="C1226" i="8" a="1"/>
  <c r="C1226" i="8" s="1"/>
  <c r="C1224" i="8" a="1"/>
  <c r="C1224" i="8" s="1"/>
  <c r="C1221" i="8" a="1"/>
  <c r="C1221" i="8" s="1"/>
  <c r="C1223" i="8" a="1"/>
  <c r="C1223" i="8" s="1"/>
  <c r="C1222" i="8" a="1"/>
  <c r="C1222" i="8" s="1"/>
  <c r="C1217" i="8" a="1"/>
  <c r="C1217" i="8" s="1"/>
  <c r="C1237" i="8" a="1"/>
  <c r="C1237" i="8" s="1"/>
  <c r="C1220" i="8" a="1"/>
  <c r="C1220" i="8" s="1"/>
  <c r="C1219" i="8" a="1"/>
  <c r="C1219" i="8" s="1"/>
  <c r="C1218" i="8" a="1"/>
  <c r="C1218" i="8" s="1"/>
  <c r="C1213" i="8" a="1"/>
  <c r="C1213" i="8" s="1"/>
  <c r="C1212" i="8" a="1"/>
  <c r="C1212" i="8" s="1"/>
  <c r="C1186" i="8" a="1"/>
  <c r="C1186" i="8" s="1"/>
  <c r="C1185" i="8" a="1"/>
  <c r="C1185" i="8" s="1"/>
  <c r="C1168" i="8" a="1"/>
  <c r="C1168" i="8" s="1"/>
  <c r="C1167" i="8" a="1"/>
  <c r="C1167" i="8" s="1"/>
  <c r="C1134" i="8" a="1"/>
  <c r="C1134" i="8" s="1"/>
  <c r="C1133" i="8" a="1"/>
  <c r="C1133" i="8" s="1"/>
  <c r="C1111" i="8" a="1"/>
  <c r="C1111" i="8" s="1"/>
  <c r="C1110" i="8" a="1"/>
  <c r="C1110" i="8" s="1"/>
  <c r="C1084" i="8" a="1"/>
  <c r="C1084" i="8" s="1"/>
  <c r="C1083" i="8" a="1"/>
  <c r="C1083" i="8" s="1"/>
  <c r="C1050" i="8" a="1"/>
  <c r="C1050" i="8" s="1"/>
  <c r="C1049" i="8" a="1"/>
  <c r="C1049" i="8" s="1"/>
  <c r="C1196" i="8" a="1"/>
  <c r="C1196" i="8" s="1"/>
  <c r="C1216" i="8" a="1"/>
  <c r="C1216" i="8" s="1"/>
  <c r="C1207" i="8" a="1"/>
  <c r="C1207" i="8" s="1"/>
  <c r="C1211" i="8" a="1"/>
  <c r="C1211" i="8" s="1"/>
  <c r="C1210" i="8" a="1"/>
  <c r="C1210" i="8" s="1"/>
  <c r="C1209" i="8" a="1"/>
  <c r="C1209" i="8" s="1"/>
  <c r="C1208" i="8" a="1"/>
  <c r="C1208" i="8" s="1"/>
  <c r="C1206" i="8" a="1"/>
  <c r="C1206" i="8" s="1"/>
  <c r="C1205" i="8" a="1"/>
  <c r="C1205" i="8" s="1"/>
  <c r="C1204" i="8" a="1"/>
  <c r="C1204" i="8" s="1"/>
  <c r="C1203" i="8" a="1"/>
  <c r="C1203" i="8" s="1"/>
  <c r="C1198" i="8" a="1"/>
  <c r="C1198" i="8" s="1"/>
  <c r="C1174" i="8" a="1"/>
  <c r="C1174" i="8" s="1"/>
  <c r="C1179" i="8" a="1"/>
  <c r="C1179" i="8" s="1"/>
  <c r="C1178" i="8" a="1"/>
  <c r="C1178" i="8" s="1"/>
  <c r="C1201" i="8" a="1"/>
  <c r="C1201" i="8" s="1"/>
  <c r="C1200" i="8" a="1"/>
  <c r="C1200" i="8" s="1"/>
  <c r="C1199" i="8" a="1"/>
  <c r="C1199" i="8" s="1"/>
  <c r="C1197" i="8" a="1"/>
  <c r="C1197" i="8" s="1"/>
  <c r="C1191" i="8" a="1"/>
  <c r="C1191" i="8" s="1"/>
  <c r="C1194" i="8" a="1"/>
  <c r="C1194" i="8" s="1"/>
  <c r="C1195" i="8" a="1"/>
  <c r="C1195" i="8" s="1"/>
  <c r="C1192" i="8" a="1"/>
  <c r="C1192" i="8" s="1"/>
  <c r="C1193" i="8" a="1"/>
  <c r="C1193" i="8" s="1"/>
  <c r="C1182" i="8" a="1"/>
  <c r="C1182" i="8" s="1"/>
  <c r="C1190" i="8" a="1"/>
  <c r="C1190" i="8" s="1"/>
  <c r="C1188" i="8" a="1"/>
  <c r="C1188" i="8" s="1"/>
  <c r="C1184" i="8" a="1"/>
  <c r="C1184" i="8" s="1"/>
  <c r="C1183" i="8" a="1"/>
  <c r="C1183" i="8" s="1"/>
  <c r="C1181" i="8" a="1"/>
  <c r="C1181" i="8" s="1"/>
  <c r="C1177" i="8" a="1"/>
  <c r="C1177" i="8" s="1"/>
  <c r="C1176" i="8" a="1"/>
  <c r="C1176" i="8" s="1"/>
  <c r="C1175" i="8" a="1"/>
  <c r="C1175" i="8" s="1"/>
  <c r="C1173" i="8" a="1"/>
  <c r="C1173" i="8" s="1"/>
  <c r="C1151" i="8" a="1"/>
  <c r="C1151" i="8" s="1"/>
  <c r="C1150" i="8" a="1"/>
  <c r="C1150" i="8" s="1"/>
  <c r="C1172" i="8" a="1"/>
  <c r="C1172" i="8" s="1"/>
  <c r="C1171" i="8" a="1"/>
  <c r="C1171" i="8" s="1"/>
  <c r="C1170" i="8" a="1"/>
  <c r="C1170" i="8" s="1"/>
  <c r="C1169" i="8" a="1"/>
  <c r="C1169" i="8" s="1"/>
  <c r="C1162" i="8" a="1"/>
  <c r="C1162" i="8" s="1"/>
  <c r="C1164" i="8" a="1"/>
  <c r="C1164" i="8" s="1"/>
  <c r="C1165" i="8" a="1"/>
  <c r="C1165" i="8" s="1"/>
  <c r="C1166" i="8" a="1"/>
  <c r="C1166" i="8" s="1"/>
  <c r="C1163" i="8" a="1"/>
  <c r="C1163" i="8" s="1"/>
  <c r="C1161" i="8" a="1"/>
  <c r="C1161" i="8" s="1"/>
  <c r="C415" i="8" a="1"/>
  <c r="C415" i="8" s="1"/>
  <c r="C431" i="8" a="1"/>
  <c r="C431" i="8" s="1"/>
  <c r="C466" i="8" a="1"/>
  <c r="C466" i="8" s="1"/>
  <c r="C495" i="8" a="1"/>
  <c r="C495" i="8" s="1"/>
  <c r="C554" i="8" a="1"/>
  <c r="C554" i="8" s="1"/>
  <c r="C385" i="8" a="1"/>
  <c r="C385" i="8" s="1"/>
  <c r="C433" i="8" a="1"/>
  <c r="C433" i="8" s="1"/>
  <c r="C468" i="8" a="1"/>
  <c r="C468" i="8" s="1"/>
  <c r="C497" i="8" a="1"/>
  <c r="C497" i="8" s="1"/>
  <c r="C556" i="8" a="1"/>
  <c r="C556" i="8" s="1"/>
  <c r="C417" i="8" a="1"/>
  <c r="C417" i="8" s="1"/>
  <c r="C435" i="8" a="1"/>
  <c r="C435" i="8" s="1"/>
  <c r="C470" i="8" a="1"/>
  <c r="C470" i="8" s="1"/>
  <c r="C499" i="8" a="1"/>
  <c r="C499" i="8" s="1"/>
  <c r="C558" i="8" a="1"/>
  <c r="C558" i="8" s="1"/>
  <c r="C639" i="8" a="1"/>
  <c r="C639" i="8" s="1"/>
  <c r="C641" i="8" a="1"/>
  <c r="C641" i="8" s="1"/>
  <c r="C643" i="8" a="1"/>
  <c r="C643" i="8" s="1"/>
  <c r="C587" i="8" a="1"/>
  <c r="C587" i="8" s="1"/>
  <c r="C589" i="8" a="1"/>
  <c r="C589" i="8" s="1"/>
  <c r="C591" i="8" a="1"/>
  <c r="C591" i="8" s="1"/>
  <c r="C697" i="8" a="1"/>
  <c r="C697" i="8" s="1"/>
  <c r="C699" i="8" a="1"/>
  <c r="C699" i="8" s="1"/>
  <c r="C701" i="8" a="1"/>
  <c r="C701" i="8" s="1"/>
  <c r="C737" i="8" a="1"/>
  <c r="C737" i="8" s="1"/>
  <c r="C739" i="8" a="1"/>
  <c r="C739" i="8" s="1"/>
  <c r="C741" i="8" a="1"/>
  <c r="C741" i="8" s="1"/>
  <c r="C837" i="8" a="1"/>
  <c r="C837" i="8" s="1"/>
  <c r="C839" i="8" a="1"/>
  <c r="C839" i="8" s="1"/>
  <c r="C835" i="8" a="1"/>
  <c r="C835" i="8" s="1"/>
  <c r="C796" i="8" a="1"/>
  <c r="C796" i="8" s="1"/>
  <c r="C798" i="8" a="1"/>
  <c r="C798" i="8" s="1"/>
  <c r="C800" i="8" a="1"/>
  <c r="C800" i="8" s="1"/>
  <c r="C881" i="8" a="1"/>
  <c r="C881" i="8" s="1"/>
  <c r="C883" i="8" a="1"/>
  <c r="C883" i="8" s="1"/>
  <c r="C885" i="8" a="1"/>
  <c r="C885" i="8" s="1"/>
  <c r="C614" i="8" a="1"/>
  <c r="C614" i="8" s="1"/>
  <c r="C519" i="8" a="1"/>
  <c r="C519" i="8" s="1"/>
  <c r="C616" i="8" a="1"/>
  <c r="C616" i="8" s="1"/>
  <c r="C618" i="8" a="1"/>
  <c r="C618" i="8" s="1"/>
  <c r="C521" i="8" a="1"/>
  <c r="C521" i="8" s="1"/>
  <c r="C523" i="8" a="1"/>
  <c r="C523" i="8" s="1"/>
  <c r="C918" i="8" a="1"/>
  <c r="C918" i="8" s="1"/>
  <c r="C920" i="8" a="1"/>
  <c r="C920" i="8" s="1"/>
  <c r="C922" i="8" a="1"/>
  <c r="C922" i="8" s="1"/>
  <c r="C967" i="8" a="1"/>
  <c r="C967" i="8" s="1"/>
  <c r="C969" i="8" a="1"/>
  <c r="C969" i="8" s="1"/>
  <c r="C971" i="8" a="1"/>
  <c r="C971" i="8" s="1"/>
  <c r="C996" i="8" a="1"/>
  <c r="C996" i="8" s="1"/>
  <c r="C998" i="8" a="1"/>
  <c r="C998" i="8" s="1"/>
  <c r="C1000" i="8" a="1"/>
  <c r="C1000" i="8" s="1"/>
  <c r="C1076" i="8" a="1"/>
  <c r="C1076" i="8" s="1"/>
  <c r="C1078" i="8" a="1"/>
  <c r="C1078" i="8" s="1"/>
  <c r="C1080" i="8" a="1"/>
  <c r="C1080" i="8" s="1"/>
  <c r="C944" i="8" a="1"/>
  <c r="C944" i="8" s="1"/>
  <c r="C946" i="8" a="1"/>
  <c r="C946" i="8" s="1"/>
  <c r="C948" i="8" a="1"/>
  <c r="C948" i="8" s="1"/>
  <c r="C854" i="8" a="1"/>
  <c r="C854" i="8" s="1"/>
  <c r="C856" i="8" a="1"/>
  <c r="C856" i="8" s="1"/>
  <c r="C858" i="8" a="1"/>
  <c r="C858" i="8" s="1"/>
  <c r="C775" i="8" a="1"/>
  <c r="C775" i="8" s="1"/>
  <c r="C777" i="8" a="1"/>
  <c r="C777" i="8" s="1"/>
  <c r="C779" i="8" a="1"/>
  <c r="C779" i="8" s="1"/>
  <c r="C678" i="8" a="1"/>
  <c r="C678" i="8" s="1"/>
  <c r="C680" i="8" a="1"/>
  <c r="C680" i="8" s="1"/>
  <c r="C682" i="8" a="1"/>
  <c r="C682" i="8" s="1"/>
  <c r="C1023" i="8" a="1"/>
  <c r="C1023" i="8" s="1"/>
  <c r="C1025" i="8" a="1"/>
  <c r="C1025" i="8" s="1"/>
  <c r="C1027" i="8" a="1"/>
  <c r="C1027" i="8" s="1"/>
  <c r="C1146" i="8" a="1"/>
  <c r="C1146" i="8" s="1"/>
  <c r="C1160" i="8" a="1"/>
  <c r="C1160" i="8" s="1"/>
  <c r="C1158" i="8" a="1"/>
  <c r="C1158" i="8" s="1"/>
  <c r="C1159" i="8" a="1"/>
  <c r="C1159" i="8" s="1"/>
  <c r="C1157" i="8" a="1"/>
  <c r="C1157" i="8" s="1"/>
  <c r="C1156" i="8" a="1"/>
  <c r="C1156" i="8" s="1"/>
  <c r="C1153" i="8" a="1"/>
  <c r="C1153" i="8" s="1"/>
  <c r="C1152" i="8" a="1"/>
  <c r="C1152" i="8" s="1"/>
  <c r="C1149" i="8" a="1"/>
  <c r="C1149" i="8" s="1"/>
  <c r="C1147" i="8" a="1"/>
  <c r="C1147" i="8" s="1"/>
  <c r="C1148" i="8" a="1"/>
  <c r="C1148" i="8" s="1"/>
  <c r="C1145" i="8" a="1"/>
  <c r="C1145" i="8" s="1"/>
  <c r="C1136" i="8" a="1"/>
  <c r="C1136" i="8" s="1"/>
  <c r="C1144" i="8" a="1"/>
  <c r="C1144" i="8" s="1"/>
  <c r="C1091" i="8" a="1"/>
  <c r="C1091" i="8" s="1"/>
  <c r="C1132" i="8" a="1"/>
  <c r="C1132" i="8" s="1"/>
  <c r="C1120" i="8" a="1"/>
  <c r="C1120" i="8" s="1"/>
  <c r="C1129" i="8" a="1"/>
  <c r="C1129" i="8" s="1"/>
  <c r="C1139" i="8" a="1"/>
  <c r="C1139" i="8" s="1"/>
  <c r="C1143" i="8" a="1"/>
  <c r="C1143" i="8" s="1"/>
  <c r="C1141" i="8" a="1"/>
  <c r="C1141" i="8" s="1"/>
  <c r="C1142" i="8" a="1"/>
  <c r="C1142" i="8" s="1"/>
  <c r="C1140" i="8" a="1"/>
  <c r="C1140" i="8" s="1"/>
  <c r="C1137" i="8" a="1"/>
  <c r="C1137" i="8" s="1"/>
  <c r="C1138" i="8" a="1"/>
  <c r="C1138" i="8" s="1"/>
  <c r="C1135" i="8" a="1"/>
  <c r="C1135" i="8" s="1"/>
  <c r="C1131" i="8" a="1"/>
  <c r="C1131" i="8" s="1"/>
  <c r="C1119" i="8" a="1"/>
  <c r="C1119" i="8" s="1"/>
  <c r="C1130" i="8" a="1"/>
  <c r="C1130" i="8" s="1"/>
  <c r="C1128" i="8" a="1"/>
  <c r="C1128" i="8" s="1"/>
  <c r="C1127" i="8" a="1"/>
  <c r="C1127" i="8" s="1"/>
  <c r="C1126" i="8" a="1"/>
  <c r="C1126" i="8" s="1"/>
  <c r="C1125" i="8" a="1"/>
  <c r="C1125" i="8" s="1"/>
  <c r="C1124" i="8" a="1"/>
  <c r="C1124" i="8" s="1"/>
  <c r="C1123" i="8" a="1"/>
  <c r="C1123" i="8" s="1"/>
  <c r="D1229" i="8"/>
  <c r="D1238" i="8"/>
  <c r="D1236" i="8"/>
  <c r="D1202" i="8"/>
  <c r="D1180" i="8"/>
  <c r="D1235" i="8"/>
  <c r="D1234" i="8"/>
  <c r="D1233" i="8"/>
  <c r="D1189" i="8"/>
  <c r="D1187" i="8"/>
  <c r="D1232" i="8"/>
  <c r="D1231" i="8"/>
  <c r="D1230" i="8"/>
  <c r="D1215" i="8"/>
  <c r="D1214" i="8"/>
  <c r="D1155" i="8"/>
  <c r="D1154" i="8"/>
  <c r="D1225" i="8"/>
  <c r="D1227" i="8"/>
  <c r="D1228" i="8"/>
  <c r="D1226" i="8"/>
  <c r="D1224" i="8"/>
  <c r="D1221" i="8"/>
  <c r="D1223" i="8"/>
  <c r="D1222" i="8"/>
  <c r="D1217" i="8"/>
  <c r="D1237" i="8"/>
  <c r="D1220" i="8"/>
  <c r="D1219" i="8"/>
  <c r="D1218" i="8"/>
  <c r="D1213" i="8"/>
  <c r="D1212" i="8"/>
  <c r="D1186" i="8"/>
  <c r="D1185" i="8"/>
  <c r="D1168" i="8"/>
  <c r="D1167" i="8"/>
  <c r="D1134" i="8"/>
  <c r="D1133" i="8"/>
  <c r="D1111" i="8"/>
  <c r="D1110" i="8"/>
  <c r="D1084" i="8"/>
  <c r="D1083" i="8"/>
  <c r="D1050" i="8"/>
  <c r="D1049" i="8"/>
  <c r="D1196" i="8"/>
  <c r="D1216" i="8"/>
  <c r="D1207" i="8"/>
  <c r="D1211" i="8"/>
  <c r="D1210" i="8"/>
  <c r="D1209" i="8"/>
  <c r="D1208" i="8"/>
  <c r="D1206" i="8"/>
  <c r="D1205" i="8"/>
  <c r="D1204" i="8"/>
  <c r="D1203" i="8"/>
  <c r="D1198" i="8"/>
  <c r="D1174" i="8"/>
  <c r="D1179" i="8"/>
  <c r="D1178" i="8"/>
  <c r="D1201" i="8"/>
  <c r="D1200" i="8"/>
  <c r="D1199" i="8"/>
  <c r="D1197" i="8"/>
  <c r="D1191" i="8"/>
  <c r="D1194" i="8"/>
  <c r="D1195" i="8"/>
  <c r="D1192" i="8"/>
  <c r="D1193" i="8"/>
  <c r="D1182" i="8"/>
  <c r="D1190" i="8"/>
  <c r="D1188" i="8"/>
  <c r="D1184" i="8"/>
  <c r="D1183" i="8"/>
  <c r="D1181" i="8"/>
  <c r="D1177" i="8"/>
  <c r="D1176" i="8"/>
  <c r="D1175" i="8"/>
  <c r="D1173" i="8"/>
  <c r="D1151" i="8"/>
  <c r="D1150" i="8"/>
  <c r="D1172" i="8"/>
  <c r="D1171" i="8"/>
  <c r="D1170" i="8"/>
  <c r="D1169" i="8"/>
  <c r="D1162" i="8"/>
  <c r="D1164" i="8"/>
  <c r="D1165" i="8"/>
  <c r="D1166" i="8"/>
  <c r="D1163" i="8"/>
  <c r="D1161" i="8"/>
  <c r="D495" i="8"/>
  <c r="D554" i="8"/>
  <c r="D497" i="8"/>
  <c r="D556" i="8"/>
  <c r="D499" i="8"/>
  <c r="D558" i="8"/>
  <c r="D639" i="8"/>
  <c r="D641" i="8"/>
  <c r="D643" i="8"/>
  <c r="D587" i="8"/>
  <c r="D589" i="8"/>
  <c r="D591" i="8"/>
  <c r="D697" i="8"/>
  <c r="D699" i="8"/>
  <c r="D701" i="8"/>
  <c r="D737" i="8"/>
  <c r="D739" i="8"/>
  <c r="D741" i="8"/>
  <c r="D837" i="8"/>
  <c r="D839" i="8"/>
  <c r="D835" i="8"/>
  <c r="D796" i="8"/>
  <c r="D798" i="8"/>
  <c r="D800" i="8"/>
  <c r="D881" i="8"/>
  <c r="D883" i="8"/>
  <c r="D885" i="8"/>
  <c r="D614" i="8"/>
  <c r="D519" i="8"/>
  <c r="D616" i="8"/>
  <c r="D618" i="8"/>
  <c r="D521" i="8"/>
  <c r="D523" i="8"/>
  <c r="D918" i="8"/>
  <c r="D920" i="8"/>
  <c r="D922" i="8"/>
  <c r="D967" i="8"/>
  <c r="D969" i="8"/>
  <c r="D971" i="8"/>
  <c r="D996" i="8"/>
  <c r="D998" i="8"/>
  <c r="D1000" i="8"/>
  <c r="D1076" i="8"/>
  <c r="D1078" i="8"/>
  <c r="D1080" i="8"/>
  <c r="D944" i="8"/>
  <c r="D946" i="8"/>
  <c r="D948" i="8"/>
  <c r="D854" i="8"/>
  <c r="D856" i="8"/>
  <c r="D858" i="8"/>
  <c r="D775" i="8"/>
  <c r="D777" i="8"/>
  <c r="D779" i="8"/>
  <c r="D678" i="8"/>
  <c r="D680" i="8"/>
  <c r="D682" i="8"/>
  <c r="D1023" i="8"/>
  <c r="D1025" i="8"/>
  <c r="D1027" i="8"/>
  <c r="D1146" i="8"/>
  <c r="D1160" i="8"/>
  <c r="D1158" i="8"/>
  <c r="D1159" i="8"/>
  <c r="D1157" i="8"/>
  <c r="D1156" i="8"/>
  <c r="D1153" i="8"/>
  <c r="D1152" i="8"/>
  <c r="D1149" i="8"/>
  <c r="D1147" i="8"/>
  <c r="D1148" i="8"/>
  <c r="D1145" i="8"/>
  <c r="D1136" i="8"/>
  <c r="D1144" i="8"/>
  <c r="D1091" i="8"/>
  <c r="D1132" i="8"/>
  <c r="D1120" i="8"/>
  <c r="D1129" i="8"/>
  <c r="D1139" i="8"/>
  <c r="D1143" i="8"/>
  <c r="D1141" i="8"/>
  <c r="D1142" i="8"/>
  <c r="D1140" i="8"/>
  <c r="D1137" i="8"/>
  <c r="D1138" i="8"/>
  <c r="D1135" i="8"/>
  <c r="D1131" i="8"/>
  <c r="D1119" i="8"/>
  <c r="D1130" i="8"/>
  <c r="D1128" i="8"/>
  <c r="D1127" i="8"/>
  <c r="D1126" i="8"/>
  <c r="D1125" i="8"/>
  <c r="D1124" i="8"/>
  <c r="D1123" i="8"/>
  <c r="F1229" i="8"/>
  <c r="F1238" i="8"/>
  <c r="F1236" i="8"/>
  <c r="F1202" i="8"/>
  <c r="F1180" i="8"/>
  <c r="F1235" i="8"/>
  <c r="F1234" i="8"/>
  <c r="F1233" i="8"/>
  <c r="F1189" i="8"/>
  <c r="F1187" i="8"/>
  <c r="F1232" i="8"/>
  <c r="F1231" i="8"/>
  <c r="F1230" i="8"/>
  <c r="F1215" i="8"/>
  <c r="F1214" i="8"/>
  <c r="F1155" i="8"/>
  <c r="F1154" i="8"/>
  <c r="F1225" i="8"/>
  <c r="F1227" i="8"/>
  <c r="F1228" i="8"/>
  <c r="F1226" i="8"/>
  <c r="F1224" i="8"/>
  <c r="F1221" i="8"/>
  <c r="F1223" i="8"/>
  <c r="F1222" i="8"/>
  <c r="F1217" i="8"/>
  <c r="F1237" i="8"/>
  <c r="F1220" i="8"/>
  <c r="F1219" i="8"/>
  <c r="F1218" i="8"/>
  <c r="F1213" i="8"/>
  <c r="F1212" i="8"/>
  <c r="F1186" i="8"/>
  <c r="F1185" i="8"/>
  <c r="F1168" i="8"/>
  <c r="F1167" i="8"/>
  <c r="F1134" i="8"/>
  <c r="F1133" i="8"/>
  <c r="F1111" i="8"/>
  <c r="F1110" i="8"/>
  <c r="F1084" i="8"/>
  <c r="F1083" i="8"/>
  <c r="F1050" i="8"/>
  <c r="F1049" i="8"/>
  <c r="F1196" i="8"/>
  <c r="F1216" i="8"/>
  <c r="F1207" i="8"/>
  <c r="F1211" i="8"/>
  <c r="F1210" i="8"/>
  <c r="F1209" i="8"/>
  <c r="F1208" i="8"/>
  <c r="F1206" i="8"/>
  <c r="F1205" i="8"/>
  <c r="F1204" i="8"/>
  <c r="F1203" i="8"/>
  <c r="F1198" i="8"/>
  <c r="F1174" i="8"/>
  <c r="F1179" i="8"/>
  <c r="F1178" i="8"/>
  <c r="F1201" i="8"/>
  <c r="F1200" i="8"/>
  <c r="F1199" i="8"/>
  <c r="F1197" i="8"/>
  <c r="F1191" i="8"/>
  <c r="F1194" i="8"/>
  <c r="F1195" i="8"/>
  <c r="F1192" i="8"/>
  <c r="F1193" i="8"/>
  <c r="F1182" i="8"/>
  <c r="F1190" i="8"/>
  <c r="F1188" i="8"/>
  <c r="F1184" i="8"/>
  <c r="F1183" i="8"/>
  <c r="F1181" i="8"/>
  <c r="F1177" i="8"/>
  <c r="F1176" i="8"/>
  <c r="F1175" i="8"/>
  <c r="F1173" i="8"/>
  <c r="F1151" i="8"/>
  <c r="F1150" i="8"/>
  <c r="F1172" i="8"/>
  <c r="F1171" i="8"/>
  <c r="F1170" i="8"/>
  <c r="F1169" i="8"/>
  <c r="F1162" i="8"/>
  <c r="F1164" i="8"/>
  <c r="F1165" i="8"/>
  <c r="F1166" i="8"/>
  <c r="F1163" i="8"/>
  <c r="F1161" i="8"/>
  <c r="F415" i="8"/>
  <c r="F431" i="8"/>
  <c r="F466" i="8"/>
  <c r="F495" i="8"/>
  <c r="F554" i="8"/>
  <c r="F385" i="8"/>
  <c r="F433" i="8"/>
  <c r="F468" i="8"/>
  <c r="F497" i="8"/>
  <c r="F556" i="8"/>
  <c r="F417" i="8"/>
  <c r="F435" i="8"/>
  <c r="F470" i="8"/>
  <c r="F499" i="8"/>
  <c r="F558" i="8"/>
  <c r="F639" i="8"/>
  <c r="F641" i="8"/>
  <c r="F643" i="8"/>
  <c r="F587" i="8"/>
  <c r="F589" i="8"/>
  <c r="F591" i="8"/>
  <c r="F697" i="8"/>
  <c r="F699" i="8"/>
  <c r="F701" i="8"/>
  <c r="F737" i="8"/>
  <c r="F739" i="8"/>
  <c r="F741" i="8"/>
  <c r="F837" i="8"/>
  <c r="F839" i="8"/>
  <c r="F835" i="8"/>
  <c r="F796" i="8"/>
  <c r="F798" i="8"/>
  <c r="F800" i="8"/>
  <c r="F881" i="8"/>
  <c r="F883" i="8"/>
  <c r="F885" i="8"/>
  <c r="F614" i="8"/>
  <c r="F519" i="8"/>
  <c r="F616" i="8"/>
  <c r="F618" i="8"/>
  <c r="F521" i="8"/>
  <c r="F523" i="8"/>
  <c r="F918" i="8"/>
  <c r="F920" i="8"/>
  <c r="F922" i="8"/>
  <c r="F967" i="8"/>
  <c r="F969" i="8"/>
  <c r="F971" i="8"/>
  <c r="F996" i="8"/>
  <c r="F998" i="8"/>
  <c r="F1000" i="8"/>
  <c r="F1076" i="8"/>
  <c r="F1078" i="8"/>
  <c r="F1080" i="8"/>
  <c r="F944" i="8"/>
  <c r="F946" i="8"/>
  <c r="F948" i="8"/>
  <c r="F854" i="8"/>
  <c r="F856" i="8"/>
  <c r="F858" i="8"/>
  <c r="F775" i="8"/>
  <c r="F777" i="8"/>
  <c r="F779" i="8"/>
  <c r="F678" i="8"/>
  <c r="F680" i="8"/>
  <c r="F682" i="8"/>
  <c r="F1023" i="8"/>
  <c r="F1025" i="8"/>
  <c r="F1027" i="8"/>
  <c r="F1146" i="8"/>
  <c r="F1160" i="8"/>
  <c r="F1158" i="8"/>
  <c r="F1159" i="8"/>
  <c r="F1157" i="8"/>
  <c r="F1156" i="8"/>
  <c r="F1153" i="8"/>
  <c r="F1152" i="8"/>
  <c r="F1149" i="8"/>
  <c r="F1147" i="8"/>
  <c r="F1148" i="8"/>
  <c r="F1145" i="8"/>
  <c r="F1136" i="8"/>
  <c r="F1144" i="8"/>
  <c r="F1091" i="8"/>
  <c r="F1132" i="8"/>
  <c r="F1120" i="8"/>
  <c r="F1129" i="8"/>
  <c r="F1139" i="8"/>
  <c r="F1143" i="8"/>
  <c r="F1141" i="8"/>
  <c r="F1142" i="8"/>
  <c r="F1140" i="8"/>
  <c r="F1137" i="8"/>
  <c r="F1138" i="8"/>
  <c r="F1135" i="8"/>
  <c r="F1131" i="8"/>
  <c r="F1119" i="8"/>
  <c r="F1130" i="8"/>
  <c r="F1128" i="8"/>
  <c r="F1127" i="8"/>
  <c r="F1126" i="8"/>
  <c r="F1125" i="8"/>
  <c r="F1124" i="8"/>
  <c r="F1123" i="8"/>
  <c r="R1229" i="8"/>
  <c r="R1238" i="8"/>
  <c r="R1236" i="8"/>
  <c r="R1202" i="8"/>
  <c r="R1180" i="8"/>
  <c r="R1235" i="8"/>
  <c r="R1234" i="8"/>
  <c r="R1233" i="8"/>
  <c r="R1189" i="8"/>
  <c r="R1187" i="8"/>
  <c r="R1232" i="8"/>
  <c r="R1231" i="8"/>
  <c r="R1230" i="8"/>
  <c r="R1215" i="8"/>
  <c r="R1214" i="8"/>
  <c r="R1155" i="8"/>
  <c r="R1154" i="8"/>
  <c r="R1225" i="8"/>
  <c r="R1227" i="8"/>
  <c r="R1228" i="8"/>
  <c r="R1226" i="8"/>
  <c r="R1224" i="8"/>
  <c r="R1221" i="8"/>
  <c r="R1223" i="8"/>
  <c r="R1222" i="8"/>
  <c r="R1217" i="8"/>
  <c r="R1237" i="8"/>
  <c r="R1220" i="8"/>
  <c r="R1219" i="8"/>
  <c r="R1218" i="8"/>
  <c r="R1213" i="8"/>
  <c r="R1212" i="8"/>
  <c r="R1186" i="8"/>
  <c r="R1185" i="8"/>
  <c r="R1168" i="8"/>
  <c r="R1167" i="8"/>
  <c r="R1134" i="8"/>
  <c r="R1133" i="8"/>
  <c r="R1111" i="8"/>
  <c r="R1110" i="8"/>
  <c r="R1084" i="8"/>
  <c r="R1083" i="8"/>
  <c r="R1050" i="8"/>
  <c r="R1049" i="8"/>
  <c r="R1196" i="8"/>
  <c r="R1216" i="8"/>
  <c r="R1207" i="8"/>
  <c r="R1211" i="8"/>
  <c r="R1210" i="8"/>
  <c r="R1209" i="8"/>
  <c r="R1208" i="8"/>
  <c r="R1206" i="8"/>
  <c r="R1205" i="8"/>
  <c r="R1204" i="8"/>
  <c r="R1203" i="8"/>
  <c r="R1198" i="8"/>
  <c r="R1174" i="8"/>
  <c r="R1179" i="8"/>
  <c r="R1178" i="8"/>
  <c r="R1201" i="8"/>
  <c r="R1200" i="8"/>
  <c r="R1199" i="8"/>
  <c r="R1197" i="8"/>
  <c r="R1191" i="8"/>
  <c r="R1194" i="8"/>
  <c r="R1195" i="8"/>
  <c r="R1192" i="8"/>
  <c r="R1193" i="8"/>
  <c r="R1182" i="8"/>
  <c r="R1190" i="8"/>
  <c r="R1188" i="8"/>
  <c r="R1184" i="8"/>
  <c r="R1183" i="8"/>
  <c r="R1181" i="8"/>
  <c r="R1177" i="8"/>
  <c r="R1176" i="8"/>
  <c r="R1175" i="8"/>
  <c r="R1173" i="8"/>
  <c r="R1151" i="8"/>
  <c r="R1150" i="8"/>
  <c r="R1172" i="8"/>
  <c r="R1171" i="8"/>
  <c r="R1170" i="8"/>
  <c r="R1169" i="8"/>
  <c r="R1162" i="8"/>
  <c r="R1164" i="8"/>
  <c r="R1165" i="8"/>
  <c r="R1166" i="8"/>
  <c r="R1163" i="8"/>
  <c r="R1161" i="8"/>
  <c r="R415" i="8"/>
  <c r="R431" i="8"/>
  <c r="R466" i="8"/>
  <c r="R495" i="8"/>
  <c r="R554" i="8"/>
  <c r="R385" i="8"/>
  <c r="R433" i="8"/>
  <c r="R468" i="8"/>
  <c r="R497" i="8"/>
  <c r="R556" i="8"/>
  <c r="R417" i="8"/>
  <c r="R435" i="8"/>
  <c r="R470" i="8"/>
  <c r="R499" i="8"/>
  <c r="R558" i="8"/>
  <c r="R639" i="8"/>
  <c r="R641" i="8"/>
  <c r="R643" i="8"/>
  <c r="R587" i="8"/>
  <c r="R589" i="8"/>
  <c r="R591" i="8"/>
  <c r="R697" i="8"/>
  <c r="R699" i="8"/>
  <c r="R701" i="8"/>
  <c r="R737" i="8"/>
  <c r="R739" i="8"/>
  <c r="R741" i="8"/>
  <c r="R837" i="8"/>
  <c r="R839" i="8"/>
  <c r="R835" i="8"/>
  <c r="R796" i="8"/>
  <c r="R798" i="8"/>
  <c r="R800" i="8"/>
  <c r="R881" i="8"/>
  <c r="R883" i="8"/>
  <c r="R885" i="8"/>
  <c r="R614" i="8"/>
  <c r="R519" i="8"/>
  <c r="R616" i="8"/>
  <c r="R618" i="8"/>
  <c r="R521" i="8"/>
  <c r="R523" i="8"/>
  <c r="R918" i="8"/>
  <c r="R920" i="8"/>
  <c r="R922" i="8"/>
  <c r="R967" i="8"/>
  <c r="R969" i="8"/>
  <c r="R971" i="8"/>
  <c r="R996" i="8"/>
  <c r="R998" i="8"/>
  <c r="R1000" i="8"/>
  <c r="R1076" i="8"/>
  <c r="R1078" i="8"/>
  <c r="R1080" i="8"/>
  <c r="R944" i="8"/>
  <c r="R946" i="8"/>
  <c r="R948" i="8"/>
  <c r="R854" i="8"/>
  <c r="R856" i="8"/>
  <c r="R858" i="8"/>
  <c r="R775" i="8"/>
  <c r="R777" i="8"/>
  <c r="R779" i="8"/>
  <c r="R678" i="8"/>
  <c r="R680" i="8"/>
  <c r="R682" i="8"/>
  <c r="R1023" i="8"/>
  <c r="R1025" i="8"/>
  <c r="R1027" i="8"/>
  <c r="R1146" i="8"/>
  <c r="R1160" i="8"/>
  <c r="R1158" i="8"/>
  <c r="R1159" i="8"/>
  <c r="R1157" i="8"/>
  <c r="R1156" i="8"/>
  <c r="R1153" i="8"/>
  <c r="R1152" i="8"/>
  <c r="R1149" i="8"/>
  <c r="R1147" i="8"/>
  <c r="R1148" i="8"/>
  <c r="R1145" i="8"/>
  <c r="R1136" i="8"/>
  <c r="R1144" i="8"/>
  <c r="R1091" i="8"/>
  <c r="R1132" i="8"/>
  <c r="R1120" i="8"/>
  <c r="R1129" i="8"/>
  <c r="R1139" i="8"/>
  <c r="R1143" i="8"/>
  <c r="R1141" i="8"/>
  <c r="R1142" i="8"/>
  <c r="R1140" i="8"/>
  <c r="R1137" i="8"/>
  <c r="R1138" i="8"/>
  <c r="R1135" i="8"/>
  <c r="R1131" i="8"/>
  <c r="R1119" i="8"/>
  <c r="R1130" i="8"/>
  <c r="R1128" i="8"/>
  <c r="R1127" i="8"/>
  <c r="R1126" i="8"/>
  <c r="R1125" i="8"/>
  <c r="R1124" i="8"/>
  <c r="R1123" i="8"/>
  <c r="T1229" i="8"/>
  <c r="T1238" i="8"/>
  <c r="T1236" i="8"/>
  <c r="T1202" i="8"/>
  <c r="T1180" i="8"/>
  <c r="T1235" i="8"/>
  <c r="T1234" i="8"/>
  <c r="T1233" i="8"/>
  <c r="T1189" i="8"/>
  <c r="T1187" i="8"/>
  <c r="T1232" i="8"/>
  <c r="T1231" i="8"/>
  <c r="T1230" i="8"/>
  <c r="T1215" i="8"/>
  <c r="T1214" i="8"/>
  <c r="T1155" i="8"/>
  <c r="T1154" i="8"/>
  <c r="T1225" i="8"/>
  <c r="T1227" i="8"/>
  <c r="T1228" i="8"/>
  <c r="T1226" i="8"/>
  <c r="T1224" i="8"/>
  <c r="T1221" i="8"/>
  <c r="T1223" i="8"/>
  <c r="T1222" i="8"/>
  <c r="T1217" i="8"/>
  <c r="T1237" i="8"/>
  <c r="T1220" i="8"/>
  <c r="T1219" i="8"/>
  <c r="T1218" i="8"/>
  <c r="T1213" i="8"/>
  <c r="T1212" i="8"/>
  <c r="T1186" i="8"/>
  <c r="T1185" i="8"/>
  <c r="T1168" i="8"/>
  <c r="T1167" i="8"/>
  <c r="T1134" i="8"/>
  <c r="T1133" i="8"/>
  <c r="T1111" i="8"/>
  <c r="T1110" i="8"/>
  <c r="T1084" i="8"/>
  <c r="T1083" i="8"/>
  <c r="T1050" i="8"/>
  <c r="T1049" i="8"/>
  <c r="T1196" i="8"/>
  <c r="T1216" i="8"/>
  <c r="T1207" i="8"/>
  <c r="T1211" i="8"/>
  <c r="T1210" i="8"/>
  <c r="T1209" i="8"/>
  <c r="T1208" i="8"/>
  <c r="T1206" i="8"/>
  <c r="T1205" i="8"/>
  <c r="T1204" i="8"/>
  <c r="T1203" i="8"/>
  <c r="T1198" i="8"/>
  <c r="T1174" i="8"/>
  <c r="T1179" i="8"/>
  <c r="T1178" i="8"/>
  <c r="T1201" i="8"/>
  <c r="T1200" i="8"/>
  <c r="T1199" i="8"/>
  <c r="T1197" i="8"/>
  <c r="T1191" i="8"/>
  <c r="T1194" i="8"/>
  <c r="T1195" i="8"/>
  <c r="T1192" i="8"/>
  <c r="T1193" i="8"/>
  <c r="T1182" i="8"/>
  <c r="T1190" i="8"/>
  <c r="T1188" i="8"/>
  <c r="T1184" i="8"/>
  <c r="T1183" i="8"/>
  <c r="T1181" i="8"/>
  <c r="T1177" i="8"/>
  <c r="T1176" i="8"/>
  <c r="T1175" i="8"/>
  <c r="T1173" i="8"/>
  <c r="T1151" i="8"/>
  <c r="T1150" i="8"/>
  <c r="T1172" i="8"/>
  <c r="T1171" i="8"/>
  <c r="T1170" i="8"/>
  <c r="T1169" i="8"/>
  <c r="T1162" i="8"/>
  <c r="T1164" i="8"/>
  <c r="T1165" i="8"/>
  <c r="T1166" i="8"/>
  <c r="T1163" i="8"/>
  <c r="T1161" i="8"/>
  <c r="T415" i="8"/>
  <c r="T431" i="8"/>
  <c r="T466" i="8"/>
  <c r="T495" i="8"/>
  <c r="T554" i="8"/>
  <c r="T385" i="8"/>
  <c r="T433" i="8"/>
  <c r="T468" i="8"/>
  <c r="T497" i="8"/>
  <c r="T556" i="8"/>
  <c r="T417" i="8"/>
  <c r="T435" i="8"/>
  <c r="T470" i="8"/>
  <c r="T499" i="8"/>
  <c r="T558" i="8"/>
  <c r="T639" i="8"/>
  <c r="T641" i="8"/>
  <c r="T643" i="8"/>
  <c r="T587" i="8"/>
  <c r="T589" i="8"/>
  <c r="T591" i="8"/>
  <c r="T697" i="8"/>
  <c r="T699" i="8"/>
  <c r="T701" i="8"/>
  <c r="T737" i="8"/>
  <c r="T739" i="8"/>
  <c r="T741" i="8"/>
  <c r="T837" i="8"/>
  <c r="T839" i="8"/>
  <c r="T835" i="8"/>
  <c r="T796" i="8"/>
  <c r="T798" i="8"/>
  <c r="T800" i="8"/>
  <c r="T881" i="8"/>
  <c r="T883" i="8"/>
  <c r="T885" i="8"/>
  <c r="T614" i="8"/>
  <c r="T519" i="8"/>
  <c r="T616" i="8"/>
  <c r="T618" i="8"/>
  <c r="T521" i="8"/>
  <c r="T523" i="8"/>
  <c r="T918" i="8"/>
  <c r="T920" i="8"/>
  <c r="T922" i="8"/>
  <c r="T967" i="8"/>
  <c r="T969" i="8"/>
  <c r="T971" i="8"/>
  <c r="T996" i="8"/>
  <c r="T998" i="8"/>
  <c r="T1000" i="8"/>
  <c r="T1076" i="8"/>
  <c r="T1078" i="8"/>
  <c r="T1080" i="8"/>
  <c r="T944" i="8"/>
  <c r="T946" i="8"/>
  <c r="T948" i="8"/>
  <c r="T854" i="8"/>
  <c r="T856" i="8"/>
  <c r="T858" i="8"/>
  <c r="T775" i="8"/>
  <c r="T777" i="8"/>
  <c r="T779" i="8"/>
  <c r="T678" i="8"/>
  <c r="T680" i="8"/>
  <c r="T682" i="8"/>
  <c r="T1023" i="8"/>
  <c r="T1025" i="8"/>
  <c r="T1027" i="8"/>
  <c r="T1146" i="8"/>
  <c r="T1160" i="8"/>
  <c r="T1158" i="8"/>
  <c r="T1159" i="8"/>
  <c r="T1157" i="8"/>
  <c r="T1156" i="8"/>
  <c r="T1153" i="8"/>
  <c r="T1152" i="8"/>
  <c r="T1149" i="8"/>
  <c r="T1147" i="8"/>
  <c r="T1148" i="8"/>
  <c r="T1145" i="8"/>
  <c r="T1136" i="8"/>
  <c r="T1144" i="8"/>
  <c r="T1091" i="8"/>
  <c r="T1132" i="8"/>
  <c r="T1120" i="8"/>
  <c r="T1129" i="8"/>
  <c r="T1139" i="8"/>
  <c r="T1143" i="8"/>
  <c r="T1141" i="8"/>
  <c r="T1142" i="8"/>
  <c r="T1140" i="8"/>
  <c r="T1137" i="8"/>
  <c r="T1138" i="8"/>
  <c r="T1135" i="8"/>
  <c r="T1131" i="8"/>
  <c r="T1119" i="8"/>
  <c r="T1130" i="8"/>
  <c r="T1128" i="8"/>
  <c r="T1127" i="8"/>
  <c r="T1126" i="8"/>
  <c r="T1125" i="8"/>
  <c r="T1124" i="8"/>
  <c r="T1123" i="8"/>
  <c r="I65" i="9"/>
  <c r="I66" i="9"/>
  <c r="I67" i="9"/>
  <c r="B120" i="9"/>
  <c r="B121" i="9"/>
  <c r="C120" i="9"/>
  <c r="C121" i="9"/>
  <c r="B119" i="9"/>
  <c r="C119" i="9"/>
  <c r="B118" i="9"/>
  <c r="C118" i="9"/>
  <c r="I33" i="9"/>
  <c r="I34" i="9"/>
  <c r="B61" i="9"/>
  <c r="C61" i="9"/>
  <c r="B60" i="9"/>
  <c r="C60" i="9"/>
  <c r="B25" i="9"/>
  <c r="B59" i="9"/>
  <c r="C25" i="9"/>
  <c r="C59" i="9"/>
  <c r="B24" i="9"/>
  <c r="C24" i="9"/>
  <c r="B16" i="9"/>
  <c r="B17" i="9"/>
  <c r="C16" i="9"/>
  <c r="C17" i="9"/>
  <c r="I20" i="9"/>
  <c r="I21" i="9"/>
  <c r="I32" i="9"/>
  <c r="I11" i="9"/>
  <c r="B14" i="9"/>
  <c r="C14" i="9"/>
  <c r="C1040" i="8" a="1"/>
  <c r="C1040" i="8" s="1"/>
  <c r="D1040" i="8"/>
  <c r="F1040" i="8"/>
  <c r="G1040" i="8"/>
  <c r="H1040" i="8" s="1"/>
  <c r="R1040" i="8"/>
  <c r="T1040" i="8"/>
  <c r="C1051" i="8" a="1"/>
  <c r="C1051" i="8" s="1"/>
  <c r="D1051" i="8"/>
  <c r="F1051" i="8"/>
  <c r="G1051" i="8"/>
  <c r="J1051" i="8" s="1"/>
  <c r="R1051" i="8"/>
  <c r="T1051" i="8"/>
  <c r="C1115" i="8" a="1"/>
  <c r="C1115" i="8" s="1"/>
  <c r="C1121" i="8" a="1"/>
  <c r="C1121" i="8" s="1"/>
  <c r="C1118" i="8" a="1"/>
  <c r="C1118" i="8" s="1"/>
  <c r="C1117" i="8" a="1"/>
  <c r="C1117" i="8" s="1"/>
  <c r="C1114" i="8" a="1"/>
  <c r="C1114" i="8" s="1"/>
  <c r="C1116" i="8" a="1"/>
  <c r="C1116" i="8" s="1"/>
  <c r="C1113" i="8" a="1"/>
  <c r="C1113" i="8" s="1"/>
  <c r="C1112" i="8" a="1"/>
  <c r="C1112" i="8" s="1"/>
  <c r="C1098" i="8" a="1"/>
  <c r="C1098" i="8" s="1"/>
  <c r="C1107" i="8" a="1"/>
  <c r="C1107" i="8" s="1"/>
  <c r="C1105" i="8" a="1"/>
  <c r="C1105" i="8" s="1"/>
  <c r="C1106" i="8" a="1"/>
  <c r="C1106" i="8" s="1"/>
  <c r="C1109" i="8" a="1"/>
  <c r="C1109" i="8" s="1"/>
  <c r="C1108" i="8" a="1"/>
  <c r="C1108" i="8" s="1"/>
  <c r="C1104" i="8" a="1"/>
  <c r="C1104" i="8" s="1"/>
  <c r="C1103" i="8" a="1"/>
  <c r="C1103" i="8" s="1"/>
  <c r="C1102" i="8" a="1"/>
  <c r="C1102" i="8" s="1"/>
  <c r="C1099" i="8" a="1"/>
  <c r="C1099" i="8" s="1"/>
  <c r="C1101" i="8" a="1"/>
  <c r="C1101" i="8" s="1"/>
  <c r="C1100" i="8" a="1"/>
  <c r="C1100" i="8" s="1"/>
  <c r="C1090" i="8" a="1"/>
  <c r="C1090" i="8" s="1"/>
  <c r="C1053" i="8" a="1"/>
  <c r="C1053" i="8" s="1"/>
  <c r="C1032" i="8" a="1"/>
  <c r="C1032" i="8" s="1"/>
  <c r="C1002" i="8" a="1"/>
  <c r="C1002" i="8" s="1"/>
  <c r="C1097" i="8" a="1"/>
  <c r="C1097" i="8" s="1"/>
  <c r="C1058" i="8" a="1"/>
  <c r="C1058" i="8" s="1"/>
  <c r="C1041" i="8" a="1"/>
  <c r="C1041" i="8" s="1"/>
  <c r="C1008" i="8" a="1"/>
  <c r="C1008" i="8" s="1"/>
  <c r="C1096" i="8" a="1"/>
  <c r="C1096" i="8" s="1"/>
  <c r="C1095" i="8" a="1"/>
  <c r="C1095" i="8" s="1"/>
  <c r="C1094" i="8" a="1"/>
  <c r="C1094" i="8" s="1"/>
  <c r="C1085" i="8" a="1"/>
  <c r="C1085" i="8" s="1"/>
  <c r="C1093" i="8" a="1"/>
  <c r="C1093" i="8" s="1"/>
  <c r="C1092" i="8" a="1"/>
  <c r="C1092" i="8" s="1"/>
  <c r="C1088" i="8" a="1"/>
  <c r="C1088" i="8" s="1"/>
  <c r="C1052" i="8" a="1"/>
  <c r="C1052" i="8" s="1"/>
  <c r="C1031" i="8" a="1"/>
  <c r="C1031" i="8" s="1"/>
  <c r="C1003" i="8" a="1"/>
  <c r="C1003" i="8" s="1"/>
  <c r="C1089" i="8" a="1"/>
  <c r="C1089" i="8" s="1"/>
  <c r="C1086" i="8" a="1"/>
  <c r="C1086" i="8" s="1"/>
  <c r="C1087" i="8" a="1"/>
  <c r="C1087" i="8" s="1"/>
  <c r="C1082" i="8" a="1"/>
  <c r="C1082" i="8" s="1"/>
  <c r="C1063" i="8" a="1"/>
  <c r="C1063" i="8" s="1"/>
  <c r="C1075" i="8" a="1"/>
  <c r="C1075" i="8" s="1"/>
  <c r="C1074" i="8" a="1"/>
  <c r="C1074" i="8" s="1"/>
  <c r="C1073" i="8" a="1"/>
  <c r="C1073" i="8" s="1"/>
  <c r="C1072" i="8" a="1"/>
  <c r="C1072" i="8" s="1"/>
  <c r="C1071" i="8" a="1"/>
  <c r="C1071" i="8" s="1"/>
  <c r="C1070" i="8" a="1"/>
  <c r="C1070" i="8" s="1"/>
  <c r="C1069" i="8" a="1"/>
  <c r="C1069" i="8" s="1"/>
  <c r="C1068" i="8" a="1"/>
  <c r="C1068" i="8" s="1"/>
  <c r="C1067" i="8" a="1"/>
  <c r="C1067" i="8" s="1"/>
  <c r="C1066" i="8" a="1"/>
  <c r="C1066" i="8" s="1"/>
  <c r="C1065" i="8" a="1"/>
  <c r="C1065" i="8" s="1"/>
  <c r="C1064" i="8" a="1"/>
  <c r="C1064" i="8" s="1"/>
  <c r="C1062" i="8" a="1"/>
  <c r="C1062" i="8" s="1"/>
  <c r="C1061" i="8" a="1"/>
  <c r="C1061" i="8" s="1"/>
  <c r="C1060" i="8" a="1"/>
  <c r="C1060" i="8" s="1"/>
  <c r="C1059" i="8" a="1"/>
  <c r="C1059" i="8" s="1"/>
  <c r="C1039" i="8" a="1"/>
  <c r="C1039" i="8" s="1"/>
  <c r="C1057" i="8" a="1"/>
  <c r="C1057" i="8" s="1"/>
  <c r="C1056" i="8" a="1"/>
  <c r="C1056" i="8" s="1"/>
  <c r="C1011" i="8" a="1"/>
  <c r="C1011" i="8" s="1"/>
  <c r="C1055" i="8" a="1"/>
  <c r="C1055" i="8" s="1"/>
  <c r="C1054" i="8" a="1"/>
  <c r="C1054" i="8" s="1"/>
  <c r="D1115" i="8"/>
  <c r="D1121" i="8"/>
  <c r="D1118" i="8"/>
  <c r="D1117" i="8"/>
  <c r="D1114" i="8"/>
  <c r="D1116" i="8"/>
  <c r="D1113" i="8"/>
  <c r="D1112" i="8"/>
  <c r="D1098" i="8"/>
  <c r="D1107" i="8"/>
  <c r="D1105" i="8"/>
  <c r="D1106" i="8"/>
  <c r="D1109" i="8"/>
  <c r="D1108" i="8"/>
  <c r="D1104" i="8"/>
  <c r="D1103" i="8"/>
  <c r="D1102" i="8"/>
  <c r="D1099" i="8"/>
  <c r="D1101" i="8"/>
  <c r="D1100" i="8"/>
  <c r="D1090" i="8"/>
  <c r="D1053" i="8"/>
  <c r="D1032" i="8"/>
  <c r="D1002" i="8"/>
  <c r="D1097" i="8"/>
  <c r="D1058" i="8"/>
  <c r="D1041" i="8"/>
  <c r="D1008" i="8"/>
  <c r="D1096" i="8"/>
  <c r="D1095" i="8"/>
  <c r="D1094" i="8"/>
  <c r="D1085" i="8"/>
  <c r="D1093" i="8"/>
  <c r="D1092" i="8"/>
  <c r="D1088" i="8"/>
  <c r="D1052" i="8"/>
  <c r="D1031" i="8"/>
  <c r="D1003" i="8"/>
  <c r="D1089" i="8"/>
  <c r="D1086" i="8"/>
  <c r="D1087" i="8"/>
  <c r="D1082" i="8"/>
  <c r="D1063" i="8"/>
  <c r="D1075" i="8"/>
  <c r="D1074" i="8"/>
  <c r="D1073" i="8"/>
  <c r="D1072" i="8"/>
  <c r="D1071" i="8"/>
  <c r="D1070" i="8"/>
  <c r="D1069" i="8"/>
  <c r="D1068" i="8"/>
  <c r="D1067" i="8"/>
  <c r="D1066" i="8"/>
  <c r="D1065" i="8"/>
  <c r="D1064" i="8"/>
  <c r="D1062" i="8"/>
  <c r="D1061" i="8"/>
  <c r="D1060" i="8"/>
  <c r="D1059" i="8"/>
  <c r="D1039" i="8"/>
  <c r="D1057" i="8"/>
  <c r="D1056" i="8"/>
  <c r="D1011" i="8"/>
  <c r="D1055" i="8"/>
  <c r="D1054" i="8"/>
  <c r="F1115" i="8"/>
  <c r="F1121" i="8"/>
  <c r="F1118" i="8"/>
  <c r="F1117" i="8"/>
  <c r="F1114" i="8"/>
  <c r="F1116" i="8"/>
  <c r="F1113" i="8"/>
  <c r="F1112" i="8"/>
  <c r="F1098" i="8"/>
  <c r="F1107" i="8"/>
  <c r="F1105" i="8"/>
  <c r="F1106" i="8"/>
  <c r="F1109" i="8"/>
  <c r="F1108" i="8"/>
  <c r="F1104" i="8"/>
  <c r="F1103" i="8"/>
  <c r="F1102" i="8"/>
  <c r="F1099" i="8"/>
  <c r="F1101" i="8"/>
  <c r="F1100" i="8"/>
  <c r="F1090" i="8"/>
  <c r="F1053" i="8"/>
  <c r="F1032" i="8"/>
  <c r="F1002" i="8"/>
  <c r="F1097" i="8"/>
  <c r="F1058" i="8"/>
  <c r="F1041" i="8"/>
  <c r="F1008" i="8"/>
  <c r="F1096" i="8"/>
  <c r="F1095" i="8"/>
  <c r="F1094" i="8"/>
  <c r="F1085" i="8"/>
  <c r="F1093" i="8"/>
  <c r="F1092" i="8"/>
  <c r="F1088" i="8"/>
  <c r="F1052" i="8"/>
  <c r="F1031" i="8"/>
  <c r="F1003" i="8"/>
  <c r="F1089" i="8"/>
  <c r="F1086" i="8"/>
  <c r="F1087" i="8"/>
  <c r="F1082" i="8"/>
  <c r="F1063" i="8"/>
  <c r="F1075" i="8"/>
  <c r="F1074" i="8"/>
  <c r="F1073" i="8"/>
  <c r="F1072" i="8"/>
  <c r="F1071" i="8"/>
  <c r="F1070" i="8"/>
  <c r="F1069" i="8"/>
  <c r="F1068" i="8"/>
  <c r="F1067" i="8"/>
  <c r="F1066" i="8"/>
  <c r="F1065" i="8"/>
  <c r="F1064" i="8"/>
  <c r="F1062" i="8"/>
  <c r="F1061" i="8"/>
  <c r="F1060" i="8"/>
  <c r="F1059" i="8"/>
  <c r="F1039" i="8"/>
  <c r="F1057" i="8"/>
  <c r="F1056" i="8"/>
  <c r="F1011" i="8"/>
  <c r="F1055" i="8"/>
  <c r="F1054" i="8"/>
  <c r="G1115" i="8"/>
  <c r="H1115" i="8" s="1"/>
  <c r="G1121" i="8"/>
  <c r="J1121" i="8" s="1"/>
  <c r="G1118" i="8"/>
  <c r="H1118" i="8" s="1"/>
  <c r="G1117" i="8"/>
  <c r="H1117" i="8" s="1"/>
  <c r="G1114" i="8"/>
  <c r="H1114" i="8" s="1"/>
  <c r="G1116" i="8"/>
  <c r="H1116" i="8" s="1"/>
  <c r="G1113" i="8"/>
  <c r="H1113" i="8" s="1"/>
  <c r="G1112" i="8"/>
  <c r="J1112" i="8" s="1"/>
  <c r="G1098" i="8"/>
  <c r="H1098" i="8" s="1"/>
  <c r="G1107" i="8"/>
  <c r="H1107" i="8" s="1"/>
  <c r="G1105" i="8"/>
  <c r="J1105" i="8" s="1"/>
  <c r="G1106" i="8"/>
  <c r="J1106" i="8" s="1"/>
  <c r="G1109" i="8"/>
  <c r="H1109" i="8" s="1"/>
  <c r="G1108" i="8"/>
  <c r="H1108" i="8" s="1"/>
  <c r="G1104" i="8"/>
  <c r="H1104" i="8" s="1"/>
  <c r="G1103" i="8"/>
  <c r="J1103" i="8" s="1"/>
  <c r="G1102" i="8"/>
  <c r="H1102" i="8" s="1"/>
  <c r="G1099" i="8"/>
  <c r="J1099" i="8" s="1"/>
  <c r="G1101" i="8"/>
  <c r="J1101" i="8" s="1"/>
  <c r="G1100" i="8"/>
  <c r="J1100" i="8" s="1"/>
  <c r="G1090" i="8"/>
  <c r="H1090" i="8" s="1"/>
  <c r="G1053" i="8"/>
  <c r="J1053" i="8" s="1"/>
  <c r="G1032" i="8"/>
  <c r="H1032" i="8" s="1"/>
  <c r="G1002" i="8"/>
  <c r="J1002" i="8" s="1"/>
  <c r="G1097" i="8"/>
  <c r="H1097" i="8" s="1"/>
  <c r="G1058" i="8"/>
  <c r="H1058" i="8" s="1"/>
  <c r="G1041" i="8"/>
  <c r="J1041" i="8" s="1"/>
  <c r="G1008" i="8"/>
  <c r="H1008" i="8" s="1"/>
  <c r="G1096" i="8"/>
  <c r="H1096" i="8" s="1"/>
  <c r="G1095" i="8"/>
  <c r="H1095" i="8" s="1"/>
  <c r="G1094" i="8"/>
  <c r="H1094" i="8" s="1"/>
  <c r="G1085" i="8"/>
  <c r="J1085" i="8" s="1"/>
  <c r="G1093" i="8"/>
  <c r="H1093" i="8" s="1"/>
  <c r="G1092" i="8"/>
  <c r="H1092" i="8" s="1"/>
  <c r="G1088" i="8"/>
  <c r="H1088" i="8" s="1"/>
  <c r="G1052" i="8"/>
  <c r="J1052" i="8" s="1"/>
  <c r="G1031" i="8"/>
  <c r="H1031" i="8" s="1"/>
  <c r="G1003" i="8"/>
  <c r="J1003" i="8" s="1"/>
  <c r="G1089" i="8"/>
  <c r="H1089" i="8" s="1"/>
  <c r="G1086" i="8"/>
  <c r="J1086" i="8" s="1"/>
  <c r="G1087" i="8"/>
  <c r="H1087" i="8" s="1"/>
  <c r="G1082" i="8"/>
  <c r="J1082" i="8" s="1"/>
  <c r="G1063" i="8"/>
  <c r="J1063" i="8" s="1"/>
  <c r="G1075" i="8"/>
  <c r="J1075" i="8" s="1"/>
  <c r="G1074" i="8"/>
  <c r="H1074" i="8" s="1"/>
  <c r="G1073" i="8"/>
  <c r="H1073" i="8" s="1"/>
  <c r="G1072" i="8"/>
  <c r="H1072" i="8" s="1"/>
  <c r="G1071" i="8"/>
  <c r="J1071" i="8" s="1"/>
  <c r="G1070" i="8"/>
  <c r="H1070" i="8" s="1"/>
  <c r="G1069" i="8"/>
  <c r="J1069" i="8" s="1"/>
  <c r="G1068" i="8"/>
  <c r="J1068" i="8" s="1"/>
  <c r="G1067" i="8"/>
  <c r="J1067" i="8" s="1"/>
  <c r="G1066" i="8"/>
  <c r="H1066" i="8" s="1"/>
  <c r="G1065" i="8"/>
  <c r="J1065" i="8" s="1"/>
  <c r="G1064" i="8"/>
  <c r="H1064" i="8" s="1"/>
  <c r="G1062" i="8"/>
  <c r="J1062" i="8" s="1"/>
  <c r="G1061" i="8"/>
  <c r="H1061" i="8" s="1"/>
  <c r="G1060" i="8"/>
  <c r="H1060" i="8" s="1"/>
  <c r="G1059" i="8"/>
  <c r="J1059" i="8" s="1"/>
  <c r="G1039" i="8"/>
  <c r="H1039" i="8" s="1"/>
  <c r="G1057" i="8"/>
  <c r="H1057" i="8" s="1"/>
  <c r="G1056" i="8"/>
  <c r="H1056" i="8" s="1"/>
  <c r="G1011" i="8"/>
  <c r="H1011" i="8" s="1"/>
  <c r="G1055" i="8"/>
  <c r="J1055" i="8" s="1"/>
  <c r="G1054" i="8"/>
  <c r="H1054" i="8" s="1"/>
  <c r="R1115" i="8"/>
  <c r="R1121" i="8"/>
  <c r="R1118" i="8"/>
  <c r="R1117" i="8"/>
  <c r="R1114" i="8"/>
  <c r="R1116" i="8"/>
  <c r="R1113" i="8"/>
  <c r="R1112" i="8"/>
  <c r="R1098" i="8"/>
  <c r="R1107" i="8"/>
  <c r="R1105" i="8"/>
  <c r="R1106" i="8"/>
  <c r="R1109" i="8"/>
  <c r="R1108" i="8"/>
  <c r="R1104" i="8"/>
  <c r="R1103" i="8"/>
  <c r="R1102" i="8"/>
  <c r="R1099" i="8"/>
  <c r="R1101" i="8"/>
  <c r="R1100" i="8"/>
  <c r="R1090" i="8"/>
  <c r="R1053" i="8"/>
  <c r="R1032" i="8"/>
  <c r="R1002" i="8"/>
  <c r="R1097" i="8"/>
  <c r="R1058" i="8"/>
  <c r="R1041" i="8"/>
  <c r="R1008" i="8"/>
  <c r="R1096" i="8"/>
  <c r="R1095" i="8"/>
  <c r="R1094" i="8"/>
  <c r="R1085" i="8"/>
  <c r="R1093" i="8"/>
  <c r="R1092" i="8"/>
  <c r="R1088" i="8"/>
  <c r="R1052" i="8"/>
  <c r="R1031" i="8"/>
  <c r="R1003" i="8"/>
  <c r="R1089" i="8"/>
  <c r="R1086" i="8"/>
  <c r="R1087" i="8"/>
  <c r="R1082" i="8"/>
  <c r="R1063" i="8"/>
  <c r="R1075" i="8"/>
  <c r="R1074" i="8"/>
  <c r="R1073" i="8"/>
  <c r="R1072" i="8"/>
  <c r="R1071" i="8"/>
  <c r="R1070" i="8"/>
  <c r="R1069" i="8"/>
  <c r="R1068" i="8"/>
  <c r="R1067" i="8"/>
  <c r="R1066" i="8"/>
  <c r="R1065" i="8"/>
  <c r="R1064" i="8"/>
  <c r="R1062" i="8"/>
  <c r="R1061" i="8"/>
  <c r="R1060" i="8"/>
  <c r="R1059" i="8"/>
  <c r="R1039" i="8"/>
  <c r="R1057" i="8"/>
  <c r="R1056" i="8"/>
  <c r="R1011" i="8"/>
  <c r="R1055" i="8"/>
  <c r="R1054" i="8"/>
  <c r="T1115" i="8"/>
  <c r="T1121" i="8"/>
  <c r="T1118" i="8"/>
  <c r="T1117" i="8"/>
  <c r="T1114" i="8"/>
  <c r="T1116" i="8"/>
  <c r="T1113" i="8"/>
  <c r="T1112" i="8"/>
  <c r="T1098" i="8"/>
  <c r="T1107" i="8"/>
  <c r="T1105" i="8"/>
  <c r="T1106" i="8"/>
  <c r="T1109" i="8"/>
  <c r="T1108" i="8"/>
  <c r="T1104" i="8"/>
  <c r="T1103" i="8"/>
  <c r="T1102" i="8"/>
  <c r="T1099" i="8"/>
  <c r="T1101" i="8"/>
  <c r="T1100" i="8"/>
  <c r="T1090" i="8"/>
  <c r="T1053" i="8"/>
  <c r="T1032" i="8"/>
  <c r="T1002" i="8"/>
  <c r="T1097" i="8"/>
  <c r="T1058" i="8"/>
  <c r="T1041" i="8"/>
  <c r="T1008" i="8"/>
  <c r="T1096" i="8"/>
  <c r="T1095" i="8"/>
  <c r="T1094" i="8"/>
  <c r="T1085" i="8"/>
  <c r="T1093" i="8"/>
  <c r="T1092" i="8"/>
  <c r="T1088" i="8"/>
  <c r="T1052" i="8"/>
  <c r="T1031" i="8"/>
  <c r="T1003" i="8"/>
  <c r="T1089" i="8"/>
  <c r="T1086" i="8"/>
  <c r="T1087" i="8"/>
  <c r="T1082" i="8"/>
  <c r="T1063" i="8"/>
  <c r="T1075" i="8"/>
  <c r="T1074" i="8"/>
  <c r="T1073" i="8"/>
  <c r="T1072" i="8"/>
  <c r="T1071" i="8"/>
  <c r="T1070" i="8"/>
  <c r="T1069" i="8"/>
  <c r="T1068" i="8"/>
  <c r="T1067" i="8"/>
  <c r="T1066" i="8"/>
  <c r="T1065" i="8"/>
  <c r="T1064" i="8"/>
  <c r="T1062" i="8"/>
  <c r="T1061" i="8"/>
  <c r="T1060" i="8"/>
  <c r="T1059" i="8"/>
  <c r="T1039" i="8"/>
  <c r="T1057" i="8"/>
  <c r="T1056" i="8"/>
  <c r="T1011" i="8"/>
  <c r="T1055" i="8"/>
  <c r="T1054" i="8"/>
  <c r="B74" i="9"/>
  <c r="B37" i="9"/>
  <c r="B51" i="9"/>
  <c r="C74" i="9"/>
  <c r="C37" i="9"/>
  <c r="C51" i="9"/>
  <c r="G2" i="8"/>
  <c r="I2" i="8" s="1"/>
  <c r="G3" i="8"/>
  <c r="I3" i="8" s="1"/>
  <c r="G4" i="8"/>
  <c r="I4" i="8" s="1"/>
  <c r="G5" i="8"/>
  <c r="I5" i="8" s="1"/>
  <c r="G6" i="8"/>
  <c r="I6" i="8" s="1"/>
  <c r="G7" i="8"/>
  <c r="I7" i="8" s="1"/>
  <c r="G8" i="8"/>
  <c r="I8" i="8" s="1"/>
  <c r="G9" i="8"/>
  <c r="I9" i="8" s="1"/>
  <c r="G10" i="8"/>
  <c r="I10" i="8" s="1"/>
  <c r="G11" i="8"/>
  <c r="I11" i="8" s="1"/>
  <c r="G12" i="8"/>
  <c r="I12" i="8" s="1"/>
  <c r="G13" i="8"/>
  <c r="I13" i="8" s="1"/>
  <c r="G14" i="8"/>
  <c r="I14" i="8" s="1"/>
  <c r="G15" i="8"/>
  <c r="I15" i="8" s="1"/>
  <c r="G16" i="8"/>
  <c r="I16" i="8" s="1"/>
  <c r="G17" i="8"/>
  <c r="I17" i="8" s="1"/>
  <c r="G18" i="8"/>
  <c r="I18" i="8" s="1"/>
  <c r="G19" i="8"/>
  <c r="I19" i="8" s="1"/>
  <c r="G20" i="8"/>
  <c r="I20" i="8" s="1"/>
  <c r="G21" i="8"/>
  <c r="I21" i="8" s="1"/>
  <c r="G22" i="8"/>
  <c r="I22" i="8" s="1"/>
  <c r="G23" i="8"/>
  <c r="I23" i="8" s="1"/>
  <c r="G24" i="8"/>
  <c r="I24" i="8" s="1"/>
  <c r="G25" i="8"/>
  <c r="I25" i="8" s="1"/>
  <c r="G26" i="8"/>
  <c r="I26" i="8" s="1"/>
  <c r="G27" i="8"/>
  <c r="I27" i="8" s="1"/>
  <c r="G28" i="8"/>
  <c r="I28" i="8" s="1"/>
  <c r="G29" i="8"/>
  <c r="I29" i="8" s="1"/>
  <c r="G30" i="8"/>
  <c r="I30" i="8" s="1"/>
  <c r="G31" i="8"/>
  <c r="I31" i="8" s="1"/>
  <c r="G32" i="8"/>
  <c r="I32" i="8" s="1"/>
  <c r="G33" i="8"/>
  <c r="I33" i="8" s="1"/>
  <c r="G34" i="8"/>
  <c r="I34" i="8" s="1"/>
  <c r="G35" i="8"/>
  <c r="I35" i="8" s="1"/>
  <c r="G36" i="8"/>
  <c r="I36" i="8" s="1"/>
  <c r="G37" i="8"/>
  <c r="I37" i="8" s="1"/>
  <c r="G38" i="8"/>
  <c r="I38" i="8" s="1"/>
  <c r="G39" i="8"/>
  <c r="I39" i="8" s="1"/>
  <c r="G40" i="8"/>
  <c r="I40" i="8" s="1"/>
  <c r="G41" i="8"/>
  <c r="I41" i="8" s="1"/>
  <c r="G42" i="8"/>
  <c r="I42" i="8" s="1"/>
  <c r="G43" i="8"/>
  <c r="I43" i="8" s="1"/>
  <c r="G44" i="8"/>
  <c r="I44" i="8" s="1"/>
  <c r="G45" i="8"/>
  <c r="I45" i="8" s="1"/>
  <c r="G46" i="8"/>
  <c r="I46" i="8" s="1"/>
  <c r="G47" i="8"/>
  <c r="I47" i="8" s="1"/>
  <c r="G48" i="8"/>
  <c r="I48" i="8" s="1"/>
  <c r="G49" i="8"/>
  <c r="I49" i="8" s="1"/>
  <c r="G50" i="8"/>
  <c r="I50" i="8" s="1"/>
  <c r="G51" i="8"/>
  <c r="I51" i="8" s="1"/>
  <c r="G52" i="8"/>
  <c r="I52" i="8" s="1"/>
  <c r="G53" i="8"/>
  <c r="I53" i="8" s="1"/>
  <c r="G54" i="8"/>
  <c r="I54" i="8" s="1"/>
  <c r="G55" i="8"/>
  <c r="I55" i="8" s="1"/>
  <c r="G56" i="8"/>
  <c r="I56" i="8" s="1"/>
  <c r="G57" i="8"/>
  <c r="I57" i="8" s="1"/>
  <c r="G58" i="8"/>
  <c r="I58" i="8" s="1"/>
  <c r="G59" i="8"/>
  <c r="I59" i="8" s="1"/>
  <c r="G60" i="8"/>
  <c r="I60" i="8" s="1"/>
  <c r="G61" i="8"/>
  <c r="I61" i="8" s="1"/>
  <c r="G62" i="8"/>
  <c r="I62" i="8" s="1"/>
  <c r="G63" i="8"/>
  <c r="I63" i="8" s="1"/>
  <c r="G64" i="8"/>
  <c r="I64" i="8" s="1"/>
  <c r="G65" i="8"/>
  <c r="I65" i="8" s="1"/>
  <c r="G66" i="8"/>
  <c r="I66" i="8" s="1"/>
  <c r="G68" i="8"/>
  <c r="I68" i="8" s="1"/>
  <c r="G67" i="8"/>
  <c r="I67" i="8" s="1"/>
  <c r="G69" i="8"/>
  <c r="I69" i="8" s="1"/>
  <c r="G70" i="8"/>
  <c r="I70" i="8" s="1"/>
  <c r="G71" i="8"/>
  <c r="I71" i="8" s="1"/>
  <c r="G72" i="8"/>
  <c r="I72" i="8" s="1"/>
  <c r="G73" i="8"/>
  <c r="I73" i="8" s="1"/>
  <c r="G74" i="8"/>
  <c r="I74" i="8" s="1"/>
  <c r="G75" i="8"/>
  <c r="I75" i="8" s="1"/>
  <c r="G76" i="8"/>
  <c r="I76" i="8" s="1"/>
  <c r="G77" i="8"/>
  <c r="I77" i="8" s="1"/>
  <c r="G78" i="8"/>
  <c r="I78" i="8" s="1"/>
  <c r="G79" i="8"/>
  <c r="I79" i="8" s="1"/>
  <c r="G80" i="8"/>
  <c r="I80" i="8" s="1"/>
  <c r="G81" i="8"/>
  <c r="I81" i="8" s="1"/>
  <c r="G82" i="8"/>
  <c r="I82" i="8" s="1"/>
  <c r="G83" i="8"/>
  <c r="I83" i="8" s="1"/>
  <c r="G84" i="8"/>
  <c r="I84" i="8" s="1"/>
  <c r="G85" i="8"/>
  <c r="I85" i="8" s="1"/>
  <c r="G86" i="8"/>
  <c r="I86" i="8" s="1"/>
  <c r="G87" i="8"/>
  <c r="I87" i="8" s="1"/>
  <c r="G88" i="8"/>
  <c r="I88" i="8" s="1"/>
  <c r="G89" i="8"/>
  <c r="I89" i="8" s="1"/>
  <c r="G90" i="8"/>
  <c r="I90" i="8" s="1"/>
  <c r="G91" i="8"/>
  <c r="I91" i="8" s="1"/>
  <c r="G92" i="8"/>
  <c r="I92" i="8" s="1"/>
  <c r="G93" i="8"/>
  <c r="I93" i="8" s="1"/>
  <c r="G94" i="8"/>
  <c r="I94" i="8" s="1"/>
  <c r="G95" i="8"/>
  <c r="I95" i="8" s="1"/>
  <c r="G96" i="8"/>
  <c r="I96" i="8" s="1"/>
  <c r="G97" i="8"/>
  <c r="I97" i="8" s="1"/>
  <c r="G98" i="8"/>
  <c r="I98" i="8" s="1"/>
  <c r="G99" i="8"/>
  <c r="I99" i="8" s="1"/>
  <c r="G100" i="8"/>
  <c r="I100" i="8" s="1"/>
  <c r="G101" i="8"/>
  <c r="I101" i="8" s="1"/>
  <c r="G102" i="8"/>
  <c r="I102" i="8" s="1"/>
  <c r="G103" i="8"/>
  <c r="I103" i="8" s="1"/>
  <c r="G104" i="8"/>
  <c r="I104" i="8" s="1"/>
  <c r="G105" i="8"/>
  <c r="I105" i="8" s="1"/>
  <c r="G106" i="8"/>
  <c r="I106" i="8" s="1"/>
  <c r="G107" i="8"/>
  <c r="I107" i="8" s="1"/>
  <c r="G108" i="8"/>
  <c r="I108" i="8" s="1"/>
  <c r="G110" i="8"/>
  <c r="I110" i="8" s="1"/>
  <c r="G109" i="8"/>
  <c r="I109" i="8" s="1"/>
  <c r="G111" i="8"/>
  <c r="I111" i="8" s="1"/>
  <c r="G112" i="8"/>
  <c r="I112" i="8" s="1"/>
  <c r="G113" i="8"/>
  <c r="I113" i="8" s="1"/>
  <c r="G114" i="8"/>
  <c r="I114" i="8" s="1"/>
  <c r="G115" i="8"/>
  <c r="I115" i="8" s="1"/>
  <c r="G116" i="8"/>
  <c r="I116" i="8" s="1"/>
  <c r="G118" i="8"/>
  <c r="I118" i="8" s="1"/>
  <c r="G119" i="8"/>
  <c r="I119" i="8" s="1"/>
  <c r="G120" i="8"/>
  <c r="I120" i="8" s="1"/>
  <c r="G121" i="8"/>
  <c r="I121" i="8" s="1"/>
  <c r="G123" i="8"/>
  <c r="I123" i="8" s="1"/>
  <c r="G122" i="8"/>
  <c r="I122" i="8" s="1"/>
  <c r="G117" i="8"/>
  <c r="G124" i="8"/>
  <c r="I124" i="8" s="1"/>
  <c r="G125" i="8"/>
  <c r="I125" i="8" s="1"/>
  <c r="G126" i="8"/>
  <c r="I126" i="8" s="1"/>
  <c r="G127" i="8"/>
  <c r="I127" i="8" s="1"/>
  <c r="G128" i="8"/>
  <c r="I128" i="8" s="1"/>
  <c r="G129" i="8"/>
  <c r="I129" i="8" s="1"/>
  <c r="G130" i="8"/>
  <c r="I130" i="8" s="1"/>
  <c r="G131" i="8"/>
  <c r="I131" i="8" s="1"/>
  <c r="G132" i="8"/>
  <c r="I132" i="8" s="1"/>
  <c r="G133" i="8"/>
  <c r="I133" i="8" s="1"/>
  <c r="G134" i="8"/>
  <c r="I134" i="8" s="1"/>
  <c r="G136" i="8"/>
  <c r="I136" i="8" s="1"/>
  <c r="G137" i="8"/>
  <c r="I137" i="8" s="1"/>
  <c r="G138" i="8"/>
  <c r="I138" i="8" s="1"/>
  <c r="G135" i="8"/>
  <c r="G139" i="8"/>
  <c r="I139" i="8" s="1"/>
  <c r="G140" i="8"/>
  <c r="I140" i="8" s="1"/>
  <c r="G141" i="8"/>
  <c r="I141" i="8" s="1"/>
  <c r="G142" i="8"/>
  <c r="I142" i="8" s="1"/>
  <c r="G143" i="8"/>
  <c r="I143" i="8" s="1"/>
  <c r="G144" i="8"/>
  <c r="I144" i="8" s="1"/>
  <c r="G145" i="8"/>
  <c r="I145" i="8" s="1"/>
  <c r="G147" i="8"/>
  <c r="I147" i="8" s="1"/>
  <c r="G148" i="8"/>
  <c r="I148" i="8" s="1"/>
  <c r="G149" i="8"/>
  <c r="I149" i="8" s="1"/>
  <c r="G146" i="8"/>
  <c r="G150" i="8"/>
  <c r="I150" i="8" s="1"/>
  <c r="G151" i="8"/>
  <c r="I151" i="8" s="1"/>
  <c r="G152" i="8"/>
  <c r="I152" i="8" s="1"/>
  <c r="G153" i="8"/>
  <c r="I153" i="8" s="1"/>
  <c r="G155" i="8"/>
  <c r="I155" i="8" s="1"/>
  <c r="G154" i="8"/>
  <c r="I154" i="8" s="1"/>
  <c r="G156" i="8"/>
  <c r="I156" i="8" s="1"/>
  <c r="G158" i="8"/>
  <c r="I158" i="8" s="1"/>
  <c r="G159" i="8"/>
  <c r="I159" i="8" s="1"/>
  <c r="G160" i="8"/>
  <c r="I160" i="8" s="1"/>
  <c r="G157" i="8"/>
  <c r="G161" i="8"/>
  <c r="I161" i="8" s="1"/>
  <c r="G162" i="8"/>
  <c r="I162" i="8" s="1"/>
  <c r="G163" i="8"/>
  <c r="I163" i="8" s="1"/>
  <c r="G164" i="8"/>
  <c r="I164" i="8" s="1"/>
  <c r="G165" i="8"/>
  <c r="I165" i="8" s="1"/>
  <c r="G166" i="8"/>
  <c r="I166" i="8" s="1"/>
  <c r="G167" i="8"/>
  <c r="I167" i="8" s="1"/>
  <c r="G168" i="8"/>
  <c r="I168" i="8" s="1"/>
  <c r="G170" i="8"/>
  <c r="I170" i="8" s="1"/>
  <c r="G169" i="8"/>
  <c r="I169" i="8" s="1"/>
  <c r="G171" i="8"/>
  <c r="I171" i="8" s="1"/>
  <c r="G172" i="8"/>
  <c r="I172" i="8" s="1"/>
  <c r="G173" i="8"/>
  <c r="I173" i="8" s="1"/>
  <c r="G174" i="8"/>
  <c r="I174" i="8" s="1"/>
  <c r="G176" i="8"/>
  <c r="I176" i="8" s="1"/>
  <c r="G177" i="8"/>
  <c r="I177" i="8" s="1"/>
  <c r="G178" i="8"/>
  <c r="I178" i="8" s="1"/>
  <c r="G175" i="8"/>
  <c r="J175" i="8" s="1"/>
  <c r="G179" i="8"/>
  <c r="I179" i="8" s="1"/>
  <c r="G180" i="8"/>
  <c r="I180" i="8" s="1"/>
  <c r="G181" i="8"/>
  <c r="I181" i="8" s="1"/>
  <c r="G182" i="8"/>
  <c r="I182" i="8" s="1"/>
  <c r="G183" i="8"/>
  <c r="I183" i="8" s="1"/>
  <c r="G184" i="8"/>
  <c r="I184" i="8" s="1"/>
  <c r="G185" i="8"/>
  <c r="I185" i="8" s="1"/>
  <c r="G187" i="8"/>
  <c r="I187" i="8" s="1"/>
  <c r="G188" i="8"/>
  <c r="I188" i="8" s="1"/>
  <c r="G189" i="8"/>
  <c r="I189" i="8" s="1"/>
  <c r="G190" i="8"/>
  <c r="I190" i="8" s="1"/>
  <c r="G186" i="8"/>
  <c r="G191" i="8"/>
  <c r="I191" i="8" s="1"/>
  <c r="G192" i="8"/>
  <c r="I192" i="8" s="1"/>
  <c r="G193" i="8"/>
  <c r="I193" i="8" s="1"/>
  <c r="G194" i="8"/>
  <c r="I194" i="8" s="1"/>
  <c r="G195" i="8"/>
  <c r="I195" i="8" s="1"/>
  <c r="G196" i="8"/>
  <c r="I196" i="8" s="1"/>
  <c r="G197" i="8"/>
  <c r="I197" i="8" s="1"/>
  <c r="G198" i="8"/>
  <c r="I198" i="8" s="1"/>
  <c r="G199" i="8"/>
  <c r="I199" i="8" s="1"/>
  <c r="G200" i="8"/>
  <c r="I200" i="8" s="1"/>
  <c r="G201" i="8"/>
  <c r="I201" i="8" s="1"/>
  <c r="G203" i="8"/>
  <c r="I203" i="8" s="1"/>
  <c r="G202" i="8"/>
  <c r="I202" i="8" s="1"/>
  <c r="G205" i="8"/>
  <c r="I205" i="8" s="1"/>
  <c r="G206" i="8"/>
  <c r="I206" i="8" s="1"/>
  <c r="G207" i="8"/>
  <c r="I207" i="8" s="1"/>
  <c r="G208" i="8"/>
  <c r="I208" i="8" s="1"/>
  <c r="G204" i="8"/>
  <c r="G209" i="8"/>
  <c r="I209" i="8" s="1"/>
  <c r="G210" i="8"/>
  <c r="I210" i="8" s="1"/>
  <c r="G211" i="8"/>
  <c r="I211" i="8" s="1"/>
  <c r="G212" i="8"/>
  <c r="I212" i="8" s="1"/>
  <c r="G213" i="8"/>
  <c r="I213" i="8" s="1"/>
  <c r="G214" i="8"/>
  <c r="I214" i="8" s="1"/>
  <c r="G215" i="8"/>
  <c r="I215" i="8" s="1"/>
  <c r="G216" i="8"/>
  <c r="I216" i="8" s="1"/>
  <c r="G217" i="8"/>
  <c r="I217" i="8" s="1"/>
  <c r="G218" i="8"/>
  <c r="I218" i="8" s="1"/>
  <c r="G219" i="8"/>
  <c r="I219" i="8" s="1"/>
  <c r="G220" i="8"/>
  <c r="I220" i="8" s="1"/>
  <c r="G221" i="8"/>
  <c r="I221" i="8" s="1"/>
  <c r="G223" i="8"/>
  <c r="I223" i="8" s="1"/>
  <c r="G224" i="8"/>
  <c r="I224" i="8" s="1"/>
  <c r="G225" i="8"/>
  <c r="I225" i="8" s="1"/>
  <c r="G222" i="8"/>
  <c r="G226" i="8"/>
  <c r="I226" i="8" s="1"/>
  <c r="G227" i="8"/>
  <c r="I227" i="8" s="1"/>
  <c r="G228" i="8"/>
  <c r="I228" i="8" s="1"/>
  <c r="G229" i="8"/>
  <c r="I229" i="8" s="1"/>
  <c r="G230" i="8"/>
  <c r="I230" i="8" s="1"/>
  <c r="G231" i="8"/>
  <c r="I231" i="8" s="1"/>
  <c r="G232" i="8"/>
  <c r="I232" i="8" s="1"/>
  <c r="G234" i="8"/>
  <c r="I234" i="8" s="1"/>
  <c r="G233" i="8"/>
  <c r="I233" i="8" s="1"/>
  <c r="G235" i="8"/>
  <c r="I235" i="8" s="1"/>
  <c r="G236" i="8"/>
  <c r="I236" i="8" s="1"/>
  <c r="G237" i="8"/>
  <c r="I237" i="8" s="1"/>
  <c r="G238" i="8"/>
  <c r="I238" i="8" s="1"/>
  <c r="G239" i="8"/>
  <c r="I239" i="8" s="1"/>
  <c r="G240" i="8"/>
  <c r="I240" i="8" s="1"/>
  <c r="G241" i="8"/>
  <c r="I241" i="8" s="1"/>
  <c r="G242" i="8"/>
  <c r="I242" i="8" s="1"/>
  <c r="G243" i="8"/>
  <c r="I243" i="8" s="1"/>
  <c r="G244" i="8"/>
  <c r="I244" i="8" s="1"/>
  <c r="G245" i="8"/>
  <c r="I245" i="8" s="1"/>
  <c r="G246" i="8"/>
  <c r="I246" i="8" s="1"/>
  <c r="G247" i="8"/>
  <c r="I247" i="8" s="1"/>
  <c r="G248" i="8"/>
  <c r="I248" i="8" s="1"/>
  <c r="G249" i="8"/>
  <c r="I249" i="8" s="1"/>
  <c r="G250" i="8"/>
  <c r="I250" i="8" s="1"/>
  <c r="G251" i="8"/>
  <c r="I251" i="8" s="1"/>
  <c r="G252" i="8"/>
  <c r="I252" i="8" s="1"/>
  <c r="G253" i="8"/>
  <c r="I253" i="8" s="1"/>
  <c r="G254" i="8"/>
  <c r="I254" i="8" s="1"/>
  <c r="G255" i="8"/>
  <c r="I255" i="8" s="1"/>
  <c r="G256" i="8"/>
  <c r="I256" i="8" s="1"/>
  <c r="G257" i="8"/>
  <c r="I257" i="8" s="1"/>
  <c r="G259" i="8"/>
  <c r="I259" i="8" s="1"/>
  <c r="G260" i="8"/>
  <c r="I260" i="8" s="1"/>
  <c r="G261" i="8"/>
  <c r="I261" i="8" s="1"/>
  <c r="G262" i="8"/>
  <c r="I262" i="8" s="1"/>
  <c r="G258" i="8"/>
  <c r="G263" i="8"/>
  <c r="I263" i="8" s="1"/>
  <c r="G264" i="8"/>
  <c r="I264" i="8" s="1"/>
  <c r="G265" i="8"/>
  <c r="I265" i="8" s="1"/>
  <c r="G266" i="8"/>
  <c r="I266" i="8" s="1"/>
  <c r="G267" i="8"/>
  <c r="I267" i="8" s="1"/>
  <c r="G268" i="8"/>
  <c r="I268" i="8" s="1"/>
  <c r="G269" i="8"/>
  <c r="I269" i="8" s="1"/>
  <c r="G270" i="8"/>
  <c r="I270" i="8" s="1"/>
  <c r="G271" i="8"/>
  <c r="I271" i="8" s="1"/>
  <c r="G272" i="8"/>
  <c r="I272" i="8" s="1"/>
  <c r="G274" i="8"/>
  <c r="I274" i="8" s="1"/>
  <c r="G275" i="8"/>
  <c r="I275" i="8" s="1"/>
  <c r="G276" i="8"/>
  <c r="I276" i="8" s="1"/>
  <c r="G277" i="8"/>
  <c r="I277" i="8" s="1"/>
  <c r="G278" i="8"/>
  <c r="I278" i="8" s="1"/>
  <c r="G273" i="8"/>
  <c r="G279" i="8"/>
  <c r="I279" i="8" s="1"/>
  <c r="G280" i="8"/>
  <c r="I280" i="8" s="1"/>
  <c r="G281" i="8"/>
  <c r="I281" i="8" s="1"/>
  <c r="G282" i="8"/>
  <c r="I282" i="8" s="1"/>
  <c r="G283" i="8"/>
  <c r="I283" i="8" s="1"/>
  <c r="G284" i="8"/>
  <c r="I284" i="8" s="1"/>
  <c r="G285" i="8"/>
  <c r="I285" i="8" s="1"/>
  <c r="G286" i="8"/>
  <c r="I286" i="8" s="1"/>
  <c r="G287" i="8"/>
  <c r="I287" i="8" s="1"/>
  <c r="G288" i="8"/>
  <c r="I288" i="8" s="1"/>
  <c r="G290" i="8"/>
  <c r="I290" i="8" s="1"/>
  <c r="G289" i="8"/>
  <c r="I289" i="8" s="1"/>
  <c r="G291" i="8"/>
  <c r="I291" i="8" s="1"/>
  <c r="G292" i="8"/>
  <c r="I292" i="8" s="1"/>
  <c r="G293" i="8"/>
  <c r="I293" i="8" s="1"/>
  <c r="G294" i="8"/>
  <c r="I294" i="8" s="1"/>
  <c r="G295" i="8"/>
  <c r="I295" i="8" s="1"/>
  <c r="G297" i="8"/>
  <c r="I297" i="8" s="1"/>
  <c r="G296" i="8"/>
  <c r="I296" i="8" s="1"/>
  <c r="G298" i="8"/>
  <c r="I298" i="8" s="1"/>
  <c r="G299" i="8"/>
  <c r="I299" i="8" s="1"/>
  <c r="G300" i="8"/>
  <c r="I300" i="8" s="1"/>
  <c r="G301" i="8"/>
  <c r="I301" i="8" s="1"/>
  <c r="G302" i="8"/>
  <c r="I302" i="8" s="1"/>
  <c r="G303" i="8"/>
  <c r="I303" i="8" s="1"/>
  <c r="G304" i="8"/>
  <c r="I304" i="8" s="1"/>
  <c r="G305" i="8"/>
  <c r="I305" i="8" s="1"/>
  <c r="G306" i="8"/>
  <c r="I306" i="8" s="1"/>
  <c r="G307" i="8"/>
  <c r="I307" i="8" s="1"/>
  <c r="G308" i="8"/>
  <c r="I308" i="8" s="1"/>
  <c r="G309" i="8"/>
  <c r="I309" i="8" s="1"/>
  <c r="G310" i="8"/>
  <c r="I310" i="8" s="1"/>
  <c r="G311" i="8"/>
  <c r="I311" i="8" s="1"/>
  <c r="G312" i="8"/>
  <c r="I312" i="8" s="1"/>
  <c r="G313" i="8"/>
  <c r="I313" i="8" s="1"/>
  <c r="G314" i="8"/>
  <c r="I314" i="8" s="1"/>
  <c r="G315" i="8"/>
  <c r="I315" i="8" s="1"/>
  <c r="G316" i="8"/>
  <c r="I316" i="8" s="1"/>
  <c r="G317" i="8"/>
  <c r="I317" i="8" s="1"/>
  <c r="G318" i="8"/>
  <c r="I318" i="8" s="1"/>
  <c r="G319" i="8"/>
  <c r="I319" i="8" s="1"/>
  <c r="G320" i="8"/>
  <c r="I320" i="8" s="1"/>
  <c r="G321" i="8"/>
  <c r="I321" i="8" s="1"/>
  <c r="G322" i="8"/>
  <c r="I322" i="8" s="1"/>
  <c r="G323" i="8"/>
  <c r="I323" i="8" s="1"/>
  <c r="G324" i="8"/>
  <c r="I324" i="8" s="1"/>
  <c r="G325" i="8"/>
  <c r="I325" i="8" s="1"/>
  <c r="G326" i="8"/>
  <c r="I326" i="8" s="1"/>
  <c r="G327" i="8"/>
  <c r="I327" i="8" s="1"/>
  <c r="G328" i="8"/>
  <c r="I328" i="8" s="1"/>
  <c r="G329" i="8"/>
  <c r="I329" i="8" s="1"/>
  <c r="G330" i="8"/>
  <c r="I330" i="8" s="1"/>
  <c r="G331" i="8"/>
  <c r="I331" i="8" s="1"/>
  <c r="G333" i="8"/>
  <c r="I333" i="8" s="1"/>
  <c r="G332" i="8"/>
  <c r="G334" i="8"/>
  <c r="I334" i="8" s="1"/>
  <c r="G335" i="8"/>
  <c r="I335" i="8" s="1"/>
  <c r="G336" i="8"/>
  <c r="I336" i="8" s="1"/>
  <c r="G337" i="8"/>
  <c r="I337" i="8" s="1"/>
  <c r="G338" i="8"/>
  <c r="I338" i="8" s="1"/>
  <c r="G339" i="8"/>
  <c r="I339" i="8" s="1"/>
  <c r="G340" i="8"/>
  <c r="I340" i="8" s="1"/>
  <c r="G341" i="8"/>
  <c r="I341" i="8" s="1"/>
  <c r="G342" i="8"/>
  <c r="I342" i="8" s="1"/>
  <c r="G343" i="8"/>
  <c r="I343" i="8" s="1"/>
  <c r="G344" i="8"/>
  <c r="I344" i="8" s="1"/>
  <c r="G345" i="8"/>
  <c r="I345" i="8" s="1"/>
  <c r="G347" i="8"/>
  <c r="I347" i="8" s="1"/>
  <c r="G346" i="8"/>
  <c r="I346" i="8" s="1"/>
  <c r="G349" i="8"/>
  <c r="I349" i="8" s="1"/>
  <c r="G350" i="8"/>
  <c r="I350" i="8" s="1"/>
  <c r="G351" i="8"/>
  <c r="I351" i="8" s="1"/>
  <c r="G352" i="8"/>
  <c r="I352" i="8" s="1"/>
  <c r="G353" i="8"/>
  <c r="I353" i="8" s="1"/>
  <c r="G355" i="8"/>
  <c r="I355" i="8" s="1"/>
  <c r="G354" i="8"/>
  <c r="I354" i="8" s="1"/>
  <c r="G348" i="8"/>
  <c r="G356" i="8"/>
  <c r="I356" i="8" s="1"/>
  <c r="G357" i="8"/>
  <c r="I357" i="8" s="1"/>
  <c r="G358" i="8"/>
  <c r="I358" i="8" s="1"/>
  <c r="G359" i="8"/>
  <c r="I359" i="8" s="1"/>
  <c r="G360" i="8"/>
  <c r="I360" i="8" s="1"/>
  <c r="G361" i="8"/>
  <c r="I361" i="8" s="1"/>
  <c r="G362" i="8"/>
  <c r="I362" i="8" s="1"/>
  <c r="G363" i="8"/>
  <c r="I363" i="8" s="1"/>
  <c r="G364" i="8"/>
  <c r="I364" i="8" s="1"/>
  <c r="G365" i="8"/>
  <c r="I365" i="8" s="1"/>
  <c r="G366" i="8"/>
  <c r="I366" i="8" s="1"/>
  <c r="G367" i="8"/>
  <c r="I367" i="8" s="1"/>
  <c r="G368" i="8"/>
  <c r="I368" i="8" s="1"/>
  <c r="G369" i="8"/>
  <c r="I369" i="8" s="1"/>
  <c r="G370" i="8"/>
  <c r="I370" i="8" s="1"/>
  <c r="G371" i="8"/>
  <c r="I371" i="8" s="1"/>
  <c r="G372" i="8"/>
  <c r="I372" i="8" s="1"/>
  <c r="G373" i="8"/>
  <c r="I373" i="8" s="1"/>
  <c r="G374" i="8"/>
  <c r="I374" i="8" s="1"/>
  <c r="G375" i="8"/>
  <c r="I375" i="8" s="1"/>
  <c r="G376" i="8"/>
  <c r="I376" i="8" s="1"/>
  <c r="G377" i="8"/>
  <c r="I377" i="8" s="1"/>
  <c r="G378" i="8"/>
  <c r="I378" i="8" s="1"/>
  <c r="G379" i="8"/>
  <c r="I379" i="8" s="1"/>
  <c r="G380" i="8"/>
  <c r="I380" i="8" s="1"/>
  <c r="G381" i="8"/>
  <c r="I381" i="8" s="1"/>
  <c r="G382" i="8"/>
  <c r="I382" i="8" s="1"/>
  <c r="G383" i="8"/>
  <c r="I383" i="8" s="1"/>
  <c r="G384" i="8"/>
  <c r="I384" i="8" s="1"/>
  <c r="G387" i="8"/>
  <c r="I387" i="8" s="1"/>
  <c r="G388" i="8"/>
  <c r="I388" i="8" s="1"/>
  <c r="G389" i="8"/>
  <c r="I389" i="8" s="1"/>
  <c r="G390" i="8"/>
  <c r="I390" i="8" s="1"/>
  <c r="G391" i="8"/>
  <c r="I391" i="8" s="1"/>
  <c r="G392" i="8"/>
  <c r="I392" i="8" s="1"/>
  <c r="G393" i="8"/>
  <c r="I393" i="8" s="1"/>
  <c r="G394" i="8"/>
  <c r="I394" i="8" s="1"/>
  <c r="G395" i="8"/>
  <c r="I395" i="8" s="1"/>
  <c r="G396" i="8"/>
  <c r="I396" i="8" s="1"/>
  <c r="G397" i="8"/>
  <c r="I397" i="8" s="1"/>
  <c r="G398" i="8"/>
  <c r="I398" i="8" s="1"/>
  <c r="G399" i="8"/>
  <c r="I399" i="8" s="1"/>
  <c r="G400" i="8"/>
  <c r="I400" i="8" s="1"/>
  <c r="G401" i="8"/>
  <c r="I401" i="8" s="1"/>
  <c r="G402" i="8"/>
  <c r="I402" i="8" s="1"/>
  <c r="G403" i="8"/>
  <c r="I403" i="8" s="1"/>
  <c r="G404" i="8"/>
  <c r="I404" i="8" s="1"/>
  <c r="G405" i="8"/>
  <c r="I405" i="8" s="1"/>
  <c r="G406" i="8"/>
  <c r="I406" i="8" s="1"/>
  <c r="G407" i="8"/>
  <c r="I407" i="8" s="1"/>
  <c r="G408" i="8"/>
  <c r="I408" i="8" s="1"/>
  <c r="G409" i="8"/>
  <c r="I409" i="8" s="1"/>
  <c r="G410" i="8"/>
  <c r="I410" i="8" s="1"/>
  <c r="G411" i="8"/>
  <c r="I411" i="8" s="1"/>
  <c r="G412" i="8"/>
  <c r="I412" i="8" s="1"/>
  <c r="G413" i="8"/>
  <c r="I413" i="8" s="1"/>
  <c r="G414" i="8"/>
  <c r="I414" i="8" s="1"/>
  <c r="G419" i="8"/>
  <c r="I419" i="8" s="1"/>
  <c r="G420" i="8"/>
  <c r="I420" i="8" s="1"/>
  <c r="G421" i="8"/>
  <c r="I421" i="8" s="1"/>
  <c r="G422" i="8"/>
  <c r="I422" i="8" s="1"/>
  <c r="G423" i="8"/>
  <c r="I423" i="8" s="1"/>
  <c r="G424" i="8"/>
  <c r="I424" i="8" s="1"/>
  <c r="G425" i="8"/>
  <c r="I425" i="8" s="1"/>
  <c r="G426" i="8"/>
  <c r="I426" i="8" s="1"/>
  <c r="G427" i="8"/>
  <c r="I427" i="8" s="1"/>
  <c r="G428" i="8"/>
  <c r="I428" i="8" s="1"/>
  <c r="G429" i="8"/>
  <c r="I429" i="8" s="1"/>
  <c r="G430" i="8"/>
  <c r="I430" i="8" s="1"/>
  <c r="G437" i="8"/>
  <c r="I437" i="8" s="1"/>
  <c r="G438" i="8"/>
  <c r="I438" i="8" s="1"/>
  <c r="G439" i="8"/>
  <c r="I439" i="8" s="1"/>
  <c r="G440" i="8"/>
  <c r="I440" i="8" s="1"/>
  <c r="G441" i="8"/>
  <c r="I441" i="8" s="1"/>
  <c r="G442" i="8"/>
  <c r="I442" i="8" s="1"/>
  <c r="G443" i="8"/>
  <c r="I443" i="8" s="1"/>
  <c r="G444" i="8"/>
  <c r="I444" i="8" s="1"/>
  <c r="G445" i="8"/>
  <c r="I445" i="8" s="1"/>
  <c r="G446" i="8"/>
  <c r="I446" i="8" s="1"/>
  <c r="G447" i="8"/>
  <c r="I447" i="8" s="1"/>
  <c r="G448" i="8"/>
  <c r="I448" i="8" s="1"/>
  <c r="G449" i="8"/>
  <c r="I449" i="8" s="1"/>
  <c r="G450" i="8"/>
  <c r="I450" i="8" s="1"/>
  <c r="G451" i="8"/>
  <c r="I451" i="8" s="1"/>
  <c r="G452" i="8"/>
  <c r="I452" i="8" s="1"/>
  <c r="G453" i="8"/>
  <c r="I453" i="8" s="1"/>
  <c r="G454" i="8"/>
  <c r="I454" i="8" s="1"/>
  <c r="G455" i="8"/>
  <c r="I455" i="8" s="1"/>
  <c r="G456" i="8"/>
  <c r="I456" i="8" s="1"/>
  <c r="G457" i="8"/>
  <c r="I457" i="8" s="1"/>
  <c r="G458" i="8"/>
  <c r="I458" i="8" s="1"/>
  <c r="G459" i="8"/>
  <c r="I459" i="8" s="1"/>
  <c r="G460" i="8"/>
  <c r="I460" i="8" s="1"/>
  <c r="G461" i="8"/>
  <c r="I461" i="8" s="1"/>
  <c r="G462" i="8"/>
  <c r="I462" i="8" s="1"/>
  <c r="G463" i="8"/>
  <c r="I463" i="8" s="1"/>
  <c r="G464" i="8"/>
  <c r="I464" i="8" s="1"/>
  <c r="G465" i="8"/>
  <c r="I465" i="8" s="1"/>
  <c r="G472" i="8"/>
  <c r="I472" i="8" s="1"/>
  <c r="G473" i="8"/>
  <c r="I473" i="8" s="1"/>
  <c r="G474" i="8"/>
  <c r="I474" i="8" s="1"/>
  <c r="G475" i="8"/>
  <c r="I475" i="8" s="1"/>
  <c r="G476" i="8"/>
  <c r="I476" i="8" s="1"/>
  <c r="G477" i="8"/>
  <c r="I477" i="8" s="1"/>
  <c r="G478" i="8"/>
  <c r="I478" i="8" s="1"/>
  <c r="G479" i="8"/>
  <c r="I479" i="8" s="1"/>
  <c r="G480" i="8"/>
  <c r="I480" i="8" s="1"/>
  <c r="G481" i="8"/>
  <c r="I481" i="8" s="1"/>
  <c r="G482" i="8"/>
  <c r="I482" i="8" s="1"/>
  <c r="G484" i="8"/>
  <c r="I484" i="8" s="1"/>
  <c r="G485" i="8"/>
  <c r="I485" i="8" s="1"/>
  <c r="G486" i="8"/>
  <c r="I486" i="8" s="1"/>
  <c r="G483" i="8"/>
  <c r="G487" i="8"/>
  <c r="I487" i="8" s="1"/>
  <c r="G488" i="8"/>
  <c r="I488" i="8" s="1"/>
  <c r="G489" i="8"/>
  <c r="I489" i="8" s="1"/>
  <c r="G490" i="8"/>
  <c r="I490" i="8" s="1"/>
  <c r="G491" i="8"/>
  <c r="I491" i="8" s="1"/>
  <c r="G492" i="8"/>
  <c r="I492" i="8" s="1"/>
  <c r="G493" i="8"/>
  <c r="I493" i="8" s="1"/>
  <c r="G494" i="8"/>
  <c r="I494" i="8" s="1"/>
  <c r="G501" i="8"/>
  <c r="I501" i="8" s="1"/>
  <c r="G502" i="8"/>
  <c r="I502" i="8" s="1"/>
  <c r="G503" i="8"/>
  <c r="I503" i="8" s="1"/>
  <c r="G504" i="8"/>
  <c r="I504" i="8" s="1"/>
  <c r="G505" i="8"/>
  <c r="I505" i="8" s="1"/>
  <c r="G506" i="8"/>
  <c r="I506" i="8" s="1"/>
  <c r="G507" i="8"/>
  <c r="I507" i="8" s="1"/>
  <c r="G508" i="8"/>
  <c r="I508" i="8" s="1"/>
  <c r="G509" i="8"/>
  <c r="I509" i="8" s="1"/>
  <c r="G510" i="8"/>
  <c r="I510" i="8" s="1"/>
  <c r="G511" i="8"/>
  <c r="I511" i="8" s="1"/>
  <c r="G512" i="8"/>
  <c r="I512" i="8" s="1"/>
  <c r="G513" i="8"/>
  <c r="I513" i="8" s="1"/>
  <c r="G514" i="8"/>
  <c r="I514" i="8" s="1"/>
  <c r="G515" i="8"/>
  <c r="I515" i="8" s="1"/>
  <c r="G516" i="8"/>
  <c r="I516" i="8" s="1"/>
  <c r="G517" i="8"/>
  <c r="I517" i="8" s="1"/>
  <c r="G518" i="8"/>
  <c r="I518" i="8" s="1"/>
  <c r="G526" i="8"/>
  <c r="I526" i="8" s="1"/>
  <c r="G527" i="8"/>
  <c r="G528" i="8"/>
  <c r="G529" i="8"/>
  <c r="I529" i="8" s="1"/>
  <c r="G530" i="8"/>
  <c r="I530" i="8" s="1"/>
  <c r="G525" i="8"/>
  <c r="G531" i="8"/>
  <c r="I531" i="8" s="1"/>
  <c r="G532" i="8"/>
  <c r="I532" i="8" s="1"/>
  <c r="G533" i="8"/>
  <c r="I533" i="8" s="1"/>
  <c r="G534" i="8"/>
  <c r="I534" i="8" s="1"/>
  <c r="G535" i="8"/>
  <c r="I535" i="8" s="1"/>
  <c r="G536" i="8"/>
  <c r="I536" i="8" s="1"/>
  <c r="G537" i="8"/>
  <c r="I537" i="8" s="1"/>
  <c r="G538" i="8"/>
  <c r="I538" i="8" s="1"/>
  <c r="G539" i="8"/>
  <c r="I539" i="8" s="1"/>
  <c r="G540" i="8"/>
  <c r="I540" i="8" s="1"/>
  <c r="G541" i="8"/>
  <c r="I541" i="8" s="1"/>
  <c r="G542" i="8"/>
  <c r="I542" i="8" s="1"/>
  <c r="G543" i="8"/>
  <c r="I543" i="8" s="1"/>
  <c r="G544" i="8"/>
  <c r="I544" i="8" s="1"/>
  <c r="G545" i="8"/>
  <c r="I545" i="8" s="1"/>
  <c r="G546" i="8"/>
  <c r="I546" i="8" s="1"/>
  <c r="G547" i="8"/>
  <c r="I547" i="8" s="1"/>
  <c r="G549" i="8"/>
  <c r="I549" i="8" s="1"/>
  <c r="G550" i="8"/>
  <c r="I550" i="8" s="1"/>
  <c r="G551" i="8"/>
  <c r="I551" i="8" s="1"/>
  <c r="G552" i="8"/>
  <c r="I552" i="8" s="1"/>
  <c r="G553" i="8"/>
  <c r="I553" i="8" s="1"/>
  <c r="G548" i="8"/>
  <c r="H548" i="8" s="1"/>
  <c r="G560" i="8"/>
  <c r="I560" i="8" s="1"/>
  <c r="G561" i="8"/>
  <c r="I561" i="8" s="1"/>
  <c r="G562" i="8"/>
  <c r="I562" i="8" s="1"/>
  <c r="G563" i="8"/>
  <c r="I563" i="8" s="1"/>
  <c r="G564" i="8"/>
  <c r="I564" i="8" s="1"/>
  <c r="G566" i="8"/>
  <c r="I566" i="8" s="1"/>
  <c r="G565" i="8"/>
  <c r="G567" i="8"/>
  <c r="I567" i="8" s="1"/>
  <c r="G568" i="8"/>
  <c r="I568" i="8" s="1"/>
  <c r="G569" i="8"/>
  <c r="I569" i="8" s="1"/>
  <c r="G570" i="8"/>
  <c r="I570" i="8" s="1"/>
  <c r="G571" i="8"/>
  <c r="I571" i="8" s="1"/>
  <c r="G572" i="8"/>
  <c r="I572" i="8" s="1"/>
  <c r="G573" i="8"/>
  <c r="G574" i="8"/>
  <c r="I574" i="8" s="1"/>
  <c r="G575" i="8"/>
  <c r="I575" i="8" s="1"/>
  <c r="G576" i="8"/>
  <c r="I576" i="8" s="1"/>
  <c r="G577" i="8"/>
  <c r="I577" i="8" s="1"/>
  <c r="G578" i="8"/>
  <c r="I578" i="8" s="1"/>
  <c r="G579" i="8"/>
  <c r="I579" i="8" s="1"/>
  <c r="G581" i="8"/>
  <c r="I581" i="8" s="1"/>
  <c r="G582" i="8"/>
  <c r="I582" i="8" s="1"/>
  <c r="G583" i="8"/>
  <c r="I583" i="8" s="1"/>
  <c r="G584" i="8"/>
  <c r="I584" i="8" s="1"/>
  <c r="G585" i="8"/>
  <c r="I585" i="8" s="1"/>
  <c r="G586" i="8"/>
  <c r="I586" i="8" s="1"/>
  <c r="G580" i="8"/>
  <c r="H580" i="8" s="1"/>
  <c r="G593" i="8"/>
  <c r="I593" i="8" s="1"/>
  <c r="G594" i="8"/>
  <c r="I594" i="8" s="1"/>
  <c r="G595" i="8"/>
  <c r="I595" i="8" s="1"/>
  <c r="G596" i="8"/>
  <c r="I596" i="8" s="1"/>
  <c r="G597" i="8"/>
  <c r="I597" i="8" s="1"/>
  <c r="G598" i="8"/>
  <c r="H598" i="8" s="1"/>
  <c r="G599" i="8"/>
  <c r="I599" i="8" s="1"/>
  <c r="G600" i="8"/>
  <c r="I600" i="8" s="1"/>
  <c r="G601" i="8"/>
  <c r="I601" i="8" s="1"/>
  <c r="G602" i="8"/>
  <c r="I602" i="8" s="1"/>
  <c r="G603" i="8"/>
  <c r="I603" i="8" s="1"/>
  <c r="G604" i="8"/>
  <c r="I604" i="8" s="1"/>
  <c r="G605" i="8"/>
  <c r="I605" i="8" s="1"/>
  <c r="G606" i="8"/>
  <c r="I606" i="8" s="1"/>
  <c r="G607" i="8"/>
  <c r="I607" i="8" s="1"/>
  <c r="G609" i="8"/>
  <c r="I609" i="8" s="1"/>
  <c r="G610" i="8"/>
  <c r="I610" i="8" s="1"/>
  <c r="G611" i="8"/>
  <c r="I611" i="8" s="1"/>
  <c r="G612" i="8"/>
  <c r="I612" i="8" s="1"/>
  <c r="G613" i="8"/>
  <c r="I613" i="8" s="1"/>
  <c r="G608" i="8"/>
  <c r="H608" i="8" s="1"/>
  <c r="G620" i="8"/>
  <c r="I620" i="8" s="1"/>
  <c r="G621" i="8"/>
  <c r="I621" i="8" s="1"/>
  <c r="G622" i="8"/>
  <c r="I622" i="8" s="1"/>
  <c r="G624" i="8"/>
  <c r="I624" i="8" s="1"/>
  <c r="G623" i="8"/>
  <c r="G625" i="8"/>
  <c r="I625" i="8" s="1"/>
  <c r="G626" i="8"/>
  <c r="I626" i="8" s="1"/>
  <c r="G627" i="8"/>
  <c r="I627" i="8" s="1"/>
  <c r="G628" i="8"/>
  <c r="I628" i="8" s="1"/>
  <c r="G629" i="8"/>
  <c r="I629" i="8" s="1"/>
  <c r="G630" i="8"/>
  <c r="I630" i="8" s="1"/>
  <c r="G631" i="8"/>
  <c r="I631" i="8" s="1"/>
  <c r="G632" i="8"/>
  <c r="H632" i="8" s="1"/>
  <c r="G633" i="8"/>
  <c r="I633" i="8" s="1"/>
  <c r="G634" i="8"/>
  <c r="I634" i="8" s="1"/>
  <c r="G635" i="8"/>
  <c r="I635" i="8" s="1"/>
  <c r="G636" i="8"/>
  <c r="I636" i="8" s="1"/>
  <c r="G637" i="8"/>
  <c r="I637" i="8" s="1"/>
  <c r="G638" i="8"/>
  <c r="I638" i="8" s="1"/>
  <c r="G645" i="8"/>
  <c r="I645" i="8" s="1"/>
  <c r="G647" i="8"/>
  <c r="I647" i="8" s="1"/>
  <c r="G648" i="8"/>
  <c r="I648" i="8" s="1"/>
  <c r="G649" i="8"/>
  <c r="I649" i="8" s="1"/>
  <c r="G646" i="8"/>
  <c r="G650" i="8"/>
  <c r="I650" i="8" s="1"/>
  <c r="G651" i="8"/>
  <c r="I651" i="8" s="1"/>
  <c r="G652" i="8"/>
  <c r="I652" i="8" s="1"/>
  <c r="G653" i="8"/>
  <c r="I653" i="8" s="1"/>
  <c r="G654" i="8"/>
  <c r="I654" i="8" s="1"/>
  <c r="G655" i="8"/>
  <c r="G656" i="8"/>
  <c r="I656" i="8" s="1"/>
  <c r="G657" i="8"/>
  <c r="I657" i="8" s="1"/>
  <c r="G658" i="8"/>
  <c r="I658" i="8" s="1"/>
  <c r="G659" i="8"/>
  <c r="I659" i="8" s="1"/>
  <c r="G660" i="8"/>
  <c r="I660" i="8" s="1"/>
  <c r="G662" i="8"/>
  <c r="I662" i="8" s="1"/>
  <c r="G661" i="8"/>
  <c r="G663" i="8"/>
  <c r="I663" i="8" s="1"/>
  <c r="G664" i="8"/>
  <c r="I664" i="8" s="1"/>
  <c r="G665" i="8"/>
  <c r="I665" i="8" s="1"/>
  <c r="G666" i="8"/>
  <c r="I666" i="8" s="1"/>
  <c r="G667" i="8"/>
  <c r="I667" i="8" s="1"/>
  <c r="G669" i="8"/>
  <c r="I669" i="8" s="1"/>
  <c r="G668" i="8"/>
  <c r="I668" i="8" s="1"/>
  <c r="G670" i="8"/>
  <c r="I670" i="8" s="1"/>
  <c r="G671" i="8"/>
  <c r="I671" i="8" s="1"/>
  <c r="G672" i="8"/>
  <c r="J672" i="8" s="1"/>
  <c r="G674" i="8"/>
  <c r="I674" i="8" s="1"/>
  <c r="G675" i="8"/>
  <c r="G676" i="8"/>
  <c r="J676" i="8" s="1"/>
  <c r="G677" i="8"/>
  <c r="G673" i="8"/>
  <c r="G684" i="8"/>
  <c r="I684" i="8" s="1"/>
  <c r="G685" i="8"/>
  <c r="I685" i="8" s="1"/>
  <c r="G686" i="8"/>
  <c r="I686" i="8" s="1"/>
  <c r="G687" i="8"/>
  <c r="I687" i="8" s="1"/>
  <c r="G688" i="8"/>
  <c r="I688" i="8" s="1"/>
  <c r="G689" i="8"/>
  <c r="I689" i="8" s="1"/>
  <c r="G690" i="8"/>
  <c r="H690" i="8" s="1"/>
  <c r="G691" i="8"/>
  <c r="I691" i="8" s="1"/>
  <c r="G692" i="8"/>
  <c r="J692" i="8" s="1"/>
  <c r="G693" i="8"/>
  <c r="I693" i="8" s="1"/>
  <c r="G694" i="8"/>
  <c r="I694" i="8" s="1"/>
  <c r="G695" i="8"/>
  <c r="I695" i="8" s="1"/>
  <c r="G696" i="8"/>
  <c r="G703" i="8"/>
  <c r="G704" i="8"/>
  <c r="G705" i="8"/>
  <c r="G706" i="8"/>
  <c r="J706" i="8" s="1"/>
  <c r="G707" i="8"/>
  <c r="G708" i="8"/>
  <c r="I708" i="8" s="1"/>
  <c r="G709" i="8"/>
  <c r="G710" i="8"/>
  <c r="G712" i="8"/>
  <c r="G713" i="8"/>
  <c r="G714" i="8"/>
  <c r="J714" i="8" s="1"/>
  <c r="G715" i="8"/>
  <c r="G716" i="8"/>
  <c r="J716" i="8" s="1"/>
  <c r="G717" i="8"/>
  <c r="G718" i="8"/>
  <c r="I718" i="8" s="1"/>
  <c r="G711" i="8"/>
  <c r="G719" i="8"/>
  <c r="G720" i="8"/>
  <c r="G721" i="8"/>
  <c r="G722" i="8"/>
  <c r="J722" i="8" s="1"/>
  <c r="G723" i="8"/>
  <c r="G724" i="8"/>
  <c r="H724" i="8" s="1"/>
  <c r="G725" i="8"/>
  <c r="G726" i="8"/>
  <c r="G727" i="8"/>
  <c r="G728" i="8"/>
  <c r="G729" i="8"/>
  <c r="G730" i="8"/>
  <c r="H730" i="8" s="1"/>
  <c r="G731" i="8"/>
  <c r="G732" i="8"/>
  <c r="J732" i="8" s="1"/>
  <c r="G733" i="8"/>
  <c r="G734" i="8"/>
  <c r="G735" i="8"/>
  <c r="I735" i="8" s="1"/>
  <c r="G736" i="8"/>
  <c r="G743" i="8"/>
  <c r="G744" i="8"/>
  <c r="G745" i="8"/>
  <c r="G748" i="8"/>
  <c r="I748" i="8" s="1"/>
  <c r="G749" i="8"/>
  <c r="G750" i="8"/>
  <c r="G746" i="8"/>
  <c r="H746" i="8" s="1"/>
  <c r="G747" i="8"/>
  <c r="G751" i="8"/>
  <c r="G752" i="8"/>
  <c r="G753" i="8"/>
  <c r="G754" i="8"/>
  <c r="J754" i="8" s="1"/>
  <c r="G755" i="8"/>
  <c r="G756" i="8"/>
  <c r="H756" i="8" s="1"/>
  <c r="G757" i="8"/>
  <c r="G758" i="8"/>
  <c r="G759" i="8"/>
  <c r="G760" i="8"/>
  <c r="G761" i="8"/>
  <c r="G762" i="8"/>
  <c r="H762" i="8" s="1"/>
  <c r="G763" i="8"/>
  <c r="G764" i="8"/>
  <c r="H764" i="8" s="1"/>
  <c r="G765" i="8"/>
  <c r="G766" i="8"/>
  <c r="I766" i="8" s="1"/>
  <c r="G767" i="8"/>
  <c r="G769" i="8"/>
  <c r="G770" i="8"/>
  <c r="H770" i="8" s="1"/>
  <c r="G771" i="8"/>
  <c r="I771" i="8" s="1"/>
  <c r="G772" i="8"/>
  <c r="H772" i="8" s="1"/>
  <c r="G773" i="8"/>
  <c r="I773" i="8" s="1"/>
  <c r="G774" i="8"/>
  <c r="G768" i="8"/>
  <c r="G782" i="8"/>
  <c r="G783" i="8"/>
  <c r="G784" i="8"/>
  <c r="G785" i="8"/>
  <c r="G781" i="8"/>
  <c r="G786" i="8"/>
  <c r="H786" i="8" s="1"/>
  <c r="G787" i="8"/>
  <c r="G788" i="8"/>
  <c r="H788" i="8" s="1"/>
  <c r="G789" i="8"/>
  <c r="G790" i="8"/>
  <c r="G791" i="8"/>
  <c r="G792" i="8"/>
  <c r="G793" i="8"/>
  <c r="I793" i="8" s="1"/>
  <c r="G794" i="8"/>
  <c r="I794" i="8" s="1"/>
  <c r="G795" i="8"/>
  <c r="G802" i="8"/>
  <c r="H802" i="8" s="1"/>
  <c r="G803" i="8"/>
  <c r="G804" i="8"/>
  <c r="J804" i="8" s="1"/>
  <c r="G805" i="8"/>
  <c r="G807" i="8"/>
  <c r="G808" i="8"/>
  <c r="G806" i="8"/>
  <c r="G809" i="8"/>
  <c r="G810" i="8"/>
  <c r="H810" i="8" s="1"/>
  <c r="G811" i="8"/>
  <c r="G812" i="8"/>
  <c r="J812" i="8" s="1"/>
  <c r="G813" i="8"/>
  <c r="G814" i="8"/>
  <c r="G815" i="8"/>
  <c r="G816" i="8"/>
  <c r="G818" i="8"/>
  <c r="J818" i="8" s="1"/>
  <c r="G817" i="8"/>
  <c r="G819" i="8"/>
  <c r="G820" i="8"/>
  <c r="H820" i="8" s="1"/>
  <c r="G821" i="8"/>
  <c r="I821" i="8" s="1"/>
  <c r="G822" i="8"/>
  <c r="G823" i="8"/>
  <c r="G824" i="8"/>
  <c r="G825" i="8"/>
  <c r="G826" i="8"/>
  <c r="J826" i="8" s="1"/>
  <c r="G828" i="8"/>
  <c r="H828" i="8" s="1"/>
  <c r="G829" i="8"/>
  <c r="G830" i="8"/>
  <c r="G827" i="8"/>
  <c r="G831" i="8"/>
  <c r="I831" i="8" s="1"/>
  <c r="G832" i="8"/>
  <c r="G834" i="8"/>
  <c r="H834" i="8" s="1"/>
  <c r="G833" i="8"/>
  <c r="G841" i="8"/>
  <c r="G842" i="8"/>
  <c r="J842" i="8" s="1"/>
  <c r="G843" i="8"/>
  <c r="G844" i="8"/>
  <c r="H844" i="8" s="1"/>
  <c r="G845" i="8"/>
  <c r="I845" i="8" s="1"/>
  <c r="G846" i="8"/>
  <c r="G847" i="8"/>
  <c r="G848" i="8"/>
  <c r="G849" i="8"/>
  <c r="G850" i="8"/>
  <c r="I850" i="8" s="1"/>
  <c r="G851" i="8"/>
  <c r="G852" i="8"/>
  <c r="I852" i="8" s="1"/>
  <c r="G853" i="8"/>
  <c r="H853" i="8" s="1"/>
  <c r="G860" i="8"/>
  <c r="J860" i="8" s="1"/>
  <c r="G861" i="8"/>
  <c r="H861" i="8" s="1"/>
  <c r="G863" i="8"/>
  <c r="H863" i="8" s="1"/>
  <c r="G865" i="8"/>
  <c r="G866" i="8"/>
  <c r="J866" i="8" s="1"/>
  <c r="G867" i="8"/>
  <c r="G868" i="8"/>
  <c r="J868" i="8" s="1"/>
  <c r="G864" i="8"/>
  <c r="G862" i="8"/>
  <c r="G869" i="8"/>
  <c r="J869" i="8" s="1"/>
  <c r="G870" i="8"/>
  <c r="G871" i="8"/>
  <c r="J871" i="8" s="1"/>
  <c r="G872" i="8"/>
  <c r="G874" i="8"/>
  <c r="J874" i="8" s="1"/>
  <c r="G873" i="8"/>
  <c r="G875" i="8"/>
  <c r="G876" i="8"/>
  <c r="J876" i="8" s="1"/>
  <c r="G877" i="8"/>
  <c r="H877" i="8" s="1"/>
  <c r="G878" i="8"/>
  <c r="G880" i="8"/>
  <c r="I880" i="8" s="1"/>
  <c r="G879" i="8"/>
  <c r="H879" i="8" s="1"/>
  <c r="G888" i="8"/>
  <c r="G887" i="8"/>
  <c r="H887" i="8" s="1"/>
  <c r="G889" i="8"/>
  <c r="G890" i="8"/>
  <c r="J890" i="8" s="1"/>
  <c r="G893" i="8"/>
  <c r="J893" i="8" s="1"/>
  <c r="G892" i="8"/>
  <c r="H892" i="8" s="1"/>
  <c r="G891" i="8"/>
  <c r="G897" i="8"/>
  <c r="G896" i="8"/>
  <c r="G895" i="8"/>
  <c r="H895" i="8" s="1"/>
  <c r="G894" i="8"/>
  <c r="G901" i="8"/>
  <c r="J901" i="8" s="1"/>
  <c r="G899" i="8"/>
  <c r="G898" i="8"/>
  <c r="J898" i="8" s="1"/>
  <c r="G900" i="8"/>
  <c r="H900" i="8" s="1"/>
  <c r="G903" i="8"/>
  <c r="H903" i="8" s="1"/>
  <c r="G902" i="8"/>
  <c r="G908" i="8"/>
  <c r="H908" i="8" s="1"/>
  <c r="G907" i="8"/>
  <c r="G906" i="8"/>
  <c r="J906" i="8" s="1"/>
  <c r="G905" i="8"/>
  <c r="G904" i="8"/>
  <c r="G916" i="8"/>
  <c r="J916" i="8" s="1"/>
  <c r="G915" i="8"/>
  <c r="G909" i="8"/>
  <c r="J909" i="8" s="1"/>
  <c r="G914" i="8"/>
  <c r="H914" i="8" s="1"/>
  <c r="G910" i="8"/>
  <c r="G912" i="8"/>
  <c r="G913" i="8"/>
  <c r="G911" i="8"/>
  <c r="H911" i="8" s="1"/>
  <c r="G917" i="8"/>
  <c r="J917" i="8" s="1"/>
  <c r="G925" i="8"/>
  <c r="H925" i="8" s="1"/>
  <c r="G924" i="8"/>
  <c r="H924" i="8" s="1"/>
  <c r="G928" i="8"/>
  <c r="G927" i="8"/>
  <c r="H927" i="8" s="1"/>
  <c r="G926" i="8"/>
  <c r="G931" i="8"/>
  <c r="G929" i="8"/>
  <c r="G930" i="8"/>
  <c r="H930" i="8" s="1"/>
  <c r="G936" i="8"/>
  <c r="G935" i="8"/>
  <c r="J935" i="8" s="1"/>
  <c r="G934" i="8"/>
  <c r="G933" i="8"/>
  <c r="H933" i="8" s="1"/>
  <c r="G932" i="8"/>
  <c r="H932" i="8" s="1"/>
  <c r="G940" i="8"/>
  <c r="H940" i="8" s="1"/>
  <c r="G939" i="8"/>
  <c r="G938" i="8"/>
  <c r="H938" i="8" s="1"/>
  <c r="G937" i="8"/>
  <c r="G942" i="8"/>
  <c r="G943" i="8"/>
  <c r="J943" i="8" s="1"/>
  <c r="G941" i="8"/>
  <c r="J941" i="8" s="1"/>
  <c r="G951" i="8"/>
  <c r="H951" i="8" s="1"/>
  <c r="G950" i="8"/>
  <c r="G954" i="8"/>
  <c r="H954" i="8" s="1"/>
  <c r="G953" i="8"/>
  <c r="G952" i="8"/>
  <c r="G955" i="8"/>
  <c r="G956" i="8"/>
  <c r="H956" i="8" s="1"/>
  <c r="G957" i="8"/>
  <c r="J957" i="8" s="1"/>
  <c r="G959" i="8"/>
  <c r="H959" i="8" s="1"/>
  <c r="G958" i="8"/>
  <c r="G962" i="8"/>
  <c r="H962" i="8" s="1"/>
  <c r="G961" i="8"/>
  <c r="G963" i="8"/>
  <c r="G960" i="8"/>
  <c r="G964" i="8"/>
  <c r="J964" i="8" s="1"/>
  <c r="G966" i="8"/>
  <c r="G965" i="8"/>
  <c r="H965" i="8" s="1"/>
  <c r="G973" i="8"/>
  <c r="H973" i="8" s="1"/>
  <c r="G974" i="8"/>
  <c r="G977" i="8"/>
  <c r="G976" i="8"/>
  <c r="G975" i="8"/>
  <c r="H975" i="8" s="1"/>
  <c r="G979" i="8"/>
  <c r="G978" i="8"/>
  <c r="H978" i="8" s="1"/>
  <c r="G980" i="8"/>
  <c r="J980" i="8" s="1"/>
  <c r="G984" i="8"/>
  <c r="G983" i="8"/>
  <c r="H983" i="8" s="1"/>
  <c r="G982" i="8"/>
  <c r="G981" i="8"/>
  <c r="H981" i="8" s="1"/>
  <c r="G989" i="8"/>
  <c r="H989" i="8" s="1"/>
  <c r="G988" i="8"/>
  <c r="J988" i="8" s="1"/>
  <c r="G987" i="8"/>
  <c r="G986" i="8"/>
  <c r="H986" i="8" s="1"/>
  <c r="G985" i="8"/>
  <c r="G992" i="8"/>
  <c r="I992" i="8" s="1"/>
  <c r="G995" i="8"/>
  <c r="G994" i="8"/>
  <c r="H994" i="8" s="1"/>
  <c r="G993" i="8"/>
  <c r="G991" i="8"/>
  <c r="J991" i="8" s="1"/>
  <c r="G990" i="8"/>
  <c r="G1004" i="8"/>
  <c r="H1004" i="8" s="1"/>
  <c r="G1005" i="8"/>
  <c r="J1005" i="8" s="1"/>
  <c r="G1007" i="8"/>
  <c r="J1007" i="8" s="1"/>
  <c r="G1006" i="8"/>
  <c r="H1006" i="8" s="1"/>
  <c r="G1009" i="8"/>
  <c r="H1009" i="8" s="1"/>
  <c r="G1012" i="8"/>
  <c r="H1012" i="8" s="1"/>
  <c r="G1010" i="8"/>
  <c r="J1010" i="8" s="1"/>
  <c r="G1013" i="8"/>
  <c r="H1013" i="8" s="1"/>
  <c r="G1014" i="8"/>
  <c r="H1014" i="8" s="1"/>
  <c r="G1017" i="8"/>
  <c r="H1017" i="8" s="1"/>
  <c r="G1016" i="8"/>
  <c r="J1016" i="8" s="1"/>
  <c r="G1015" i="8"/>
  <c r="H1015" i="8" s="1"/>
  <c r="G1021" i="8"/>
  <c r="J1021" i="8" s="1"/>
  <c r="G1022" i="8"/>
  <c r="H1022" i="8" s="1"/>
  <c r="G1020" i="8"/>
  <c r="J1020" i="8" s="1"/>
  <c r="G1019" i="8"/>
  <c r="H1019" i="8" s="1"/>
  <c r="G1018" i="8"/>
  <c r="J1018" i="8" s="1"/>
  <c r="G1033" i="8"/>
  <c r="H1033" i="8" s="1"/>
  <c r="G1030" i="8"/>
  <c r="J1030" i="8" s="1"/>
  <c r="G1029" i="8"/>
  <c r="H1029" i="8" s="1"/>
  <c r="G1037" i="8"/>
  <c r="J1037" i="8" s="1"/>
  <c r="G1038" i="8"/>
  <c r="J1038" i="8" s="1"/>
  <c r="G1036" i="8"/>
  <c r="J1036" i="8" s="1"/>
  <c r="G1035" i="8"/>
  <c r="J1035" i="8" s="1"/>
  <c r="G1034" i="8"/>
  <c r="J1034" i="8" s="1"/>
  <c r="G1042" i="8"/>
  <c r="H1042" i="8" s="1"/>
  <c r="G1043" i="8"/>
  <c r="H1043" i="8" s="1"/>
  <c r="G1044" i="8"/>
  <c r="H1044" i="8" s="1"/>
  <c r="G1048" i="8"/>
  <c r="J1048" i="8" s="1"/>
  <c r="G1046" i="8"/>
  <c r="J1046" i="8" s="1"/>
  <c r="G1045" i="8"/>
  <c r="H1045" i="8" s="1"/>
  <c r="G1047" i="8"/>
  <c r="J1047" i="8" s="1"/>
  <c r="C1028" i="8" a="1"/>
  <c r="C1028" i="8" s="1"/>
  <c r="C1026" i="8" a="1"/>
  <c r="C1026" i="8" s="1"/>
  <c r="C1024" i="8" a="1"/>
  <c r="C1024" i="8" s="1"/>
  <c r="C683" i="8" a="1"/>
  <c r="C683" i="8" s="1"/>
  <c r="C681" i="8" a="1"/>
  <c r="C681" i="8" s="1"/>
  <c r="C679" i="8" a="1"/>
  <c r="C679" i="8" s="1"/>
  <c r="C780" i="8" a="1"/>
  <c r="C780" i="8" s="1"/>
  <c r="C778" i="8" a="1"/>
  <c r="C778" i="8" s="1"/>
  <c r="C776" i="8" a="1"/>
  <c r="C776" i="8" s="1"/>
  <c r="C859" i="8" a="1"/>
  <c r="C859" i="8" s="1"/>
  <c r="C857" i="8" a="1"/>
  <c r="C857" i="8" s="1"/>
  <c r="C855" i="8" a="1"/>
  <c r="C855" i="8" s="1"/>
  <c r="C949" i="8" a="1"/>
  <c r="C949" i="8" s="1"/>
  <c r="C947" i="8" a="1"/>
  <c r="C947" i="8" s="1"/>
  <c r="C945" i="8" a="1"/>
  <c r="C945" i="8" s="1"/>
  <c r="C1081" i="8" a="1"/>
  <c r="C1081" i="8" s="1"/>
  <c r="C1079" i="8" a="1"/>
  <c r="C1079" i="8" s="1"/>
  <c r="C1077" i="8" a="1"/>
  <c r="C1077" i="8" s="1"/>
  <c r="C1001" i="8" a="1"/>
  <c r="C1001" i="8" s="1"/>
  <c r="C999" i="8" a="1"/>
  <c r="C999" i="8" s="1"/>
  <c r="C997" i="8" a="1"/>
  <c r="C997" i="8" s="1"/>
  <c r="C972" i="8" a="1"/>
  <c r="C972" i="8" s="1"/>
  <c r="C970" i="8" a="1"/>
  <c r="C970" i="8" s="1"/>
  <c r="C968" i="8" a="1"/>
  <c r="C968" i="8" s="1"/>
  <c r="C923" i="8" a="1"/>
  <c r="C923" i="8" s="1"/>
  <c r="C921" i="8" a="1"/>
  <c r="C921" i="8" s="1"/>
  <c r="C919" i="8" a="1"/>
  <c r="C919" i="8" s="1"/>
  <c r="C524" i="8" a="1"/>
  <c r="C524" i="8" s="1"/>
  <c r="C522" i="8" a="1"/>
  <c r="C522" i="8" s="1"/>
  <c r="C619" i="8" a="1"/>
  <c r="C619" i="8" s="1"/>
  <c r="C617" i="8" a="1"/>
  <c r="C617" i="8" s="1"/>
  <c r="C520" i="8" a="1"/>
  <c r="C520" i="8" s="1"/>
  <c r="C615" i="8" a="1"/>
  <c r="C615" i="8" s="1"/>
  <c r="C886" i="8" a="1"/>
  <c r="C886" i="8" s="1"/>
  <c r="C884" i="8" a="1"/>
  <c r="C884" i="8" s="1"/>
  <c r="C882" i="8" a="1"/>
  <c r="C882" i="8" s="1"/>
  <c r="C801" i="8" a="1"/>
  <c r="C801" i="8" s="1"/>
  <c r="C799" i="8" a="1"/>
  <c r="C799" i="8" s="1"/>
  <c r="C797" i="8" a="1"/>
  <c r="C797" i="8" s="1"/>
  <c r="C836" i="8" a="1"/>
  <c r="C836" i="8" s="1"/>
  <c r="C840" i="8" a="1"/>
  <c r="C840" i="8" s="1"/>
  <c r="C838" i="8" a="1"/>
  <c r="C838" i="8" s="1"/>
  <c r="C742" i="8" a="1"/>
  <c r="C742" i="8" s="1"/>
  <c r="C740" i="8" a="1"/>
  <c r="C740" i="8" s="1"/>
  <c r="C738" i="8" a="1"/>
  <c r="C738" i="8" s="1"/>
  <c r="C702" i="8" a="1"/>
  <c r="C702" i="8" s="1"/>
  <c r="C700" i="8" a="1"/>
  <c r="C700" i="8" s="1"/>
  <c r="C698" i="8" a="1"/>
  <c r="C698" i="8" s="1"/>
  <c r="C592" i="8" a="1"/>
  <c r="C592" i="8" s="1"/>
  <c r="C590" i="8" a="1"/>
  <c r="C590" i="8" s="1"/>
  <c r="C588" i="8" a="1"/>
  <c r="C588" i="8" s="1"/>
  <c r="C644" i="8" a="1"/>
  <c r="C644" i="8" s="1"/>
  <c r="C642" i="8" a="1"/>
  <c r="C642" i="8" s="1"/>
  <c r="C640" i="8" a="1"/>
  <c r="C640" i="8" s="1"/>
  <c r="C559" i="8" a="1"/>
  <c r="C559" i="8" s="1"/>
  <c r="C500" i="8" a="1"/>
  <c r="C500" i="8" s="1"/>
  <c r="C471" i="8" a="1"/>
  <c r="C471" i="8" s="1"/>
  <c r="C436" i="8" a="1"/>
  <c r="C436" i="8" s="1"/>
  <c r="C418" i="8" a="1"/>
  <c r="C418" i="8" s="1"/>
  <c r="C557" i="8" a="1"/>
  <c r="C557" i="8" s="1"/>
  <c r="C498" i="8" a="1"/>
  <c r="C498" i="8" s="1"/>
  <c r="C469" i="8" a="1"/>
  <c r="C469" i="8" s="1"/>
  <c r="C434" i="8" a="1"/>
  <c r="C434" i="8" s="1"/>
  <c r="C386" i="8" a="1"/>
  <c r="C386" i="8" s="1"/>
  <c r="C555" i="8" a="1"/>
  <c r="C555" i="8" s="1"/>
  <c r="C496" i="8" a="1"/>
  <c r="C496" i="8" s="1"/>
  <c r="C467" i="8" a="1"/>
  <c r="C467" i="8" s="1"/>
  <c r="C432" i="8" a="1"/>
  <c r="C432" i="8" s="1"/>
  <c r="C416" i="8" a="1"/>
  <c r="C416" i="8" s="1"/>
  <c r="D1028" i="8"/>
  <c r="D1026" i="8"/>
  <c r="D1024" i="8"/>
  <c r="D683" i="8"/>
  <c r="D681" i="8"/>
  <c r="D679" i="8"/>
  <c r="D780" i="8"/>
  <c r="D778" i="8"/>
  <c r="D776" i="8"/>
  <c r="D859" i="8"/>
  <c r="D857" i="8"/>
  <c r="D855" i="8"/>
  <c r="D949" i="8"/>
  <c r="D947" i="8"/>
  <c r="D945" i="8"/>
  <c r="D1081" i="8"/>
  <c r="D1079" i="8"/>
  <c r="D1077" i="8"/>
  <c r="D1001" i="8"/>
  <c r="D999" i="8"/>
  <c r="D997" i="8"/>
  <c r="D972" i="8"/>
  <c r="D970" i="8"/>
  <c r="D968" i="8"/>
  <c r="D923" i="8"/>
  <c r="D921" i="8"/>
  <c r="D919" i="8"/>
  <c r="D524" i="8"/>
  <c r="D522" i="8"/>
  <c r="D619" i="8"/>
  <c r="D617" i="8"/>
  <c r="D520" i="8"/>
  <c r="D615" i="8"/>
  <c r="D886" i="8"/>
  <c r="D884" i="8"/>
  <c r="D882" i="8"/>
  <c r="D801" i="8"/>
  <c r="D799" i="8"/>
  <c r="D797" i="8"/>
  <c r="D836" i="8"/>
  <c r="D840" i="8"/>
  <c r="D838" i="8"/>
  <c r="D742" i="8"/>
  <c r="D740" i="8"/>
  <c r="D738" i="8"/>
  <c r="D702" i="8"/>
  <c r="D700" i="8"/>
  <c r="D698" i="8"/>
  <c r="D592" i="8"/>
  <c r="D590" i="8"/>
  <c r="D588" i="8"/>
  <c r="D644" i="8"/>
  <c r="D642" i="8"/>
  <c r="D640" i="8"/>
  <c r="D559" i="8"/>
  <c r="D500" i="8"/>
  <c r="D557" i="8"/>
  <c r="D498" i="8"/>
  <c r="D555" i="8"/>
  <c r="D496" i="8"/>
  <c r="F1028" i="8"/>
  <c r="F1026" i="8"/>
  <c r="F1024" i="8"/>
  <c r="F683" i="8"/>
  <c r="F681" i="8"/>
  <c r="F679" i="8"/>
  <c r="F780" i="8"/>
  <c r="F778" i="8"/>
  <c r="F776" i="8"/>
  <c r="F859" i="8"/>
  <c r="F857" i="8"/>
  <c r="F855" i="8"/>
  <c r="F949" i="8"/>
  <c r="F947" i="8"/>
  <c r="F945" i="8"/>
  <c r="F1081" i="8"/>
  <c r="F1079" i="8"/>
  <c r="F1077" i="8"/>
  <c r="F1001" i="8"/>
  <c r="F999" i="8"/>
  <c r="F997" i="8"/>
  <c r="F972" i="8"/>
  <c r="F970" i="8"/>
  <c r="F968" i="8"/>
  <c r="F923" i="8"/>
  <c r="F921" i="8"/>
  <c r="F919" i="8"/>
  <c r="F524" i="8"/>
  <c r="F522" i="8"/>
  <c r="F619" i="8"/>
  <c r="F617" i="8"/>
  <c r="F520" i="8"/>
  <c r="F615" i="8"/>
  <c r="F886" i="8"/>
  <c r="F884" i="8"/>
  <c r="F882" i="8"/>
  <c r="F801" i="8"/>
  <c r="F799" i="8"/>
  <c r="F797" i="8"/>
  <c r="F836" i="8"/>
  <c r="F840" i="8"/>
  <c r="F838" i="8"/>
  <c r="F742" i="8"/>
  <c r="F740" i="8"/>
  <c r="F738" i="8"/>
  <c r="F702" i="8"/>
  <c r="F700" i="8"/>
  <c r="F698" i="8"/>
  <c r="F592" i="8"/>
  <c r="F590" i="8"/>
  <c r="F588" i="8"/>
  <c r="F644" i="8"/>
  <c r="F642" i="8"/>
  <c r="F640" i="8"/>
  <c r="F559" i="8"/>
  <c r="F500" i="8"/>
  <c r="F471" i="8"/>
  <c r="F436" i="8"/>
  <c r="F418" i="8"/>
  <c r="F557" i="8"/>
  <c r="F498" i="8"/>
  <c r="F469" i="8"/>
  <c r="F434" i="8"/>
  <c r="F386" i="8"/>
  <c r="F555" i="8"/>
  <c r="F496" i="8"/>
  <c r="F467" i="8"/>
  <c r="F432" i="8"/>
  <c r="F416" i="8"/>
  <c r="R1028" i="8"/>
  <c r="R1026" i="8"/>
  <c r="R1024" i="8"/>
  <c r="R683" i="8"/>
  <c r="R681" i="8"/>
  <c r="R679" i="8"/>
  <c r="R780" i="8"/>
  <c r="R778" i="8"/>
  <c r="R776" i="8"/>
  <c r="R859" i="8"/>
  <c r="R857" i="8"/>
  <c r="R855" i="8"/>
  <c r="R949" i="8"/>
  <c r="R947" i="8"/>
  <c r="R945" i="8"/>
  <c r="R1081" i="8"/>
  <c r="R1079" i="8"/>
  <c r="R1077" i="8"/>
  <c r="R1001" i="8"/>
  <c r="R999" i="8"/>
  <c r="R997" i="8"/>
  <c r="R972" i="8"/>
  <c r="R970" i="8"/>
  <c r="R968" i="8"/>
  <c r="R923" i="8"/>
  <c r="R921" i="8"/>
  <c r="R919" i="8"/>
  <c r="R524" i="8"/>
  <c r="R522" i="8"/>
  <c r="R619" i="8"/>
  <c r="R617" i="8"/>
  <c r="R520" i="8"/>
  <c r="R615" i="8"/>
  <c r="R886" i="8"/>
  <c r="R884" i="8"/>
  <c r="R882" i="8"/>
  <c r="R801" i="8"/>
  <c r="R799" i="8"/>
  <c r="R797" i="8"/>
  <c r="R836" i="8"/>
  <c r="R840" i="8"/>
  <c r="R838" i="8"/>
  <c r="R742" i="8"/>
  <c r="R740" i="8"/>
  <c r="R738" i="8"/>
  <c r="R702" i="8"/>
  <c r="R700" i="8"/>
  <c r="R698" i="8"/>
  <c r="R592" i="8"/>
  <c r="R590" i="8"/>
  <c r="R588" i="8"/>
  <c r="R644" i="8"/>
  <c r="R642" i="8"/>
  <c r="R640" i="8"/>
  <c r="R559" i="8"/>
  <c r="R500" i="8"/>
  <c r="R471" i="8"/>
  <c r="R436" i="8"/>
  <c r="R418" i="8"/>
  <c r="R557" i="8"/>
  <c r="R498" i="8"/>
  <c r="R469" i="8"/>
  <c r="R434" i="8"/>
  <c r="R386" i="8"/>
  <c r="R555" i="8"/>
  <c r="R496" i="8"/>
  <c r="R467" i="8"/>
  <c r="R432" i="8"/>
  <c r="R416" i="8"/>
  <c r="T1028" i="8"/>
  <c r="T1026" i="8"/>
  <c r="T1024" i="8"/>
  <c r="T683" i="8"/>
  <c r="T681" i="8"/>
  <c r="T679" i="8"/>
  <c r="T780" i="8"/>
  <c r="T778" i="8"/>
  <c r="T776" i="8"/>
  <c r="T859" i="8"/>
  <c r="T857" i="8"/>
  <c r="T855" i="8"/>
  <c r="T949" i="8"/>
  <c r="T947" i="8"/>
  <c r="T945" i="8"/>
  <c r="T1081" i="8"/>
  <c r="T1079" i="8"/>
  <c r="T1077" i="8"/>
  <c r="T1001" i="8"/>
  <c r="T999" i="8"/>
  <c r="T997" i="8"/>
  <c r="T972" i="8"/>
  <c r="T970" i="8"/>
  <c r="T968" i="8"/>
  <c r="T923" i="8"/>
  <c r="T921" i="8"/>
  <c r="T919" i="8"/>
  <c r="T524" i="8"/>
  <c r="T522" i="8"/>
  <c r="T619" i="8"/>
  <c r="T617" i="8"/>
  <c r="T520" i="8"/>
  <c r="T615" i="8"/>
  <c r="T886" i="8"/>
  <c r="T884" i="8"/>
  <c r="T882" i="8"/>
  <c r="T801" i="8"/>
  <c r="T799" i="8"/>
  <c r="T797" i="8"/>
  <c r="T836" i="8"/>
  <c r="T840" i="8"/>
  <c r="T838" i="8"/>
  <c r="T742" i="8"/>
  <c r="T740" i="8"/>
  <c r="T738" i="8"/>
  <c r="T702" i="8"/>
  <c r="T700" i="8"/>
  <c r="T698" i="8"/>
  <c r="T592" i="8"/>
  <c r="T590" i="8"/>
  <c r="T588" i="8"/>
  <c r="T644" i="8"/>
  <c r="T642" i="8"/>
  <c r="T640" i="8"/>
  <c r="T559" i="8"/>
  <c r="T500" i="8"/>
  <c r="T471" i="8"/>
  <c r="T436" i="8"/>
  <c r="T418" i="8"/>
  <c r="T557" i="8"/>
  <c r="T498" i="8"/>
  <c r="T469" i="8"/>
  <c r="T434" i="8"/>
  <c r="T386" i="8"/>
  <c r="T555" i="8"/>
  <c r="T496" i="8"/>
  <c r="T467" i="8"/>
  <c r="T432" i="8"/>
  <c r="T416" i="8"/>
  <c r="T2" i="8"/>
  <c r="T3" i="8"/>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8" i="8"/>
  <c r="T67" i="8"/>
  <c r="T69" i="8"/>
  <c r="T70" i="8"/>
  <c r="T71" i="8"/>
  <c r="T72" i="8"/>
  <c r="T73" i="8"/>
  <c r="T74" i="8"/>
  <c r="T75"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10" i="8"/>
  <c r="T109" i="8"/>
  <c r="T111" i="8"/>
  <c r="T112" i="8"/>
  <c r="T113" i="8"/>
  <c r="T114" i="8"/>
  <c r="T115" i="8"/>
  <c r="T116" i="8"/>
  <c r="T118" i="8"/>
  <c r="T119" i="8"/>
  <c r="T120" i="8"/>
  <c r="T121" i="8"/>
  <c r="T123" i="8"/>
  <c r="T122" i="8"/>
  <c r="T117" i="8"/>
  <c r="T124" i="8"/>
  <c r="T125" i="8"/>
  <c r="T126" i="8"/>
  <c r="T127" i="8"/>
  <c r="T128" i="8"/>
  <c r="T129" i="8"/>
  <c r="T130" i="8"/>
  <c r="T131" i="8"/>
  <c r="T132" i="8"/>
  <c r="T133" i="8"/>
  <c r="T134" i="8"/>
  <c r="T136" i="8"/>
  <c r="T137" i="8"/>
  <c r="T138" i="8"/>
  <c r="T135" i="8"/>
  <c r="T139" i="8"/>
  <c r="T140" i="8"/>
  <c r="T141" i="8"/>
  <c r="T142" i="8"/>
  <c r="T143" i="8"/>
  <c r="T144" i="8"/>
  <c r="T145" i="8"/>
  <c r="T147" i="8"/>
  <c r="T148" i="8"/>
  <c r="T149" i="8"/>
  <c r="T146" i="8"/>
  <c r="T150" i="8"/>
  <c r="T151" i="8"/>
  <c r="T152" i="8"/>
  <c r="T153" i="8"/>
  <c r="T155" i="8"/>
  <c r="T154" i="8"/>
  <c r="T156" i="8"/>
  <c r="T158" i="8"/>
  <c r="T159" i="8"/>
  <c r="T160" i="8"/>
  <c r="T157" i="8"/>
  <c r="T161" i="8"/>
  <c r="T162" i="8"/>
  <c r="T163" i="8"/>
  <c r="T164" i="8"/>
  <c r="T165" i="8"/>
  <c r="T166" i="8"/>
  <c r="T167" i="8"/>
  <c r="T168" i="8"/>
  <c r="T170" i="8"/>
  <c r="T169" i="8"/>
  <c r="T171" i="8"/>
  <c r="T172" i="8"/>
  <c r="T173" i="8"/>
  <c r="T174" i="8"/>
  <c r="T176" i="8"/>
  <c r="T177" i="8"/>
  <c r="T178" i="8"/>
  <c r="T175" i="8"/>
  <c r="T179" i="8"/>
  <c r="T180" i="8"/>
  <c r="T181" i="8"/>
  <c r="T182" i="8"/>
  <c r="T183" i="8"/>
  <c r="T184" i="8"/>
  <c r="T185" i="8"/>
  <c r="T187" i="8"/>
  <c r="T188" i="8"/>
  <c r="T189" i="8"/>
  <c r="T190" i="8"/>
  <c r="T186" i="8"/>
  <c r="T191" i="8"/>
  <c r="T192" i="8"/>
  <c r="T193" i="8"/>
  <c r="T194" i="8"/>
  <c r="T195" i="8"/>
  <c r="T196" i="8"/>
  <c r="T197" i="8"/>
  <c r="T198" i="8"/>
  <c r="T199" i="8"/>
  <c r="T200" i="8"/>
  <c r="T201" i="8"/>
  <c r="T203" i="8"/>
  <c r="T202" i="8"/>
  <c r="T205" i="8"/>
  <c r="T206" i="8"/>
  <c r="T207" i="8"/>
  <c r="T208" i="8"/>
  <c r="T204" i="8"/>
  <c r="T209" i="8"/>
  <c r="T210" i="8"/>
  <c r="T211" i="8"/>
  <c r="T212" i="8"/>
  <c r="T213" i="8"/>
  <c r="T214" i="8"/>
  <c r="T215" i="8"/>
  <c r="T216" i="8"/>
  <c r="T217" i="8"/>
  <c r="T218" i="8"/>
  <c r="T219" i="8"/>
  <c r="T220" i="8"/>
  <c r="T221" i="8"/>
  <c r="T223" i="8"/>
  <c r="T224" i="8"/>
  <c r="T225" i="8"/>
  <c r="T222" i="8"/>
  <c r="T226" i="8"/>
  <c r="T227" i="8"/>
  <c r="T228" i="8"/>
  <c r="T229" i="8"/>
  <c r="T230" i="8"/>
  <c r="T231" i="8"/>
  <c r="T232" i="8"/>
  <c r="T234" i="8"/>
  <c r="T233" i="8"/>
  <c r="T235" i="8"/>
  <c r="T236" i="8"/>
  <c r="T237" i="8"/>
  <c r="T238" i="8"/>
  <c r="T239" i="8"/>
  <c r="T240" i="8"/>
  <c r="T241" i="8"/>
  <c r="T242" i="8"/>
  <c r="T243" i="8"/>
  <c r="T244" i="8"/>
  <c r="T245" i="8"/>
  <c r="T246" i="8"/>
  <c r="T247" i="8"/>
  <c r="T248" i="8"/>
  <c r="T249" i="8"/>
  <c r="T250" i="8"/>
  <c r="T251" i="8"/>
  <c r="T252" i="8"/>
  <c r="T253" i="8"/>
  <c r="T254" i="8"/>
  <c r="T255" i="8"/>
  <c r="T256" i="8"/>
  <c r="T257" i="8"/>
  <c r="T259" i="8"/>
  <c r="T260" i="8"/>
  <c r="T261" i="8"/>
  <c r="T262" i="8"/>
  <c r="T258" i="8"/>
  <c r="T263" i="8"/>
  <c r="T264" i="8"/>
  <c r="T265" i="8"/>
  <c r="T266" i="8"/>
  <c r="T267" i="8"/>
  <c r="T268" i="8"/>
  <c r="T269" i="8"/>
  <c r="T270" i="8"/>
  <c r="T271" i="8"/>
  <c r="T272" i="8"/>
  <c r="T274" i="8"/>
  <c r="T275" i="8"/>
  <c r="T276" i="8"/>
  <c r="T277" i="8"/>
  <c r="T278" i="8"/>
  <c r="T273" i="8"/>
  <c r="T279" i="8"/>
  <c r="T280" i="8"/>
  <c r="T281" i="8"/>
  <c r="T282" i="8"/>
  <c r="T283" i="8"/>
  <c r="T284" i="8"/>
  <c r="T285" i="8"/>
  <c r="T286" i="8"/>
  <c r="T287" i="8"/>
  <c r="T288" i="8"/>
  <c r="T290" i="8"/>
  <c r="T289" i="8"/>
  <c r="T291" i="8"/>
  <c r="T292" i="8"/>
  <c r="T293" i="8"/>
  <c r="T294" i="8"/>
  <c r="T295" i="8"/>
  <c r="T297" i="8"/>
  <c r="T296"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3" i="8"/>
  <c r="T332" i="8"/>
  <c r="T334" i="8"/>
  <c r="T335" i="8"/>
  <c r="T336" i="8"/>
  <c r="T337" i="8"/>
  <c r="T338" i="8"/>
  <c r="T339" i="8"/>
  <c r="T340" i="8"/>
  <c r="T341" i="8"/>
  <c r="T342" i="8"/>
  <c r="T343" i="8"/>
  <c r="T344" i="8"/>
  <c r="T345" i="8"/>
  <c r="T347" i="8"/>
  <c r="T346" i="8"/>
  <c r="T349" i="8"/>
  <c r="T350" i="8"/>
  <c r="T351" i="8"/>
  <c r="T352" i="8"/>
  <c r="T353" i="8"/>
  <c r="T355" i="8"/>
  <c r="T354" i="8"/>
  <c r="T348"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9" i="8"/>
  <c r="T420" i="8"/>
  <c r="T421" i="8"/>
  <c r="T422" i="8"/>
  <c r="T423" i="8"/>
  <c r="T424" i="8"/>
  <c r="T425" i="8"/>
  <c r="T426" i="8"/>
  <c r="T427" i="8"/>
  <c r="T428" i="8"/>
  <c r="T429" i="8"/>
  <c r="T430"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72" i="8"/>
  <c r="T473" i="8"/>
  <c r="T474" i="8"/>
  <c r="T475" i="8"/>
  <c r="T476" i="8"/>
  <c r="T477" i="8"/>
  <c r="T478" i="8"/>
  <c r="T479" i="8"/>
  <c r="T480" i="8"/>
  <c r="T481" i="8"/>
  <c r="T482" i="8"/>
  <c r="T484" i="8"/>
  <c r="T485" i="8"/>
  <c r="T486" i="8"/>
  <c r="T483" i="8"/>
  <c r="T487" i="8"/>
  <c r="T488" i="8"/>
  <c r="T489" i="8"/>
  <c r="T490" i="8"/>
  <c r="T491" i="8"/>
  <c r="T492" i="8"/>
  <c r="T493" i="8"/>
  <c r="T494" i="8"/>
  <c r="T501" i="8"/>
  <c r="T502" i="8"/>
  <c r="T503" i="8"/>
  <c r="T504" i="8"/>
  <c r="T505" i="8"/>
  <c r="T506" i="8"/>
  <c r="T507" i="8"/>
  <c r="T508" i="8"/>
  <c r="T509" i="8"/>
  <c r="T510" i="8"/>
  <c r="T511" i="8"/>
  <c r="T512" i="8"/>
  <c r="T513" i="8"/>
  <c r="T514" i="8"/>
  <c r="T515" i="8"/>
  <c r="T516" i="8"/>
  <c r="T517" i="8"/>
  <c r="T518" i="8"/>
  <c r="T526" i="8"/>
  <c r="T527" i="8"/>
  <c r="T528" i="8"/>
  <c r="T529" i="8"/>
  <c r="T530" i="8"/>
  <c r="T525" i="8"/>
  <c r="T531" i="8"/>
  <c r="T532" i="8"/>
  <c r="T533" i="8"/>
  <c r="T534" i="8"/>
  <c r="T535" i="8"/>
  <c r="T536" i="8"/>
  <c r="T537" i="8"/>
  <c r="T538" i="8"/>
  <c r="T539" i="8"/>
  <c r="T540" i="8"/>
  <c r="T541" i="8"/>
  <c r="T542" i="8"/>
  <c r="T543" i="8"/>
  <c r="T544" i="8"/>
  <c r="T545" i="8"/>
  <c r="T546" i="8"/>
  <c r="T547" i="8"/>
  <c r="T549" i="8"/>
  <c r="T550" i="8"/>
  <c r="T551" i="8"/>
  <c r="T552" i="8"/>
  <c r="T553" i="8"/>
  <c r="T548" i="8"/>
  <c r="T560" i="8"/>
  <c r="T561" i="8"/>
  <c r="T562" i="8"/>
  <c r="T563" i="8"/>
  <c r="T564" i="8"/>
  <c r="T566" i="8"/>
  <c r="T565" i="8"/>
  <c r="T567" i="8"/>
  <c r="T568" i="8"/>
  <c r="T569" i="8"/>
  <c r="T570" i="8"/>
  <c r="T571" i="8"/>
  <c r="T572" i="8"/>
  <c r="T573" i="8"/>
  <c r="T574" i="8"/>
  <c r="T575" i="8"/>
  <c r="T576" i="8"/>
  <c r="T577" i="8"/>
  <c r="T578" i="8"/>
  <c r="T579" i="8"/>
  <c r="T581" i="8"/>
  <c r="T582" i="8"/>
  <c r="T583" i="8"/>
  <c r="T584" i="8"/>
  <c r="T585" i="8"/>
  <c r="T586" i="8"/>
  <c r="T580" i="8"/>
  <c r="T593" i="8"/>
  <c r="T594" i="8"/>
  <c r="T595" i="8"/>
  <c r="T596" i="8"/>
  <c r="T597" i="8"/>
  <c r="T598" i="8"/>
  <c r="T599" i="8"/>
  <c r="T600" i="8"/>
  <c r="T601" i="8"/>
  <c r="T602" i="8"/>
  <c r="T603" i="8"/>
  <c r="T604" i="8"/>
  <c r="T605" i="8"/>
  <c r="T606" i="8"/>
  <c r="T607" i="8"/>
  <c r="T609" i="8"/>
  <c r="T610" i="8"/>
  <c r="T611" i="8"/>
  <c r="T612" i="8"/>
  <c r="T613" i="8"/>
  <c r="T608" i="8"/>
  <c r="T620" i="8"/>
  <c r="T621" i="8"/>
  <c r="T622" i="8"/>
  <c r="T624" i="8"/>
  <c r="T623" i="8"/>
  <c r="T625" i="8"/>
  <c r="T626" i="8"/>
  <c r="T627" i="8"/>
  <c r="T628" i="8"/>
  <c r="T629" i="8"/>
  <c r="T630" i="8"/>
  <c r="T631" i="8"/>
  <c r="T632" i="8"/>
  <c r="T633" i="8"/>
  <c r="T634" i="8"/>
  <c r="T635" i="8"/>
  <c r="T636" i="8"/>
  <c r="T637" i="8"/>
  <c r="T638" i="8"/>
  <c r="T645" i="8"/>
  <c r="T647" i="8"/>
  <c r="T648" i="8"/>
  <c r="T649" i="8"/>
  <c r="T646" i="8"/>
  <c r="T650" i="8"/>
  <c r="T651" i="8"/>
  <c r="T652" i="8"/>
  <c r="T653" i="8"/>
  <c r="T654" i="8"/>
  <c r="T655" i="8"/>
  <c r="T656" i="8"/>
  <c r="T657" i="8"/>
  <c r="T658" i="8"/>
  <c r="T659" i="8"/>
  <c r="T660" i="8"/>
  <c r="T662" i="8"/>
  <c r="T661" i="8"/>
  <c r="T663" i="8"/>
  <c r="T664" i="8"/>
  <c r="T665" i="8"/>
  <c r="T666" i="8"/>
  <c r="T667" i="8"/>
  <c r="T669" i="8"/>
  <c r="T668" i="8"/>
  <c r="T670" i="8"/>
  <c r="T671" i="8"/>
  <c r="T672" i="8"/>
  <c r="T674" i="8"/>
  <c r="T675" i="8"/>
  <c r="T676" i="8"/>
  <c r="T677" i="8"/>
  <c r="T673" i="8"/>
  <c r="T684" i="8"/>
  <c r="T685" i="8"/>
  <c r="T686" i="8"/>
  <c r="T687" i="8"/>
  <c r="T688" i="8"/>
  <c r="T689" i="8"/>
  <c r="T690" i="8"/>
  <c r="T691" i="8"/>
  <c r="T692" i="8"/>
  <c r="T693" i="8"/>
  <c r="T694" i="8"/>
  <c r="T695" i="8"/>
  <c r="T696" i="8"/>
  <c r="T703" i="8"/>
  <c r="T704" i="8"/>
  <c r="T705" i="8"/>
  <c r="T706" i="8"/>
  <c r="T707" i="8"/>
  <c r="T708" i="8"/>
  <c r="T709" i="8"/>
  <c r="T710" i="8"/>
  <c r="T712" i="8"/>
  <c r="T713" i="8"/>
  <c r="T714" i="8"/>
  <c r="T715" i="8"/>
  <c r="T716" i="8"/>
  <c r="T717" i="8"/>
  <c r="T718" i="8"/>
  <c r="T711" i="8"/>
  <c r="T719" i="8"/>
  <c r="T720" i="8"/>
  <c r="T721" i="8"/>
  <c r="T722" i="8"/>
  <c r="T723" i="8"/>
  <c r="T724" i="8"/>
  <c r="T725" i="8"/>
  <c r="T726" i="8"/>
  <c r="T727" i="8"/>
  <c r="T728" i="8"/>
  <c r="T729" i="8"/>
  <c r="T730" i="8"/>
  <c r="T731" i="8"/>
  <c r="T732" i="8"/>
  <c r="T733" i="8"/>
  <c r="T734" i="8"/>
  <c r="T735" i="8"/>
  <c r="T736" i="8"/>
  <c r="T743" i="8"/>
  <c r="T744" i="8"/>
  <c r="T745" i="8"/>
  <c r="T748" i="8"/>
  <c r="T749" i="8"/>
  <c r="T750" i="8"/>
  <c r="T746" i="8"/>
  <c r="T747" i="8"/>
  <c r="T751" i="8"/>
  <c r="T752" i="8"/>
  <c r="T753" i="8"/>
  <c r="T754" i="8"/>
  <c r="T755" i="8"/>
  <c r="T756" i="8"/>
  <c r="T757" i="8"/>
  <c r="T758" i="8"/>
  <c r="T759" i="8"/>
  <c r="T760" i="8"/>
  <c r="T761" i="8"/>
  <c r="T762" i="8"/>
  <c r="T763" i="8"/>
  <c r="T764" i="8"/>
  <c r="T765" i="8"/>
  <c r="T766" i="8"/>
  <c r="T767" i="8"/>
  <c r="T769" i="8"/>
  <c r="T770" i="8"/>
  <c r="T771" i="8"/>
  <c r="T772" i="8"/>
  <c r="T773" i="8"/>
  <c r="T774" i="8"/>
  <c r="T768" i="8"/>
  <c r="T782" i="8"/>
  <c r="T783" i="8"/>
  <c r="T784" i="8"/>
  <c r="T785" i="8"/>
  <c r="T781" i="8"/>
  <c r="T786" i="8"/>
  <c r="T787" i="8"/>
  <c r="T788" i="8"/>
  <c r="T789" i="8"/>
  <c r="T790" i="8"/>
  <c r="T791" i="8"/>
  <c r="T792" i="8"/>
  <c r="T793" i="8"/>
  <c r="T794" i="8"/>
  <c r="T795" i="8"/>
  <c r="T802" i="8"/>
  <c r="T803" i="8"/>
  <c r="T804" i="8"/>
  <c r="T805" i="8"/>
  <c r="T807" i="8"/>
  <c r="T808" i="8"/>
  <c r="T806" i="8"/>
  <c r="T809" i="8"/>
  <c r="T810" i="8"/>
  <c r="T811" i="8"/>
  <c r="T812" i="8"/>
  <c r="T813" i="8"/>
  <c r="T814" i="8"/>
  <c r="T815" i="8"/>
  <c r="T816" i="8"/>
  <c r="T818" i="8"/>
  <c r="T817" i="8"/>
  <c r="T819" i="8"/>
  <c r="T820" i="8"/>
  <c r="T821" i="8"/>
  <c r="T822" i="8"/>
  <c r="T823" i="8"/>
  <c r="T824" i="8"/>
  <c r="T825" i="8"/>
  <c r="T826" i="8"/>
  <c r="T828" i="8"/>
  <c r="T829" i="8"/>
  <c r="T830" i="8"/>
  <c r="T827" i="8"/>
  <c r="T831" i="8"/>
  <c r="T832" i="8"/>
  <c r="T834" i="8"/>
  <c r="T833" i="8"/>
  <c r="T841" i="8"/>
  <c r="T842" i="8"/>
  <c r="T843" i="8"/>
  <c r="T844" i="8"/>
  <c r="T845" i="8"/>
  <c r="T846" i="8"/>
  <c r="T847" i="8"/>
  <c r="T848" i="8"/>
  <c r="T849" i="8"/>
  <c r="T850" i="8"/>
  <c r="T851" i="8"/>
  <c r="T852" i="8"/>
  <c r="T853" i="8"/>
  <c r="T860" i="8"/>
  <c r="T861" i="8"/>
  <c r="T863" i="8"/>
  <c r="T865" i="8"/>
  <c r="T866" i="8"/>
  <c r="T867" i="8"/>
  <c r="T868" i="8"/>
  <c r="T864" i="8"/>
  <c r="T862" i="8"/>
  <c r="T869" i="8"/>
  <c r="T870" i="8"/>
  <c r="T871" i="8"/>
  <c r="T872" i="8"/>
  <c r="T874" i="8"/>
  <c r="T873" i="8"/>
  <c r="T875" i="8"/>
  <c r="T876" i="8"/>
  <c r="T877" i="8"/>
  <c r="T878" i="8"/>
  <c r="T880" i="8"/>
  <c r="T879" i="8"/>
  <c r="T888" i="8"/>
  <c r="T887" i="8"/>
  <c r="T889" i="8"/>
  <c r="T890" i="8"/>
  <c r="T893" i="8"/>
  <c r="T892" i="8"/>
  <c r="T891" i="8"/>
  <c r="T897" i="8"/>
  <c r="T896" i="8"/>
  <c r="T895" i="8"/>
  <c r="T894" i="8"/>
  <c r="T901" i="8"/>
  <c r="T899" i="8"/>
  <c r="T898" i="8"/>
  <c r="T900" i="8"/>
  <c r="T903" i="8"/>
  <c r="T902" i="8"/>
  <c r="T908" i="8"/>
  <c r="T907" i="8"/>
  <c r="T906" i="8"/>
  <c r="T905" i="8"/>
  <c r="T904" i="8"/>
  <c r="T916" i="8"/>
  <c r="T915" i="8"/>
  <c r="T909" i="8"/>
  <c r="T914" i="8"/>
  <c r="T910" i="8"/>
  <c r="T912" i="8"/>
  <c r="T913" i="8"/>
  <c r="T911" i="8"/>
  <c r="T917" i="8"/>
  <c r="T925" i="8"/>
  <c r="T924" i="8"/>
  <c r="T928" i="8"/>
  <c r="T927" i="8"/>
  <c r="T926" i="8"/>
  <c r="T931" i="8"/>
  <c r="T929" i="8"/>
  <c r="T930" i="8"/>
  <c r="T936" i="8"/>
  <c r="T935" i="8"/>
  <c r="T934" i="8"/>
  <c r="T933" i="8"/>
  <c r="T932" i="8"/>
  <c r="T940" i="8"/>
  <c r="T939" i="8"/>
  <c r="T938" i="8"/>
  <c r="T937" i="8"/>
  <c r="T942" i="8"/>
  <c r="T943" i="8"/>
  <c r="T941" i="8"/>
  <c r="T951" i="8"/>
  <c r="T950" i="8"/>
  <c r="T954" i="8"/>
  <c r="T953" i="8"/>
  <c r="T952" i="8"/>
  <c r="T955" i="8"/>
  <c r="T956" i="8"/>
  <c r="T959" i="8"/>
  <c r="T958" i="8"/>
  <c r="T962" i="8"/>
  <c r="T961" i="8"/>
  <c r="T963" i="8"/>
  <c r="T960" i="8"/>
  <c r="T964" i="8"/>
  <c r="T973" i="8"/>
  <c r="T977" i="8"/>
  <c r="T976" i="8"/>
  <c r="T975" i="8"/>
  <c r="T979" i="8"/>
  <c r="T978" i="8"/>
  <c r="T980" i="8"/>
  <c r="T984" i="8"/>
  <c r="T983" i="8"/>
  <c r="T982" i="8"/>
  <c r="T981" i="8"/>
  <c r="T989" i="8"/>
  <c r="T988" i="8"/>
  <c r="T987" i="8"/>
  <c r="T992" i="8"/>
  <c r="T995" i="8"/>
  <c r="T994" i="8"/>
  <c r="T993" i="8"/>
  <c r="T1004" i="8"/>
  <c r="T1007" i="8"/>
  <c r="T1006" i="8"/>
  <c r="T1009" i="8"/>
  <c r="T1012" i="8"/>
  <c r="T1042" i="8"/>
  <c r="T1048" i="8"/>
  <c r="T1005" i="8"/>
  <c r="T957" i="8"/>
  <c r="T1046" i="8"/>
  <c r="T1045" i="8"/>
  <c r="T1047" i="8"/>
  <c r="T1043" i="8"/>
  <c r="T1044" i="8"/>
  <c r="T1010" i="8"/>
  <c r="T1037" i="8"/>
  <c r="T1038" i="8"/>
  <c r="T1036" i="8"/>
  <c r="T1035" i="8"/>
  <c r="T1034" i="8"/>
  <c r="T1014" i="8"/>
  <c r="T1017" i="8"/>
  <c r="T1033" i="8"/>
  <c r="T1030" i="8"/>
  <c r="T1029" i="8"/>
  <c r="T1021" i="8"/>
  <c r="T986" i="8"/>
  <c r="T985" i="8"/>
  <c r="T1016" i="8"/>
  <c r="T1015" i="8"/>
  <c r="T1022" i="8"/>
  <c r="T1020" i="8"/>
  <c r="T1019" i="8"/>
  <c r="T1018" i="8"/>
  <c r="T991" i="8"/>
  <c r="T990" i="8"/>
  <c r="T966" i="8"/>
  <c r="T965" i="8"/>
  <c r="T1013" i="8"/>
  <c r="T974" i="8"/>
  <c r="R2" i="8"/>
  <c r="R3"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8" i="8"/>
  <c r="R67"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8" i="8"/>
  <c r="R99" i="8"/>
  <c r="R100" i="8"/>
  <c r="R101" i="8"/>
  <c r="R102" i="8"/>
  <c r="R103" i="8"/>
  <c r="R104" i="8"/>
  <c r="R105" i="8"/>
  <c r="R106" i="8"/>
  <c r="R107" i="8"/>
  <c r="R108" i="8"/>
  <c r="R110" i="8"/>
  <c r="R109" i="8"/>
  <c r="R111" i="8"/>
  <c r="R112" i="8"/>
  <c r="R113" i="8"/>
  <c r="R114" i="8"/>
  <c r="R115" i="8"/>
  <c r="R116" i="8"/>
  <c r="R118" i="8"/>
  <c r="R119" i="8"/>
  <c r="R120" i="8"/>
  <c r="R121" i="8"/>
  <c r="R123" i="8"/>
  <c r="R122" i="8"/>
  <c r="R117" i="8"/>
  <c r="R124" i="8"/>
  <c r="R125" i="8"/>
  <c r="R126" i="8"/>
  <c r="R127" i="8"/>
  <c r="R128" i="8"/>
  <c r="R129" i="8"/>
  <c r="R130" i="8"/>
  <c r="R131" i="8"/>
  <c r="R132" i="8"/>
  <c r="R133" i="8"/>
  <c r="R134" i="8"/>
  <c r="R136" i="8"/>
  <c r="R137" i="8"/>
  <c r="R138" i="8"/>
  <c r="R135" i="8"/>
  <c r="R139" i="8"/>
  <c r="R140" i="8"/>
  <c r="R141" i="8"/>
  <c r="R142" i="8"/>
  <c r="R143" i="8"/>
  <c r="R144" i="8"/>
  <c r="R145" i="8"/>
  <c r="R147" i="8"/>
  <c r="R148" i="8"/>
  <c r="R149" i="8"/>
  <c r="R146" i="8"/>
  <c r="R150" i="8"/>
  <c r="R151" i="8"/>
  <c r="R152" i="8"/>
  <c r="R153" i="8"/>
  <c r="R155" i="8"/>
  <c r="R154" i="8"/>
  <c r="R156" i="8"/>
  <c r="R158" i="8"/>
  <c r="R159" i="8"/>
  <c r="R160" i="8"/>
  <c r="R157" i="8"/>
  <c r="R161" i="8"/>
  <c r="R162" i="8"/>
  <c r="R163" i="8"/>
  <c r="R164" i="8"/>
  <c r="R165" i="8"/>
  <c r="R166" i="8"/>
  <c r="R167" i="8"/>
  <c r="R168" i="8"/>
  <c r="R170" i="8"/>
  <c r="R169" i="8"/>
  <c r="R171" i="8"/>
  <c r="R172" i="8"/>
  <c r="R173" i="8"/>
  <c r="R174" i="8"/>
  <c r="R176" i="8"/>
  <c r="R177" i="8"/>
  <c r="R178" i="8"/>
  <c r="R175" i="8"/>
  <c r="R179" i="8"/>
  <c r="R180" i="8"/>
  <c r="R181" i="8"/>
  <c r="R182" i="8"/>
  <c r="R184" i="8"/>
  <c r="R185" i="8"/>
  <c r="R187" i="8"/>
  <c r="R188" i="8"/>
  <c r="R189" i="8"/>
  <c r="R190" i="8"/>
  <c r="R186" i="8"/>
  <c r="R191" i="8"/>
  <c r="R192" i="8"/>
  <c r="R193" i="8"/>
  <c r="R194" i="8"/>
  <c r="R195" i="8"/>
  <c r="R196" i="8"/>
  <c r="R197" i="8"/>
  <c r="R198" i="8"/>
  <c r="R199" i="8"/>
  <c r="R200" i="8"/>
  <c r="R201" i="8"/>
  <c r="R203" i="8"/>
  <c r="R202" i="8"/>
  <c r="R205" i="8"/>
  <c r="R206" i="8"/>
  <c r="R207" i="8"/>
  <c r="R208" i="8"/>
  <c r="R204" i="8"/>
  <c r="R209" i="8"/>
  <c r="R210" i="8"/>
  <c r="R211" i="8"/>
  <c r="R212" i="8"/>
  <c r="R213" i="8"/>
  <c r="R214" i="8"/>
  <c r="R215" i="8"/>
  <c r="R216" i="8"/>
  <c r="R217" i="8"/>
  <c r="R218" i="8"/>
  <c r="R219" i="8"/>
  <c r="R220" i="8"/>
  <c r="R221" i="8"/>
  <c r="R223" i="8"/>
  <c r="R224" i="8"/>
  <c r="R225" i="8"/>
  <c r="R222" i="8"/>
  <c r="R226" i="8"/>
  <c r="R227" i="8"/>
  <c r="R228" i="8"/>
  <c r="R229" i="8"/>
  <c r="R230" i="8"/>
  <c r="R231" i="8"/>
  <c r="R232" i="8"/>
  <c r="R234" i="8"/>
  <c r="R233" i="8"/>
  <c r="R235" i="8"/>
  <c r="R236" i="8"/>
  <c r="R237" i="8"/>
  <c r="R238" i="8"/>
  <c r="R239" i="8"/>
  <c r="R240" i="8"/>
  <c r="R241" i="8"/>
  <c r="R242" i="8"/>
  <c r="R243" i="8"/>
  <c r="R244" i="8"/>
  <c r="R245" i="8"/>
  <c r="R246" i="8"/>
  <c r="R247" i="8"/>
  <c r="R248" i="8"/>
  <c r="R249" i="8"/>
  <c r="R250" i="8"/>
  <c r="R251" i="8"/>
  <c r="R252" i="8"/>
  <c r="R253" i="8"/>
  <c r="R254" i="8"/>
  <c r="R255" i="8"/>
  <c r="R256" i="8"/>
  <c r="R257" i="8"/>
  <c r="R259" i="8"/>
  <c r="R260" i="8"/>
  <c r="R261" i="8"/>
  <c r="R262" i="8"/>
  <c r="R258" i="8"/>
  <c r="R263" i="8"/>
  <c r="R264" i="8"/>
  <c r="R265" i="8"/>
  <c r="R266" i="8"/>
  <c r="R267" i="8"/>
  <c r="R268" i="8"/>
  <c r="R269" i="8"/>
  <c r="R270" i="8"/>
  <c r="R271" i="8"/>
  <c r="R272" i="8"/>
  <c r="R274" i="8"/>
  <c r="R275" i="8"/>
  <c r="R276" i="8"/>
  <c r="R277" i="8"/>
  <c r="R278" i="8"/>
  <c r="R273" i="8"/>
  <c r="R279" i="8"/>
  <c r="R280" i="8"/>
  <c r="R281" i="8"/>
  <c r="R282" i="8"/>
  <c r="R283" i="8"/>
  <c r="R284" i="8"/>
  <c r="R285" i="8"/>
  <c r="R286" i="8"/>
  <c r="R287" i="8"/>
  <c r="R288" i="8"/>
  <c r="R290" i="8"/>
  <c r="R289" i="8"/>
  <c r="R291" i="8"/>
  <c r="R292" i="8"/>
  <c r="R293" i="8"/>
  <c r="R294" i="8"/>
  <c r="R295" i="8"/>
  <c r="R297" i="8"/>
  <c r="R296"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3" i="8"/>
  <c r="R332" i="8"/>
  <c r="R334" i="8"/>
  <c r="R335" i="8"/>
  <c r="R336" i="8"/>
  <c r="R337" i="8"/>
  <c r="R338" i="8"/>
  <c r="R339" i="8"/>
  <c r="R340" i="8"/>
  <c r="R341" i="8"/>
  <c r="R342" i="8"/>
  <c r="R343" i="8"/>
  <c r="R344" i="8"/>
  <c r="R345" i="8"/>
  <c r="R347" i="8"/>
  <c r="R346" i="8"/>
  <c r="R349" i="8"/>
  <c r="R350" i="8"/>
  <c r="R351" i="8"/>
  <c r="R352" i="8"/>
  <c r="R353" i="8"/>
  <c r="R355" i="8"/>
  <c r="R354" i="8"/>
  <c r="R348"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9" i="8"/>
  <c r="R420" i="8"/>
  <c r="R421" i="8"/>
  <c r="R422" i="8"/>
  <c r="R423" i="8"/>
  <c r="R424" i="8"/>
  <c r="R425" i="8"/>
  <c r="R426" i="8"/>
  <c r="R427" i="8"/>
  <c r="R428" i="8"/>
  <c r="R429" i="8"/>
  <c r="R430" i="8"/>
  <c r="R437" i="8"/>
  <c r="R438" i="8"/>
  <c r="R439" i="8"/>
  <c r="R440" i="8"/>
  <c r="R441" i="8"/>
  <c r="R442" i="8"/>
  <c r="R443" i="8"/>
  <c r="R444" i="8"/>
  <c r="R445" i="8"/>
  <c r="R446" i="8"/>
  <c r="R447" i="8"/>
  <c r="R448" i="8"/>
  <c r="R449" i="8"/>
  <c r="R450" i="8"/>
  <c r="R451" i="8"/>
  <c r="R452" i="8"/>
  <c r="R453" i="8"/>
  <c r="R455" i="8"/>
  <c r="R456" i="8"/>
  <c r="R457" i="8"/>
  <c r="R458" i="8"/>
  <c r="R459" i="8"/>
  <c r="R460" i="8"/>
  <c r="R461" i="8"/>
  <c r="R462" i="8"/>
  <c r="R463" i="8"/>
  <c r="R464" i="8"/>
  <c r="R465" i="8"/>
  <c r="R472" i="8"/>
  <c r="R473" i="8"/>
  <c r="R474" i="8"/>
  <c r="R475" i="8"/>
  <c r="R476" i="8"/>
  <c r="R477" i="8"/>
  <c r="R478" i="8"/>
  <c r="R479" i="8"/>
  <c r="R480" i="8"/>
  <c r="R481" i="8"/>
  <c r="R482" i="8"/>
  <c r="R484" i="8"/>
  <c r="R485" i="8"/>
  <c r="R486" i="8"/>
  <c r="R483" i="8"/>
  <c r="R487" i="8"/>
  <c r="R488" i="8"/>
  <c r="R489" i="8"/>
  <c r="R490" i="8"/>
  <c r="R491" i="8"/>
  <c r="R492" i="8"/>
  <c r="R493" i="8"/>
  <c r="R494" i="8"/>
  <c r="R501" i="8"/>
  <c r="R502" i="8"/>
  <c r="R503" i="8"/>
  <c r="R504" i="8"/>
  <c r="R505" i="8"/>
  <c r="R506" i="8"/>
  <c r="R507" i="8"/>
  <c r="R508" i="8"/>
  <c r="R509" i="8"/>
  <c r="R510" i="8"/>
  <c r="R511" i="8"/>
  <c r="R512" i="8"/>
  <c r="R513" i="8"/>
  <c r="R514" i="8"/>
  <c r="R515" i="8"/>
  <c r="R516" i="8"/>
  <c r="R517" i="8"/>
  <c r="R518" i="8"/>
  <c r="R526" i="8"/>
  <c r="R527" i="8"/>
  <c r="R528" i="8"/>
  <c r="R529" i="8"/>
  <c r="R530" i="8"/>
  <c r="R525" i="8"/>
  <c r="R531" i="8"/>
  <c r="R532" i="8"/>
  <c r="R533" i="8"/>
  <c r="R534" i="8"/>
  <c r="R535" i="8"/>
  <c r="R536" i="8"/>
  <c r="R537" i="8"/>
  <c r="R538" i="8"/>
  <c r="R539" i="8"/>
  <c r="R540" i="8"/>
  <c r="R541" i="8"/>
  <c r="R542" i="8"/>
  <c r="R543" i="8"/>
  <c r="R544" i="8"/>
  <c r="R545" i="8"/>
  <c r="R546" i="8"/>
  <c r="R547" i="8"/>
  <c r="R549" i="8"/>
  <c r="R550" i="8"/>
  <c r="R551" i="8"/>
  <c r="R552" i="8"/>
  <c r="R553" i="8"/>
  <c r="R548" i="8"/>
  <c r="R560" i="8"/>
  <c r="R561" i="8"/>
  <c r="R562" i="8"/>
  <c r="R563" i="8"/>
  <c r="R564" i="8"/>
  <c r="R566" i="8"/>
  <c r="R565" i="8"/>
  <c r="R567" i="8"/>
  <c r="R568" i="8"/>
  <c r="R569" i="8"/>
  <c r="R570" i="8"/>
  <c r="R571" i="8"/>
  <c r="R572" i="8"/>
  <c r="R573" i="8"/>
  <c r="R574" i="8"/>
  <c r="R575" i="8"/>
  <c r="R576" i="8"/>
  <c r="R577" i="8"/>
  <c r="R578" i="8"/>
  <c r="R579" i="8"/>
  <c r="R581" i="8"/>
  <c r="R582" i="8"/>
  <c r="R583" i="8"/>
  <c r="R584" i="8"/>
  <c r="R585" i="8"/>
  <c r="R586" i="8"/>
  <c r="R580" i="8"/>
  <c r="R593" i="8"/>
  <c r="R594" i="8"/>
  <c r="R595" i="8"/>
  <c r="R596" i="8"/>
  <c r="R597" i="8"/>
  <c r="R598" i="8"/>
  <c r="R599" i="8"/>
  <c r="R600" i="8"/>
  <c r="R601" i="8"/>
  <c r="R602" i="8"/>
  <c r="R603" i="8"/>
  <c r="R604" i="8"/>
  <c r="R605" i="8"/>
  <c r="R606" i="8"/>
  <c r="R607" i="8"/>
  <c r="R609" i="8"/>
  <c r="R610" i="8"/>
  <c r="R611" i="8"/>
  <c r="R612" i="8"/>
  <c r="R613" i="8"/>
  <c r="R608" i="8"/>
  <c r="R620" i="8"/>
  <c r="R621" i="8"/>
  <c r="R622" i="8"/>
  <c r="R624" i="8"/>
  <c r="R623" i="8"/>
  <c r="R625" i="8"/>
  <c r="R626" i="8"/>
  <c r="R627" i="8"/>
  <c r="R628" i="8"/>
  <c r="R629" i="8"/>
  <c r="R630" i="8"/>
  <c r="R631" i="8"/>
  <c r="R632" i="8"/>
  <c r="R633" i="8"/>
  <c r="R634" i="8"/>
  <c r="R635" i="8"/>
  <c r="R636" i="8"/>
  <c r="R637" i="8"/>
  <c r="R638" i="8"/>
  <c r="R645" i="8"/>
  <c r="R647" i="8"/>
  <c r="R648" i="8"/>
  <c r="R649" i="8"/>
  <c r="R646" i="8"/>
  <c r="R650" i="8"/>
  <c r="R651" i="8"/>
  <c r="R652" i="8"/>
  <c r="R653" i="8"/>
  <c r="R654" i="8"/>
  <c r="R655" i="8"/>
  <c r="R656" i="8"/>
  <c r="R657" i="8"/>
  <c r="R658" i="8"/>
  <c r="R659" i="8"/>
  <c r="R660" i="8"/>
  <c r="R662" i="8"/>
  <c r="R661" i="8"/>
  <c r="R663" i="8"/>
  <c r="R664" i="8"/>
  <c r="R665" i="8"/>
  <c r="R666" i="8"/>
  <c r="R667" i="8"/>
  <c r="R669" i="8"/>
  <c r="R668" i="8"/>
  <c r="R670" i="8"/>
  <c r="R671" i="8"/>
  <c r="R672" i="8"/>
  <c r="R674" i="8"/>
  <c r="R675" i="8"/>
  <c r="R676" i="8"/>
  <c r="R677" i="8"/>
  <c r="R673" i="8"/>
  <c r="R684" i="8"/>
  <c r="R685" i="8"/>
  <c r="R686" i="8"/>
  <c r="R687" i="8"/>
  <c r="R688" i="8"/>
  <c r="R689" i="8"/>
  <c r="R690" i="8"/>
  <c r="R691" i="8"/>
  <c r="R692" i="8"/>
  <c r="R693" i="8"/>
  <c r="R694" i="8"/>
  <c r="R695" i="8"/>
  <c r="R696" i="8"/>
  <c r="R703" i="8"/>
  <c r="R704" i="8"/>
  <c r="R705" i="8"/>
  <c r="R706" i="8"/>
  <c r="R707" i="8"/>
  <c r="R708" i="8"/>
  <c r="R709" i="8"/>
  <c r="R710" i="8"/>
  <c r="R712" i="8"/>
  <c r="R713" i="8"/>
  <c r="R714" i="8"/>
  <c r="R715" i="8"/>
  <c r="R716" i="8"/>
  <c r="R717" i="8"/>
  <c r="R718" i="8"/>
  <c r="R711" i="8"/>
  <c r="R719" i="8"/>
  <c r="R720" i="8"/>
  <c r="R721" i="8"/>
  <c r="R722" i="8"/>
  <c r="R723" i="8"/>
  <c r="R724" i="8"/>
  <c r="R725" i="8"/>
  <c r="R726" i="8"/>
  <c r="R727" i="8"/>
  <c r="R728" i="8"/>
  <c r="R729" i="8"/>
  <c r="R730" i="8"/>
  <c r="R731" i="8"/>
  <c r="R732" i="8"/>
  <c r="R733" i="8"/>
  <c r="R734" i="8"/>
  <c r="R735" i="8"/>
  <c r="R736" i="8"/>
  <c r="R743" i="8"/>
  <c r="R744" i="8"/>
  <c r="R745" i="8"/>
  <c r="R748" i="8"/>
  <c r="R749" i="8"/>
  <c r="R750" i="8"/>
  <c r="R746" i="8"/>
  <c r="R747" i="8"/>
  <c r="R751" i="8"/>
  <c r="R752" i="8"/>
  <c r="R753" i="8"/>
  <c r="R754" i="8"/>
  <c r="R755" i="8"/>
  <c r="R756" i="8"/>
  <c r="R757" i="8"/>
  <c r="R758" i="8"/>
  <c r="R759" i="8"/>
  <c r="R760" i="8"/>
  <c r="R761" i="8"/>
  <c r="R762" i="8"/>
  <c r="R763" i="8"/>
  <c r="R764" i="8"/>
  <c r="R765" i="8"/>
  <c r="R766" i="8"/>
  <c r="R767" i="8"/>
  <c r="R769" i="8"/>
  <c r="R770" i="8"/>
  <c r="R771" i="8"/>
  <c r="R772" i="8"/>
  <c r="R773" i="8"/>
  <c r="R774" i="8"/>
  <c r="R768" i="8"/>
  <c r="R782" i="8"/>
  <c r="R783" i="8"/>
  <c r="R784" i="8"/>
  <c r="R785" i="8"/>
  <c r="R781" i="8"/>
  <c r="R786" i="8"/>
  <c r="R787" i="8"/>
  <c r="R788" i="8"/>
  <c r="R789" i="8"/>
  <c r="R790" i="8"/>
  <c r="R791" i="8"/>
  <c r="R792" i="8"/>
  <c r="R793" i="8"/>
  <c r="R794" i="8"/>
  <c r="R795" i="8"/>
  <c r="R802" i="8"/>
  <c r="R803" i="8"/>
  <c r="R804" i="8"/>
  <c r="R805" i="8"/>
  <c r="R807" i="8"/>
  <c r="R808" i="8"/>
  <c r="R806" i="8"/>
  <c r="R809" i="8"/>
  <c r="R810" i="8"/>
  <c r="R811" i="8"/>
  <c r="R812" i="8"/>
  <c r="R813" i="8"/>
  <c r="R814" i="8"/>
  <c r="R815" i="8"/>
  <c r="R816" i="8"/>
  <c r="R818" i="8"/>
  <c r="R817" i="8"/>
  <c r="R819" i="8"/>
  <c r="R820" i="8"/>
  <c r="R821" i="8"/>
  <c r="R822" i="8"/>
  <c r="R823" i="8"/>
  <c r="R824" i="8"/>
  <c r="R825" i="8"/>
  <c r="R826" i="8"/>
  <c r="R828" i="8"/>
  <c r="R829" i="8"/>
  <c r="R830" i="8"/>
  <c r="R827" i="8"/>
  <c r="R831" i="8"/>
  <c r="R832" i="8"/>
  <c r="R834" i="8"/>
  <c r="R833" i="8"/>
  <c r="R841" i="8"/>
  <c r="R842" i="8"/>
  <c r="R843" i="8"/>
  <c r="R844" i="8"/>
  <c r="R845" i="8"/>
  <c r="R846" i="8"/>
  <c r="R847" i="8"/>
  <c r="R848" i="8"/>
  <c r="R849" i="8"/>
  <c r="R850" i="8"/>
  <c r="R851" i="8"/>
  <c r="R852" i="8"/>
  <c r="R853" i="8"/>
  <c r="R860" i="8"/>
  <c r="R861" i="8"/>
  <c r="R863" i="8"/>
  <c r="R865" i="8"/>
  <c r="R866" i="8"/>
  <c r="R867" i="8"/>
  <c r="R868" i="8"/>
  <c r="R864" i="8"/>
  <c r="R862" i="8"/>
  <c r="R869" i="8"/>
  <c r="R870" i="8"/>
  <c r="R871" i="8"/>
  <c r="R872" i="8"/>
  <c r="R874" i="8"/>
  <c r="R873" i="8"/>
  <c r="R875" i="8"/>
  <c r="R876" i="8"/>
  <c r="R877" i="8"/>
  <c r="R878" i="8"/>
  <c r="R880" i="8"/>
  <c r="R879" i="8"/>
  <c r="R888" i="8"/>
  <c r="R887" i="8"/>
  <c r="R889" i="8"/>
  <c r="R890" i="8"/>
  <c r="R893" i="8"/>
  <c r="R892" i="8"/>
  <c r="R891" i="8"/>
  <c r="R897" i="8"/>
  <c r="R896" i="8"/>
  <c r="R895" i="8"/>
  <c r="R894" i="8"/>
  <c r="R901" i="8"/>
  <c r="R899" i="8"/>
  <c r="R898" i="8"/>
  <c r="R900" i="8"/>
  <c r="R903" i="8"/>
  <c r="R902" i="8"/>
  <c r="R908" i="8"/>
  <c r="R907" i="8"/>
  <c r="R906" i="8"/>
  <c r="R905" i="8"/>
  <c r="R904" i="8"/>
  <c r="R916" i="8"/>
  <c r="R915" i="8"/>
  <c r="R909" i="8"/>
  <c r="R914" i="8"/>
  <c r="R910" i="8"/>
  <c r="R912" i="8"/>
  <c r="R913" i="8"/>
  <c r="R911" i="8"/>
  <c r="R917" i="8"/>
  <c r="R925" i="8"/>
  <c r="R924" i="8"/>
  <c r="R928" i="8"/>
  <c r="R927" i="8"/>
  <c r="R926" i="8"/>
  <c r="R931" i="8"/>
  <c r="R929" i="8"/>
  <c r="R930" i="8"/>
  <c r="R936" i="8"/>
  <c r="R935" i="8"/>
  <c r="R934" i="8"/>
  <c r="R933" i="8"/>
  <c r="R932" i="8"/>
  <c r="R940" i="8"/>
  <c r="R939" i="8"/>
  <c r="R938" i="8"/>
  <c r="R937" i="8"/>
  <c r="R942" i="8"/>
  <c r="R943" i="8"/>
  <c r="R941" i="8"/>
  <c r="R951" i="8"/>
  <c r="R950" i="8"/>
  <c r="R954" i="8"/>
  <c r="R953" i="8"/>
  <c r="R952" i="8"/>
  <c r="R955" i="8"/>
  <c r="R956" i="8"/>
  <c r="R959" i="8"/>
  <c r="R958" i="8"/>
  <c r="R962" i="8"/>
  <c r="R961" i="8"/>
  <c r="R963" i="8"/>
  <c r="R960" i="8"/>
  <c r="R964" i="8"/>
  <c r="R973" i="8"/>
  <c r="R977" i="8"/>
  <c r="R976" i="8"/>
  <c r="R975" i="8"/>
  <c r="R979" i="8"/>
  <c r="R978" i="8"/>
  <c r="R980" i="8"/>
  <c r="R984" i="8"/>
  <c r="R983" i="8"/>
  <c r="R982" i="8"/>
  <c r="R981" i="8"/>
  <c r="R989" i="8"/>
  <c r="R988" i="8"/>
  <c r="R987" i="8"/>
  <c r="R992" i="8"/>
  <c r="R995" i="8"/>
  <c r="R994" i="8"/>
  <c r="R993" i="8"/>
  <c r="R1004" i="8"/>
  <c r="R1007" i="8"/>
  <c r="R1006" i="8"/>
  <c r="R1009" i="8"/>
  <c r="R1012" i="8"/>
  <c r="R1042" i="8"/>
  <c r="R1048" i="8"/>
  <c r="R1005" i="8"/>
  <c r="R957" i="8"/>
  <c r="R1046" i="8"/>
  <c r="R1045" i="8"/>
  <c r="R1047" i="8"/>
  <c r="R1043" i="8"/>
  <c r="R1044" i="8"/>
  <c r="R1010" i="8"/>
  <c r="R1037" i="8"/>
  <c r="R1038" i="8"/>
  <c r="R1036" i="8"/>
  <c r="R1035" i="8"/>
  <c r="R1034" i="8"/>
  <c r="R1014" i="8"/>
  <c r="R1017" i="8"/>
  <c r="R1033" i="8"/>
  <c r="R1030" i="8"/>
  <c r="R1029" i="8"/>
  <c r="R1021" i="8"/>
  <c r="R986" i="8"/>
  <c r="R985" i="8"/>
  <c r="R1016" i="8"/>
  <c r="R1015" i="8"/>
  <c r="R1022" i="8"/>
  <c r="R1020" i="8"/>
  <c r="R1019" i="8"/>
  <c r="R1018" i="8"/>
  <c r="R991" i="8"/>
  <c r="R990" i="8"/>
  <c r="R966" i="8"/>
  <c r="R965" i="8"/>
  <c r="R1013" i="8"/>
  <c r="R974" i="8"/>
  <c r="F1042" i="8"/>
  <c r="F1048" i="8"/>
  <c r="F1005" i="8"/>
  <c r="F957" i="8"/>
  <c r="F1046" i="8"/>
  <c r="F1045" i="8"/>
  <c r="F1047" i="8"/>
  <c r="F1043" i="8"/>
  <c r="F1044" i="8"/>
  <c r="F1010" i="8"/>
  <c r="F1037" i="8"/>
  <c r="F1038" i="8"/>
  <c r="F1036" i="8"/>
  <c r="F1035" i="8"/>
  <c r="F1034" i="8"/>
  <c r="F1014" i="8"/>
  <c r="F1017" i="8"/>
  <c r="F1033" i="8"/>
  <c r="F1030" i="8"/>
  <c r="F1029" i="8"/>
  <c r="F1021" i="8"/>
  <c r="F986" i="8"/>
  <c r="F985" i="8"/>
  <c r="F1016" i="8"/>
  <c r="F1015" i="8"/>
  <c r="F1022" i="8"/>
  <c r="F1020" i="8"/>
  <c r="F1019" i="8"/>
  <c r="F1018" i="8"/>
  <c r="F991" i="8"/>
  <c r="F990" i="8"/>
  <c r="F966" i="8"/>
  <c r="F965" i="8"/>
  <c r="F1013" i="8"/>
  <c r="F974" i="8"/>
  <c r="D1044" i="8"/>
  <c r="D1010" i="8"/>
  <c r="D1037" i="8"/>
  <c r="D1038" i="8"/>
  <c r="D1036" i="8"/>
  <c r="D1035" i="8"/>
  <c r="D1034" i="8"/>
  <c r="D1014" i="8"/>
  <c r="D1017" i="8"/>
  <c r="D1033" i="8"/>
  <c r="D1030" i="8"/>
  <c r="D1029" i="8"/>
  <c r="D1021" i="8"/>
  <c r="D986" i="8"/>
  <c r="D985" i="8"/>
  <c r="D1016" i="8"/>
  <c r="D1015" i="8"/>
  <c r="D1022" i="8"/>
  <c r="D1020" i="8"/>
  <c r="D1019" i="8"/>
  <c r="D1018" i="8"/>
  <c r="D991" i="8"/>
  <c r="D990" i="8"/>
  <c r="D966" i="8"/>
  <c r="D965" i="8"/>
  <c r="D1013" i="8"/>
  <c r="D974" i="8"/>
  <c r="D1042" i="8"/>
  <c r="D1048" i="8"/>
  <c r="D1005" i="8"/>
  <c r="D957" i="8"/>
  <c r="D1046" i="8"/>
  <c r="D1045" i="8"/>
  <c r="D1047" i="8"/>
  <c r="D1043" i="8"/>
  <c r="I10" i="9"/>
  <c r="B13" i="9"/>
  <c r="C13" i="9"/>
  <c r="C974" i="8" a="1"/>
  <c r="C974" i="8" s="1"/>
  <c r="C1042" i="8" a="1"/>
  <c r="C1042" i="8" s="1"/>
  <c r="C1048" i="8" a="1"/>
  <c r="C1048" i="8" s="1"/>
  <c r="C1005" i="8" a="1"/>
  <c r="C1005" i="8" s="1"/>
  <c r="C957" i="8" a="1"/>
  <c r="C957" i="8" s="1"/>
  <c r="C1046" i="8" a="1"/>
  <c r="C1046" i="8" s="1"/>
  <c r="C1045" i="8" a="1"/>
  <c r="C1045" i="8" s="1"/>
  <c r="C1047" i="8" a="1"/>
  <c r="C1047" i="8" s="1"/>
  <c r="C1043" i="8" a="1"/>
  <c r="C1043" i="8" s="1"/>
  <c r="C1044" i="8" a="1"/>
  <c r="C1044" i="8" s="1"/>
  <c r="C1010" i="8" a="1"/>
  <c r="C1010" i="8" s="1"/>
  <c r="C1037" i="8" a="1"/>
  <c r="C1037" i="8" s="1"/>
  <c r="C1038" i="8" a="1"/>
  <c r="C1038" i="8" s="1"/>
  <c r="C1036" i="8" a="1"/>
  <c r="C1036" i="8" s="1"/>
  <c r="C1035" i="8" a="1"/>
  <c r="C1035" i="8" s="1"/>
  <c r="C1034" i="8" a="1"/>
  <c r="C1034" i="8" s="1"/>
  <c r="C1014" i="8" a="1"/>
  <c r="C1014" i="8" s="1"/>
  <c r="C1017" i="8" a="1"/>
  <c r="C1017" i="8" s="1"/>
  <c r="C1033" i="8" a="1"/>
  <c r="C1033" i="8" s="1"/>
  <c r="C1030" i="8" a="1"/>
  <c r="C1030" i="8" s="1"/>
  <c r="C1029" i="8" a="1"/>
  <c r="C1029" i="8" s="1"/>
  <c r="C1021" i="8" a="1"/>
  <c r="C1021" i="8" s="1"/>
  <c r="C986" i="8" a="1"/>
  <c r="C986" i="8" s="1"/>
  <c r="C985" i="8" a="1"/>
  <c r="C985" i="8" s="1"/>
  <c r="C1016" i="8" a="1"/>
  <c r="C1016" i="8" s="1"/>
  <c r="C1015" i="8" a="1"/>
  <c r="C1015" i="8" s="1"/>
  <c r="C1022" i="8" a="1"/>
  <c r="C1022" i="8" s="1"/>
  <c r="C1020" i="8" a="1"/>
  <c r="C1020" i="8" s="1"/>
  <c r="C1019" i="8" a="1"/>
  <c r="C1019" i="8" s="1"/>
  <c r="C1018" i="8" a="1"/>
  <c r="C1018" i="8" s="1"/>
  <c r="C991" i="8" a="1"/>
  <c r="C991" i="8" s="1"/>
  <c r="C990" i="8" a="1"/>
  <c r="C990" i="8" s="1"/>
  <c r="C966" i="8" a="1"/>
  <c r="C966" i="8" s="1"/>
  <c r="C965" i="8" a="1"/>
  <c r="C965" i="8" s="1"/>
  <c r="C1013" i="8" a="1"/>
  <c r="C1013" i="8" s="1"/>
  <c r="I13" i="9"/>
  <c r="I14" i="9"/>
  <c r="I17" i="9"/>
  <c r="I28" i="9"/>
  <c r="I53" i="9"/>
  <c r="I56" i="9"/>
  <c r="B5" i="9"/>
  <c r="B19" i="9"/>
  <c r="B20" i="9"/>
  <c r="B27" i="9"/>
  <c r="B30" i="9"/>
  <c r="B31" i="9"/>
  <c r="B50" i="9"/>
  <c r="B103" i="9"/>
  <c r="B108" i="9"/>
  <c r="C5" i="9"/>
  <c r="C19" i="9"/>
  <c r="C20" i="9"/>
  <c r="C27" i="9"/>
  <c r="C30" i="9"/>
  <c r="C31" i="9"/>
  <c r="C50" i="9"/>
  <c r="C103" i="9"/>
  <c r="C108" i="9"/>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8" i="8"/>
  <c r="D67"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10" i="8"/>
  <c r="D109" i="8"/>
  <c r="D111" i="8"/>
  <c r="D112" i="8"/>
  <c r="D113" i="8"/>
  <c r="D114" i="8"/>
  <c r="D115" i="8"/>
  <c r="D116" i="8"/>
  <c r="D118" i="8"/>
  <c r="D119" i="8"/>
  <c r="D120" i="8"/>
  <c r="D121" i="8"/>
  <c r="D123" i="8"/>
  <c r="D122" i="8"/>
  <c r="D124" i="8"/>
  <c r="D125" i="8"/>
  <c r="D126" i="8"/>
  <c r="D127" i="8"/>
  <c r="D128" i="8"/>
  <c r="D129" i="8"/>
  <c r="D130" i="8"/>
  <c r="D131" i="8"/>
  <c r="D132" i="8"/>
  <c r="D133" i="8"/>
  <c r="D134" i="8"/>
  <c r="D136" i="8"/>
  <c r="D137" i="8"/>
  <c r="D138" i="8"/>
  <c r="D139" i="8"/>
  <c r="D140" i="8"/>
  <c r="D141" i="8"/>
  <c r="D142" i="8"/>
  <c r="D143" i="8"/>
  <c r="D144" i="8"/>
  <c r="D145" i="8"/>
  <c r="D147" i="8"/>
  <c r="D148" i="8"/>
  <c r="D149" i="8"/>
  <c r="D150" i="8"/>
  <c r="D151" i="8"/>
  <c r="D152" i="8"/>
  <c r="D153" i="8"/>
  <c r="D155" i="8"/>
  <c r="D154" i="8"/>
  <c r="D156" i="8"/>
  <c r="D158" i="8"/>
  <c r="D159" i="8"/>
  <c r="D160" i="8"/>
  <c r="D161" i="8"/>
  <c r="D162" i="8"/>
  <c r="D163" i="8"/>
  <c r="D164" i="8"/>
  <c r="D165" i="8"/>
  <c r="D166" i="8"/>
  <c r="D167" i="8"/>
  <c r="D168" i="8"/>
  <c r="D170" i="8"/>
  <c r="D169" i="8"/>
  <c r="D171" i="8"/>
  <c r="D172" i="8"/>
  <c r="D173" i="8"/>
  <c r="D174" i="8"/>
  <c r="D176" i="8"/>
  <c r="D177" i="8"/>
  <c r="D178" i="8"/>
  <c r="D179" i="8"/>
  <c r="D180" i="8"/>
  <c r="D181" i="8"/>
  <c r="D182" i="8"/>
  <c r="D183" i="8"/>
  <c r="D184" i="8"/>
  <c r="D185" i="8"/>
  <c r="D187" i="8"/>
  <c r="D188" i="8"/>
  <c r="D189" i="8"/>
  <c r="D190" i="8"/>
  <c r="D191" i="8"/>
  <c r="D192" i="8"/>
  <c r="D193" i="8"/>
  <c r="D194" i="8"/>
  <c r="D195" i="8"/>
  <c r="D196" i="8"/>
  <c r="D197" i="8"/>
  <c r="D198" i="8"/>
  <c r="D199" i="8"/>
  <c r="D200" i="8"/>
  <c r="D201" i="8"/>
  <c r="D203" i="8"/>
  <c r="D202" i="8"/>
  <c r="D205" i="8"/>
  <c r="D206" i="8"/>
  <c r="D207" i="8"/>
  <c r="D208" i="8"/>
  <c r="D209" i="8"/>
  <c r="D210" i="8"/>
  <c r="D211" i="8"/>
  <c r="D212" i="8"/>
  <c r="D213" i="8"/>
  <c r="D214" i="8"/>
  <c r="D215" i="8"/>
  <c r="D216" i="8"/>
  <c r="D217" i="8"/>
  <c r="D218" i="8"/>
  <c r="D219" i="8"/>
  <c r="D220" i="8"/>
  <c r="D221" i="8"/>
  <c r="D223" i="8"/>
  <c r="D224" i="8"/>
  <c r="D225" i="8"/>
  <c r="D226" i="8"/>
  <c r="D227" i="8"/>
  <c r="D228" i="8"/>
  <c r="D229" i="8"/>
  <c r="D230" i="8"/>
  <c r="D231" i="8"/>
  <c r="D232" i="8"/>
  <c r="D234" i="8"/>
  <c r="D233" i="8"/>
  <c r="D235" i="8"/>
  <c r="D236" i="8"/>
  <c r="D237" i="8"/>
  <c r="D238" i="8"/>
  <c r="D239" i="8"/>
  <c r="D240" i="8"/>
  <c r="D241" i="8"/>
  <c r="D242" i="8"/>
  <c r="D243" i="8"/>
  <c r="D244" i="8"/>
  <c r="D245" i="8"/>
  <c r="D246" i="8"/>
  <c r="D247" i="8"/>
  <c r="D248" i="8"/>
  <c r="D249" i="8"/>
  <c r="D250" i="8"/>
  <c r="D251" i="8"/>
  <c r="D252" i="8"/>
  <c r="D253" i="8"/>
  <c r="D254" i="8"/>
  <c r="D255" i="8"/>
  <c r="D256" i="8"/>
  <c r="D257" i="8"/>
  <c r="D259" i="8"/>
  <c r="D260" i="8"/>
  <c r="D261" i="8"/>
  <c r="D262" i="8"/>
  <c r="D263" i="8"/>
  <c r="D264" i="8"/>
  <c r="D265" i="8"/>
  <c r="D266" i="8"/>
  <c r="D267" i="8"/>
  <c r="D268" i="8"/>
  <c r="D269" i="8"/>
  <c r="D270" i="8"/>
  <c r="D271" i="8"/>
  <c r="D272" i="8"/>
  <c r="D274" i="8"/>
  <c r="D275" i="8"/>
  <c r="D276" i="8"/>
  <c r="D277" i="8"/>
  <c r="D278" i="8"/>
  <c r="D279" i="8"/>
  <c r="D280" i="8"/>
  <c r="D281" i="8"/>
  <c r="D282" i="8"/>
  <c r="D283" i="8"/>
  <c r="D284" i="8"/>
  <c r="D285" i="8"/>
  <c r="D286" i="8"/>
  <c r="D287" i="8"/>
  <c r="D288" i="8"/>
  <c r="D290" i="8"/>
  <c r="D289" i="8"/>
  <c r="D291" i="8"/>
  <c r="D292" i="8"/>
  <c r="D293" i="8"/>
  <c r="D294" i="8"/>
  <c r="D295" i="8"/>
  <c r="D297" i="8"/>
  <c r="D296" i="8"/>
  <c r="D298" i="8"/>
  <c r="D299" i="8"/>
  <c r="D300" i="8"/>
  <c r="D479" i="8"/>
  <c r="D480" i="8"/>
  <c r="D481" i="8"/>
  <c r="D482" i="8"/>
  <c r="D484" i="8"/>
  <c r="D485" i="8"/>
  <c r="D486" i="8"/>
  <c r="D487" i="8"/>
  <c r="D488" i="8"/>
  <c r="D489" i="8"/>
  <c r="D490" i="8"/>
  <c r="D491" i="8"/>
  <c r="D492" i="8"/>
  <c r="D493" i="8"/>
  <c r="D494" i="8"/>
  <c r="D501" i="8"/>
  <c r="D502" i="8"/>
  <c r="D503" i="8"/>
  <c r="D504" i="8"/>
  <c r="D505" i="8"/>
  <c r="D506" i="8"/>
  <c r="D507" i="8"/>
  <c r="D508" i="8"/>
  <c r="D509" i="8"/>
  <c r="D510" i="8"/>
  <c r="D511" i="8"/>
  <c r="D512" i="8"/>
  <c r="D513" i="8"/>
  <c r="D514" i="8"/>
  <c r="D515" i="8"/>
  <c r="D516" i="8"/>
  <c r="D517" i="8"/>
  <c r="D518" i="8"/>
  <c r="D526" i="8"/>
  <c r="D527" i="8"/>
  <c r="D528" i="8"/>
  <c r="D529" i="8"/>
  <c r="D530" i="8"/>
  <c r="D531" i="8"/>
  <c r="D532" i="8"/>
  <c r="D533" i="8"/>
  <c r="D534" i="8"/>
  <c r="D535" i="8"/>
  <c r="D536" i="8"/>
  <c r="D537" i="8"/>
  <c r="D538" i="8"/>
  <c r="D539" i="8"/>
  <c r="D540" i="8"/>
  <c r="D541" i="8"/>
  <c r="D542" i="8"/>
  <c r="D543" i="8"/>
  <c r="D544" i="8"/>
  <c r="D545" i="8"/>
  <c r="D546" i="8"/>
  <c r="D547" i="8"/>
  <c r="D549" i="8"/>
  <c r="D550" i="8"/>
  <c r="D551" i="8"/>
  <c r="D552" i="8"/>
  <c r="D553" i="8"/>
  <c r="D560" i="8"/>
  <c r="D561" i="8"/>
  <c r="D562" i="8"/>
  <c r="D563" i="8"/>
  <c r="D564" i="8"/>
  <c r="D566" i="8"/>
  <c r="D567" i="8"/>
  <c r="D568" i="8"/>
  <c r="D569" i="8"/>
  <c r="D570" i="8"/>
  <c r="D571" i="8"/>
  <c r="D572" i="8"/>
  <c r="D574" i="8"/>
  <c r="D575" i="8"/>
  <c r="D576" i="8"/>
  <c r="D577" i="8"/>
  <c r="D578" i="8"/>
  <c r="D579" i="8"/>
  <c r="D581" i="8"/>
  <c r="D582" i="8"/>
  <c r="D583" i="8"/>
  <c r="D584" i="8"/>
  <c r="D585" i="8"/>
  <c r="D586" i="8"/>
  <c r="D593" i="8"/>
  <c r="D594" i="8"/>
  <c r="D595" i="8"/>
  <c r="D596" i="8"/>
  <c r="D597" i="8"/>
  <c r="D599" i="8"/>
  <c r="D600" i="8"/>
  <c r="D601" i="8"/>
  <c r="D602" i="8"/>
  <c r="D603" i="8"/>
  <c r="D604" i="8"/>
  <c r="D605" i="8"/>
  <c r="D606" i="8"/>
  <c r="D607" i="8"/>
  <c r="D609" i="8"/>
  <c r="D610" i="8"/>
  <c r="D611" i="8"/>
  <c r="D612" i="8"/>
  <c r="D613" i="8"/>
  <c r="D620" i="8"/>
  <c r="D621" i="8"/>
  <c r="D622" i="8"/>
  <c r="D624" i="8"/>
  <c r="D625" i="8"/>
  <c r="D626" i="8"/>
  <c r="D627" i="8"/>
  <c r="D628" i="8"/>
  <c r="D629" i="8"/>
  <c r="D630" i="8"/>
  <c r="D631" i="8"/>
  <c r="D632" i="8"/>
  <c r="D633" i="8"/>
  <c r="D634" i="8"/>
  <c r="D635" i="8"/>
  <c r="D636" i="8"/>
  <c r="D637" i="8"/>
  <c r="D638" i="8"/>
  <c r="D645" i="8"/>
  <c r="D647" i="8"/>
  <c r="D648" i="8"/>
  <c r="D649" i="8"/>
  <c r="D650" i="8"/>
  <c r="D651" i="8"/>
  <c r="D652" i="8"/>
  <c r="D653" i="8"/>
  <c r="D654" i="8"/>
  <c r="D655" i="8"/>
  <c r="D656" i="8"/>
  <c r="D657" i="8"/>
  <c r="D658" i="8"/>
  <c r="D659" i="8"/>
  <c r="D660" i="8"/>
  <c r="D662" i="8"/>
  <c r="D663" i="8"/>
  <c r="D664" i="8"/>
  <c r="D665" i="8"/>
  <c r="D666" i="8"/>
  <c r="D667" i="8"/>
  <c r="D669" i="8"/>
  <c r="D668" i="8"/>
  <c r="D670" i="8"/>
  <c r="D671" i="8"/>
  <c r="D672" i="8"/>
  <c r="D674" i="8"/>
  <c r="D675" i="8"/>
  <c r="D676" i="8"/>
  <c r="D677" i="8"/>
  <c r="D684" i="8"/>
  <c r="D685" i="8"/>
  <c r="D686" i="8"/>
  <c r="D687" i="8"/>
  <c r="D688" i="8"/>
  <c r="D689" i="8"/>
  <c r="D691" i="8"/>
  <c r="D692" i="8"/>
  <c r="D693" i="8"/>
  <c r="D694" i="8"/>
  <c r="D695" i="8"/>
  <c r="D696" i="8"/>
  <c r="D703" i="8"/>
  <c r="D704" i="8"/>
  <c r="D705" i="8"/>
  <c r="D706" i="8"/>
  <c r="D707" i="8"/>
  <c r="D708" i="8"/>
  <c r="D709" i="8"/>
  <c r="D710" i="8"/>
  <c r="D712" i="8"/>
  <c r="D713" i="8"/>
  <c r="D714" i="8"/>
  <c r="D715" i="8"/>
  <c r="D716" i="8"/>
  <c r="D717" i="8"/>
  <c r="D718" i="8"/>
  <c r="D719" i="8"/>
  <c r="D720" i="8"/>
  <c r="D721" i="8"/>
  <c r="D722" i="8"/>
  <c r="D723" i="8"/>
  <c r="D724" i="8"/>
  <c r="D726" i="8"/>
  <c r="D727" i="8"/>
  <c r="D728" i="8"/>
  <c r="D729" i="8"/>
  <c r="D730" i="8"/>
  <c r="D731" i="8"/>
  <c r="D732" i="8"/>
  <c r="D733" i="8"/>
  <c r="D734" i="8"/>
  <c r="D735" i="8"/>
  <c r="D736" i="8"/>
  <c r="D743" i="8"/>
  <c r="D744" i="8"/>
  <c r="D745" i="8"/>
  <c r="D748" i="8"/>
  <c r="D749" i="8"/>
  <c r="D750" i="8"/>
  <c r="D751" i="8"/>
  <c r="D752" i="8"/>
  <c r="D753" i="8"/>
  <c r="D754" i="8"/>
  <c r="D755" i="8"/>
  <c r="D756" i="8"/>
  <c r="D757" i="8"/>
  <c r="D759" i="8"/>
  <c r="D761" i="8"/>
  <c r="D762" i="8"/>
  <c r="D763" i="8"/>
  <c r="D764" i="8"/>
  <c r="D765" i="8"/>
  <c r="D766" i="8"/>
  <c r="D767" i="8"/>
  <c r="D769" i="8"/>
  <c r="D770" i="8"/>
  <c r="D771" i="8"/>
  <c r="D772" i="8"/>
  <c r="D773" i="8"/>
  <c r="D774" i="8"/>
  <c r="D782" i="8"/>
  <c r="D783" i="8"/>
  <c r="D784" i="8"/>
  <c r="D785" i="8"/>
  <c r="D786" i="8"/>
  <c r="D787" i="8"/>
  <c r="D788" i="8"/>
  <c r="D789" i="8"/>
  <c r="D790" i="8"/>
  <c r="D792" i="8"/>
  <c r="D793" i="8"/>
  <c r="D794" i="8"/>
  <c r="D795" i="8"/>
  <c r="D802" i="8"/>
  <c r="D803" i="8"/>
  <c r="D804" i="8"/>
  <c r="D805" i="8"/>
  <c r="D807" i="8"/>
  <c r="D808" i="8"/>
  <c r="D809" i="8"/>
  <c r="D810" i="8"/>
  <c r="D811" i="8"/>
  <c r="D812" i="8"/>
  <c r="D813" i="8"/>
  <c r="D814" i="8"/>
  <c r="D815" i="8"/>
  <c r="D816" i="8"/>
  <c r="D818" i="8"/>
  <c r="D819" i="8"/>
  <c r="D820" i="8"/>
  <c r="D821" i="8"/>
  <c r="D822" i="8"/>
  <c r="D823" i="8"/>
  <c r="D824" i="8"/>
  <c r="D825" i="8"/>
  <c r="D826" i="8"/>
  <c r="D828" i="8"/>
  <c r="D829" i="8"/>
  <c r="D830" i="8"/>
  <c r="D831" i="8"/>
  <c r="D832" i="8"/>
  <c r="D841" i="8"/>
  <c r="D842" i="8"/>
  <c r="D844" i="8"/>
  <c r="D845" i="8"/>
  <c r="D846" i="8"/>
  <c r="D847" i="8"/>
  <c r="D848" i="8"/>
  <c r="D849" i="8"/>
  <c r="D850" i="8"/>
  <c r="D851" i="8"/>
  <c r="D852" i="8"/>
  <c r="D853" i="8"/>
  <c r="D860" i="8"/>
  <c r="D861" i="8"/>
  <c r="D863" i="8"/>
  <c r="D865" i="8"/>
  <c r="D866" i="8"/>
  <c r="D867" i="8"/>
  <c r="D868" i="8"/>
  <c r="D870" i="8"/>
  <c r="D871" i="8"/>
  <c r="D872" i="8"/>
  <c r="D875" i="8"/>
  <c r="D876" i="8"/>
  <c r="D877" i="8"/>
  <c r="D878" i="8"/>
  <c r="D1009" i="8"/>
  <c r="D1012" i="8"/>
  <c r="D979" i="8"/>
  <c r="D1007" i="8"/>
  <c r="D1006" i="8"/>
  <c r="D1004" i="8"/>
  <c r="D989" i="8"/>
  <c r="D992" i="8"/>
  <c r="D995" i="8"/>
  <c r="D994" i="8"/>
  <c r="D993" i="8"/>
  <c r="D988" i="8"/>
  <c r="D987" i="8"/>
  <c r="D573" i="8"/>
  <c r="D984" i="8"/>
  <c r="D983" i="8"/>
  <c r="D982" i="8"/>
  <c r="D981" i="8"/>
  <c r="D978" i="8"/>
  <c r="D980" i="8"/>
  <c r="D977" i="8"/>
  <c r="D976" i="8"/>
  <c r="D975" i="8"/>
  <c r="D973" i="8"/>
  <c r="D962" i="8"/>
  <c r="D959" i="8"/>
  <c r="D940" i="8"/>
  <c r="D964" i="8"/>
  <c r="D961" i="8"/>
  <c r="D958" i="8"/>
  <c r="D963" i="8"/>
  <c r="D960" i="8"/>
  <c r="D955" i="8"/>
  <c r="D956" i="8"/>
  <c r="D954" i="8"/>
  <c r="D953" i="8"/>
  <c r="D952" i="8"/>
  <c r="D951" i="8"/>
  <c r="D950" i="8"/>
  <c r="D939" i="8"/>
  <c r="D942" i="8"/>
  <c r="D938" i="8"/>
  <c r="D937" i="8"/>
  <c r="D936" i="8"/>
  <c r="D943" i="8"/>
  <c r="D941" i="8"/>
  <c r="D931" i="8"/>
  <c r="D935" i="8"/>
  <c r="D934" i="8"/>
  <c r="D933" i="8"/>
  <c r="D932" i="8"/>
  <c r="D916" i="8"/>
  <c r="D915" i="8"/>
  <c r="D888" i="8"/>
  <c r="D887" i="8"/>
  <c r="D864" i="8"/>
  <c r="D862" i="8"/>
  <c r="D834" i="8"/>
  <c r="D833" i="8"/>
  <c r="D929" i="8"/>
  <c r="D930" i="8"/>
  <c r="D928" i="8"/>
  <c r="D927" i="8"/>
  <c r="D926" i="8"/>
  <c r="D925" i="8"/>
  <c r="D924" i="8"/>
  <c r="D909" i="8"/>
  <c r="D917" i="8"/>
  <c r="D908" i="8"/>
  <c r="D914" i="8"/>
  <c r="D910" i="8"/>
  <c r="D912" i="8"/>
  <c r="D913" i="8"/>
  <c r="D911" i="8"/>
  <c r="D897" i="8"/>
  <c r="D768" i="8"/>
  <c r="D746" i="8"/>
  <c r="D711" i="8"/>
  <c r="D673" i="8"/>
  <c r="D646" i="8"/>
  <c r="D608" i="8"/>
  <c r="D580" i="8"/>
  <c r="D548" i="8"/>
  <c r="D525" i="8"/>
  <c r="D483" i="8"/>
  <c r="D273" i="8"/>
  <c r="D258" i="8"/>
  <c r="D222" i="8"/>
  <c r="D204" i="8"/>
  <c r="D186" i="8"/>
  <c r="D175" i="8"/>
  <c r="D157" i="8"/>
  <c r="D146" i="8"/>
  <c r="D135" i="8"/>
  <c r="D117" i="8"/>
  <c r="D903" i="8"/>
  <c r="D874" i="8"/>
  <c r="D901" i="8"/>
  <c r="D902" i="8"/>
  <c r="D907" i="8"/>
  <c r="D758" i="8"/>
  <c r="D906" i="8"/>
  <c r="D905" i="8"/>
  <c r="D904" i="8"/>
  <c r="D899" i="8"/>
  <c r="D898" i="8"/>
  <c r="D900" i="8"/>
  <c r="D889" i="8"/>
  <c r="D896" i="8"/>
  <c r="D895" i="8"/>
  <c r="D894" i="8"/>
  <c r="D843" i="8"/>
  <c r="D817" i="8"/>
  <c r="D791" i="8"/>
  <c r="D760" i="8"/>
  <c r="D725" i="8"/>
  <c r="D690" i="8"/>
  <c r="D661" i="8"/>
  <c r="D623" i="8"/>
  <c r="D598" i="8"/>
  <c r="D565" i="8"/>
  <c r="D869" i="8"/>
  <c r="D827" i="8"/>
  <c r="D806" i="8"/>
  <c r="D781" i="8"/>
  <c r="D747" i="8"/>
  <c r="D893" i="8"/>
  <c r="D892" i="8"/>
  <c r="D891" i="8"/>
  <c r="D890" i="8"/>
  <c r="D880" i="8"/>
  <c r="D879" i="8"/>
  <c r="D873" i="8"/>
  <c r="F1009" i="8"/>
  <c r="F1012" i="8"/>
  <c r="F979" i="8"/>
  <c r="F1007" i="8"/>
  <c r="F1006" i="8"/>
  <c r="F1004" i="8"/>
  <c r="F989" i="8"/>
  <c r="F992" i="8"/>
  <c r="F995" i="8"/>
  <c r="F994" i="8"/>
  <c r="F993" i="8"/>
  <c r="F988" i="8"/>
  <c r="F987" i="8"/>
  <c r="F573" i="8"/>
  <c r="F984" i="8"/>
  <c r="F983" i="8"/>
  <c r="F982" i="8"/>
  <c r="F981" i="8"/>
  <c r="F978" i="8"/>
  <c r="F980" i="8"/>
  <c r="F977" i="8"/>
  <c r="F976" i="8"/>
  <c r="F975" i="8"/>
  <c r="F973" i="8"/>
  <c r="F962" i="8"/>
  <c r="F959" i="8"/>
  <c r="F940" i="8"/>
  <c r="F964" i="8"/>
  <c r="F961" i="8"/>
  <c r="F958" i="8"/>
  <c r="F963" i="8"/>
  <c r="F960" i="8"/>
  <c r="F955" i="8"/>
  <c r="F956" i="8"/>
  <c r="F954" i="8"/>
  <c r="F953" i="8"/>
  <c r="F952" i="8"/>
  <c r="F951" i="8"/>
  <c r="F950" i="8"/>
  <c r="F939" i="8"/>
  <c r="F942" i="8"/>
  <c r="F938" i="8"/>
  <c r="F937" i="8"/>
  <c r="F936" i="8"/>
  <c r="F943" i="8"/>
  <c r="F941" i="8"/>
  <c r="F931" i="8"/>
  <c r="F935" i="8"/>
  <c r="F934" i="8"/>
  <c r="F933" i="8"/>
  <c r="F932" i="8"/>
  <c r="F916" i="8"/>
  <c r="F915" i="8"/>
  <c r="F888" i="8"/>
  <c r="F887" i="8"/>
  <c r="F864" i="8"/>
  <c r="F862" i="8"/>
  <c r="F834" i="8"/>
  <c r="F833" i="8"/>
  <c r="F929" i="8"/>
  <c r="F930" i="8"/>
  <c r="F928" i="8"/>
  <c r="F927" i="8"/>
  <c r="F926" i="8"/>
  <c r="F925" i="8"/>
  <c r="F924" i="8"/>
  <c r="F909" i="8"/>
  <c r="F917" i="8"/>
  <c r="F908" i="8"/>
  <c r="F914" i="8"/>
  <c r="F910" i="8"/>
  <c r="F912" i="8"/>
  <c r="F913" i="8"/>
  <c r="F911" i="8"/>
  <c r="F897" i="8"/>
  <c r="F768" i="8"/>
  <c r="F746" i="8"/>
  <c r="F711" i="8"/>
  <c r="F673" i="8"/>
  <c r="F646" i="8"/>
  <c r="F608" i="8"/>
  <c r="F580" i="8"/>
  <c r="F548" i="8"/>
  <c r="F525" i="8"/>
  <c r="F483" i="8"/>
  <c r="F348" i="8"/>
  <c r="F332" i="8"/>
  <c r="F273" i="8"/>
  <c r="F258" i="8"/>
  <c r="F222" i="8"/>
  <c r="F204" i="8"/>
  <c r="F186" i="8"/>
  <c r="F175" i="8"/>
  <c r="F157" i="8"/>
  <c r="F146" i="8"/>
  <c r="F135" i="8"/>
  <c r="F117" i="8"/>
  <c r="F903" i="8"/>
  <c r="F874" i="8"/>
  <c r="F901" i="8"/>
  <c r="F902" i="8"/>
  <c r="F907" i="8"/>
  <c r="F758" i="8"/>
  <c r="F906" i="8"/>
  <c r="F905" i="8"/>
  <c r="F904" i="8"/>
  <c r="F899" i="8"/>
  <c r="F898" i="8"/>
  <c r="F900" i="8"/>
  <c r="F889" i="8"/>
  <c r="F896" i="8"/>
  <c r="F895" i="8"/>
  <c r="F894" i="8"/>
  <c r="F843" i="8"/>
  <c r="F817" i="8"/>
  <c r="F791" i="8"/>
  <c r="F760" i="8"/>
  <c r="F725" i="8"/>
  <c r="F690" i="8"/>
  <c r="F661" i="8"/>
  <c r="F623" i="8"/>
  <c r="F598" i="8"/>
  <c r="F565" i="8"/>
  <c r="F869" i="8"/>
  <c r="F827" i="8"/>
  <c r="F806" i="8"/>
  <c r="F781" i="8"/>
  <c r="F747" i="8"/>
  <c r="F893" i="8"/>
  <c r="F892" i="8"/>
  <c r="F891" i="8"/>
  <c r="F890" i="8"/>
  <c r="F880" i="8"/>
  <c r="F879" i="8"/>
  <c r="F873" i="8"/>
  <c r="C1009" i="8" a="1"/>
  <c r="C1009" i="8" s="1"/>
  <c r="C1012" i="8" a="1"/>
  <c r="C1012" i="8" s="1"/>
  <c r="C979" i="8" a="1"/>
  <c r="C979" i="8" s="1"/>
  <c r="C1007" i="8" a="1"/>
  <c r="C1007" i="8" s="1"/>
  <c r="C1006" i="8" a="1"/>
  <c r="C1006" i="8" s="1"/>
  <c r="C1004" i="8" a="1"/>
  <c r="C1004" i="8" s="1"/>
  <c r="C989" i="8" a="1"/>
  <c r="C989" i="8" s="1"/>
  <c r="C992" i="8" a="1"/>
  <c r="C992" i="8" s="1"/>
  <c r="C995" i="8" a="1"/>
  <c r="C995" i="8" s="1"/>
  <c r="C994" i="8" a="1"/>
  <c r="C994" i="8" s="1"/>
  <c r="C993" i="8" a="1"/>
  <c r="C993" i="8" s="1"/>
  <c r="C988" i="8" a="1"/>
  <c r="C988" i="8" s="1"/>
  <c r="C987" i="8" a="1"/>
  <c r="C987" i="8" s="1"/>
  <c r="C573" i="8" a="1"/>
  <c r="C573" i="8" s="1"/>
  <c r="C984" i="8" a="1"/>
  <c r="C984" i="8" s="1"/>
  <c r="C983" i="8" a="1"/>
  <c r="C983" i="8" s="1"/>
  <c r="C982" i="8" a="1"/>
  <c r="C982" i="8" s="1"/>
  <c r="C981" i="8" a="1"/>
  <c r="C981" i="8" s="1"/>
  <c r="C978" i="8" a="1"/>
  <c r="C978" i="8" s="1"/>
  <c r="C980" i="8" a="1"/>
  <c r="C980" i="8" s="1"/>
  <c r="C977" i="8" a="1"/>
  <c r="C977" i="8" s="1"/>
  <c r="C976" i="8" a="1"/>
  <c r="C976" i="8" s="1"/>
  <c r="C975" i="8" a="1"/>
  <c r="C975" i="8" s="1"/>
  <c r="C973" i="8" a="1"/>
  <c r="C973" i="8" s="1"/>
  <c r="C962" i="8" a="1"/>
  <c r="C962" i="8" s="1"/>
  <c r="C959" i="8" a="1"/>
  <c r="C959" i="8" s="1"/>
  <c r="C940" i="8" a="1"/>
  <c r="C940" i="8" s="1"/>
  <c r="C964" i="8" a="1"/>
  <c r="C964" i="8" s="1"/>
  <c r="C961" i="8" a="1"/>
  <c r="C961" i="8" s="1"/>
  <c r="C958" i="8" a="1"/>
  <c r="C958" i="8" s="1"/>
  <c r="C963" i="8" a="1"/>
  <c r="C963" i="8" s="1"/>
  <c r="C960" i="8" a="1"/>
  <c r="C960" i="8" s="1"/>
  <c r="C955" i="8" a="1"/>
  <c r="C955" i="8" s="1"/>
  <c r="C956" i="8" a="1"/>
  <c r="C956" i="8" s="1"/>
  <c r="C954" i="8" a="1"/>
  <c r="C954" i="8" s="1"/>
  <c r="C953" i="8" a="1"/>
  <c r="C953" i="8" s="1"/>
  <c r="C952" i="8" a="1"/>
  <c r="C952" i="8" s="1"/>
  <c r="C951" i="8" a="1"/>
  <c r="C951" i="8" s="1"/>
  <c r="C950" i="8" a="1"/>
  <c r="C950" i="8" s="1"/>
  <c r="C939" i="8" a="1"/>
  <c r="C939" i="8" s="1"/>
  <c r="C942" i="8" a="1"/>
  <c r="C942" i="8" s="1"/>
  <c r="C938" i="8" a="1"/>
  <c r="C938" i="8" s="1"/>
  <c r="C937" i="8" a="1"/>
  <c r="C937" i="8" s="1"/>
  <c r="C936" i="8" a="1"/>
  <c r="C936" i="8" s="1"/>
  <c r="C943" i="8" a="1"/>
  <c r="C943" i="8" s="1"/>
  <c r="C941" i="8" a="1"/>
  <c r="C941" i="8" s="1"/>
  <c r="C931" i="8" a="1"/>
  <c r="C931" i="8" s="1"/>
  <c r="C935" i="8" a="1"/>
  <c r="C935" i="8" s="1"/>
  <c r="C934" i="8" a="1"/>
  <c r="C934" i="8" s="1"/>
  <c r="C933" i="8" a="1"/>
  <c r="C933" i="8" s="1"/>
  <c r="C932" i="8" a="1"/>
  <c r="C932" i="8" s="1"/>
  <c r="C916" i="8" a="1"/>
  <c r="C916" i="8" s="1"/>
  <c r="C915" i="8" a="1"/>
  <c r="C915" i="8" s="1"/>
  <c r="C888" i="8" a="1"/>
  <c r="C888" i="8" s="1"/>
  <c r="C887" i="8" a="1"/>
  <c r="C887" i="8" s="1"/>
  <c r="C864" i="8" a="1"/>
  <c r="C864" i="8" s="1"/>
  <c r="C862" i="8" a="1"/>
  <c r="C862" i="8" s="1"/>
  <c r="C834" i="8" a="1"/>
  <c r="C834" i="8" s="1"/>
  <c r="C833" i="8" a="1"/>
  <c r="C833" i="8" s="1"/>
  <c r="C929" i="8" a="1"/>
  <c r="C929" i="8" s="1"/>
  <c r="C930" i="8" a="1"/>
  <c r="C930" i="8" s="1"/>
  <c r="C928" i="8" a="1"/>
  <c r="C928" i="8" s="1"/>
  <c r="C927" i="8" a="1"/>
  <c r="C927" i="8" s="1"/>
  <c r="C926" i="8" a="1"/>
  <c r="C926" i="8" s="1"/>
  <c r="C925" i="8" a="1"/>
  <c r="C925" i="8" s="1"/>
  <c r="C924" i="8" a="1"/>
  <c r="C924" i="8" s="1"/>
  <c r="C909" i="8" a="1"/>
  <c r="C909" i="8" s="1"/>
  <c r="C917" i="8" a="1"/>
  <c r="C917" i="8" s="1"/>
  <c r="C908" i="8" a="1"/>
  <c r="C908" i="8" s="1"/>
  <c r="C914" i="8" a="1"/>
  <c r="C914" i="8" s="1"/>
  <c r="C910" i="8" a="1"/>
  <c r="C910" i="8" s="1"/>
  <c r="C912" i="8" a="1"/>
  <c r="C912" i="8" s="1"/>
  <c r="C913" i="8" a="1"/>
  <c r="C913" i="8" s="1"/>
  <c r="C911" i="8" a="1"/>
  <c r="C911" i="8" s="1"/>
  <c r="C897" i="8" a="1"/>
  <c r="C897" i="8" s="1"/>
  <c r="C768" i="8" a="1"/>
  <c r="C768" i="8" s="1"/>
  <c r="C746" i="8" a="1"/>
  <c r="C746" i="8" s="1"/>
  <c r="C711" i="8" a="1"/>
  <c r="C711" i="8" s="1"/>
  <c r="C673" i="8" a="1"/>
  <c r="C673" i="8" s="1"/>
  <c r="C646" i="8" a="1"/>
  <c r="C646" i="8" s="1"/>
  <c r="C608" i="8" a="1"/>
  <c r="C608" i="8" s="1"/>
  <c r="C580" i="8" a="1"/>
  <c r="C580" i="8" s="1"/>
  <c r="C548" i="8" a="1"/>
  <c r="C548" i="8" s="1"/>
  <c r="C525" i="8" a="1"/>
  <c r="C525" i="8" s="1"/>
  <c r="C483" i="8" a="1"/>
  <c r="C483" i="8" s="1"/>
  <c r="C348" i="8" a="1"/>
  <c r="C348" i="8" s="1"/>
  <c r="C332" i="8" a="1"/>
  <c r="C332" i="8" s="1"/>
  <c r="C273" i="8" a="1"/>
  <c r="C273" i="8" s="1"/>
  <c r="C258" i="8" a="1"/>
  <c r="C258" i="8" s="1"/>
  <c r="C222" i="8" a="1"/>
  <c r="C222" i="8" s="1"/>
  <c r="C204" i="8" a="1"/>
  <c r="C204" i="8" s="1"/>
  <c r="C186" i="8" a="1"/>
  <c r="C186" i="8" s="1"/>
  <c r="C175" i="8" a="1"/>
  <c r="C175" i="8" s="1"/>
  <c r="C157" i="8" a="1"/>
  <c r="C157" i="8" s="1"/>
  <c r="C146" i="8" a="1"/>
  <c r="C146" i="8" s="1"/>
  <c r="C135" i="8" a="1"/>
  <c r="C135" i="8" s="1"/>
  <c r="C117" i="8" a="1"/>
  <c r="C117" i="8" s="1"/>
  <c r="C903" i="8" a="1"/>
  <c r="C903" i="8" s="1"/>
  <c r="C874" i="8" a="1"/>
  <c r="C874" i="8" s="1"/>
  <c r="C901" i="8" a="1"/>
  <c r="C901" i="8" s="1"/>
  <c r="C902" i="8" a="1"/>
  <c r="C902" i="8" s="1"/>
  <c r="C907" i="8" a="1"/>
  <c r="C907" i="8" s="1"/>
  <c r="C758" i="8" a="1"/>
  <c r="C758" i="8" s="1"/>
  <c r="C906" i="8" a="1"/>
  <c r="C906" i="8" s="1"/>
  <c r="C905" i="8" a="1"/>
  <c r="C905" i="8" s="1"/>
  <c r="C904" i="8" a="1"/>
  <c r="C904" i="8" s="1"/>
  <c r="C899" i="8" a="1"/>
  <c r="C899" i="8" s="1"/>
  <c r="C898" i="8" a="1"/>
  <c r="C898" i="8" s="1"/>
  <c r="C900" i="8" a="1"/>
  <c r="C900" i="8" s="1"/>
  <c r="C889" i="8" a="1"/>
  <c r="C889" i="8" s="1"/>
  <c r="C896" i="8" a="1"/>
  <c r="C896" i="8" s="1"/>
  <c r="C895" i="8" a="1"/>
  <c r="C895" i="8" s="1"/>
  <c r="C894" i="8" a="1"/>
  <c r="C894" i="8" s="1"/>
  <c r="C843" i="8" a="1"/>
  <c r="C843" i="8" s="1"/>
  <c r="C817" i="8" a="1"/>
  <c r="C817" i="8" s="1"/>
  <c r="C791" i="8" a="1"/>
  <c r="C791" i="8" s="1"/>
  <c r="C760" i="8" a="1"/>
  <c r="C760" i="8" s="1"/>
  <c r="C725" i="8" a="1"/>
  <c r="C725" i="8" s="1"/>
  <c r="C690" i="8" a="1"/>
  <c r="C690" i="8" s="1"/>
  <c r="C661" i="8" a="1"/>
  <c r="C661" i="8" s="1"/>
  <c r="C623" i="8" a="1"/>
  <c r="C623" i="8" s="1"/>
  <c r="C598" i="8" a="1"/>
  <c r="C598" i="8" s="1"/>
  <c r="C565" i="8" a="1"/>
  <c r="C565" i="8" s="1"/>
  <c r="C869" i="8" a="1"/>
  <c r="C869" i="8" s="1"/>
  <c r="C827" i="8" a="1"/>
  <c r="C827" i="8" s="1"/>
  <c r="C806" i="8" a="1"/>
  <c r="C806" i="8" s="1"/>
  <c r="C781" i="8" a="1"/>
  <c r="C781" i="8" s="1"/>
  <c r="C747" i="8" a="1"/>
  <c r="C747" i="8" s="1"/>
  <c r="C893" i="8" a="1"/>
  <c r="C893" i="8" s="1"/>
  <c r="C892" i="8" a="1"/>
  <c r="C892" i="8" s="1"/>
  <c r="C891" i="8" a="1"/>
  <c r="C891" i="8" s="1"/>
  <c r="C890" i="8" a="1"/>
  <c r="C890" i="8" s="1"/>
  <c r="C880" i="8" a="1"/>
  <c r="C880" i="8" s="1"/>
  <c r="C879" i="8" a="1"/>
  <c r="C879" i="8" s="1"/>
  <c r="C873" i="8" a="1"/>
  <c r="C873" i="8" s="1"/>
  <c r="C878" i="8" a="1"/>
  <c r="C878" i="8" s="1"/>
  <c r="C877" i="8" a="1"/>
  <c r="C877" i="8" s="1"/>
  <c r="C876" i="8" a="1"/>
  <c r="C876" i="8" s="1"/>
  <c r="C875" i="8" a="1"/>
  <c r="C875" i="8" s="1"/>
  <c r="C872" i="8" a="1"/>
  <c r="C872" i="8" s="1"/>
  <c r="C852" i="8" a="1"/>
  <c r="C852" i="8" s="1"/>
  <c r="C853" i="8" a="1"/>
  <c r="C853" i="8" s="1"/>
  <c r="C870" i="8" a="1"/>
  <c r="C870" i="8" s="1"/>
  <c r="C871" i="8" a="1"/>
  <c r="C871" i="8" s="1"/>
  <c r="C846" i="8" a="1"/>
  <c r="C846" i="8" s="1"/>
  <c r="C865" i="8" a="1"/>
  <c r="C865" i="8" s="1"/>
  <c r="C861" i="8" a="1"/>
  <c r="C861" i="8" s="1"/>
  <c r="C844" i="8" a="1"/>
  <c r="C844" i="8" s="1"/>
  <c r="C845" i="8" a="1"/>
  <c r="C845" i="8" s="1"/>
  <c r="C868" i="8" a="1"/>
  <c r="C868" i="8" s="1"/>
  <c r="C867" i="8" a="1"/>
  <c r="C867" i="8" s="1"/>
  <c r="C866" i="8" a="1"/>
  <c r="C866" i="8" s="1"/>
  <c r="C863" i="8" a="1"/>
  <c r="C863" i="8" s="1"/>
  <c r="C860" i="8" a="1"/>
  <c r="C860" i="8" s="1"/>
  <c r="C847" i="8" a="1"/>
  <c r="C847" i="8" s="1"/>
  <c r="C851" i="8" a="1"/>
  <c r="C851" i="8" s="1"/>
  <c r="C850" i="8" a="1"/>
  <c r="C850" i="8" s="1"/>
  <c r="C849" i="8" a="1"/>
  <c r="C849" i="8" s="1"/>
  <c r="C848" i="8" a="1"/>
  <c r="C848" i="8" s="1"/>
  <c r="C832" i="8" a="1"/>
  <c r="C832" i="8" s="1"/>
  <c r="C807" i="8" a="1"/>
  <c r="C807" i="8" s="1"/>
  <c r="C842" i="8" a="1"/>
  <c r="C842" i="8" s="1"/>
  <c r="C819" i="8" a="1"/>
  <c r="C819" i="8" s="1"/>
  <c r="C841" i="8" a="1"/>
  <c r="C841" i="8" s="1"/>
  <c r="C831" i="8" a="1"/>
  <c r="C831" i="8" s="1"/>
  <c r="C828" i="8" a="1"/>
  <c r="C828" i="8" s="1"/>
  <c r="C830" i="8" a="1"/>
  <c r="C830" i="8" s="1"/>
  <c r="C829" i="8" a="1"/>
  <c r="C829" i="8" s="1"/>
  <c r="C825" i="8" a="1"/>
  <c r="C825" i="8" s="1"/>
  <c r="C826" i="8" a="1"/>
  <c r="C826" i="8" s="1"/>
  <c r="C823" i="8" a="1"/>
  <c r="C823" i="8" s="1"/>
  <c r="C824" i="8" a="1"/>
  <c r="C824" i="8" s="1"/>
  <c r="C821" i="8" a="1"/>
  <c r="C821" i="8" s="1"/>
  <c r="C784" i="8" a="1"/>
  <c r="C784" i="8" s="1"/>
  <c r="C696" i="8" a="1"/>
  <c r="C696" i="8" s="1"/>
  <c r="C822" i="8" a="1"/>
  <c r="C822" i="8" s="1"/>
  <c r="C820" i="8" a="1"/>
  <c r="C820" i="8" s="1"/>
  <c r="C818" i="8" a="1"/>
  <c r="C818" i="8" s="1"/>
  <c r="C815" i="8" a="1"/>
  <c r="C815" i="8" s="1"/>
  <c r="C816" i="8" a="1"/>
  <c r="C816" i="8" s="1"/>
  <c r="C793" i="8" a="1"/>
  <c r="C793" i="8" s="1"/>
  <c r="C803" i="8" a="1"/>
  <c r="C803" i="8" s="1"/>
  <c r="C802" i="8" a="1"/>
  <c r="C802" i="8" s="1"/>
  <c r="C814" i="8" a="1"/>
  <c r="C814" i="8" s="1"/>
  <c r="C813" i="8" a="1"/>
  <c r="C813" i="8" s="1"/>
  <c r="C812" i="8" a="1"/>
  <c r="C812" i="8" s="1"/>
  <c r="C811" i="8" a="1"/>
  <c r="C811" i="8" s="1"/>
  <c r="C772" i="8" a="1"/>
  <c r="C772" i="8" s="1"/>
  <c r="C773" i="8" a="1"/>
  <c r="C773" i="8" s="1"/>
  <c r="C750" i="8" a="1"/>
  <c r="C750" i="8" s="1"/>
  <c r="C749" i="8" a="1"/>
  <c r="C749" i="8" s="1"/>
  <c r="C716" i="8" a="1"/>
  <c r="C716" i="8" s="1"/>
  <c r="C715" i="8" a="1"/>
  <c r="C715" i="8" s="1"/>
  <c r="C676" i="8" a="1"/>
  <c r="C676" i="8" s="1"/>
  <c r="C675" i="8" a="1"/>
  <c r="C675" i="8" s="1"/>
  <c r="C655" i="8" a="1"/>
  <c r="C655" i="8" s="1"/>
  <c r="C654" i="8" a="1"/>
  <c r="C654" i="8" s="1"/>
  <c r="C810" i="8" a="1"/>
  <c r="C810" i="8" s="1"/>
  <c r="C809" i="8" a="1"/>
  <c r="C809" i="8" s="1"/>
  <c r="C805" i="8" a="1"/>
  <c r="C805" i="8" s="1"/>
  <c r="C808" i="8" a="1"/>
  <c r="C808" i="8" s="1"/>
  <c r="C804" i="8" a="1"/>
  <c r="C804" i="8" s="1"/>
  <c r="C792" i="8" a="1"/>
  <c r="C792" i="8" s="1"/>
  <c r="C795" i="8" a="1"/>
  <c r="C795" i="8" s="1"/>
  <c r="C794" i="8" a="1"/>
  <c r="C794" i="8" s="1"/>
  <c r="C759" i="8" a="1"/>
  <c r="C759" i="8" s="1"/>
  <c r="C790" i="8" a="1"/>
  <c r="C790" i="8" s="1"/>
  <c r="C789" i="8" a="1"/>
  <c r="C789" i="8" s="1"/>
  <c r="C788" i="8" a="1"/>
  <c r="C788" i="8" s="1"/>
  <c r="C787" i="8" a="1"/>
  <c r="C787" i="8" s="1"/>
  <c r="C786" i="8" a="1"/>
  <c r="C786" i="8" s="1"/>
  <c r="C632" i="8" a="1"/>
  <c r="C632" i="8" s="1"/>
  <c r="C633" i="8" a="1"/>
  <c r="C633" i="8" s="1"/>
  <c r="C527" i="8" a="1"/>
  <c r="C527" i="8" s="1"/>
  <c r="C528" i="8" a="1"/>
  <c r="C528" i="8" s="1"/>
  <c r="C769" i="8" a="1"/>
  <c r="C769" i="8" s="1"/>
  <c r="C770" i="8" a="1"/>
  <c r="C770" i="8" s="1"/>
  <c r="C744" i="8" a="1"/>
  <c r="C744" i="8" s="1"/>
  <c r="C745" i="8" a="1"/>
  <c r="C745" i="8" s="1"/>
  <c r="C785" i="8" a="1"/>
  <c r="C785" i="8" s="1"/>
  <c r="C771" i="8" a="1"/>
  <c r="C771" i="8" s="1"/>
  <c r="C783" i="8" a="1"/>
  <c r="C783" i="8" s="1"/>
  <c r="C782" i="8" a="1"/>
  <c r="C782" i="8" s="1"/>
  <c r="C774" i="8" a="1"/>
  <c r="C774" i="8" s="1"/>
  <c r="C767" i="8" a="1"/>
  <c r="C767" i="8" s="1"/>
  <c r="C765" i="8" a="1"/>
  <c r="C765" i="8" s="1"/>
  <c r="C764" i="8" a="1"/>
  <c r="C764" i="8" s="1"/>
  <c r="C761" i="8" a="1"/>
  <c r="C761" i="8" s="1"/>
  <c r="C766" i="8" a="1"/>
  <c r="C766" i="8" s="1"/>
  <c r="C763" i="8" a="1"/>
  <c r="C763" i="8" s="1"/>
  <c r="C762" i="8" a="1"/>
  <c r="C762" i="8" s="1"/>
  <c r="C757" i="8" a="1"/>
  <c r="C757" i="8" s="1"/>
  <c r="C743" i="8" a="1"/>
  <c r="C743" i="8" s="1"/>
  <c r="C726" i="8" a="1"/>
  <c r="C726" i="8" s="1"/>
  <c r="C756" i="8" a="1"/>
  <c r="C756" i="8" s="1"/>
  <c r="C755" i="8" a="1"/>
  <c r="C755" i="8" s="1"/>
  <c r="C748" i="8" a="1"/>
  <c r="C748" i="8" s="1"/>
  <c r="C754" i="8" a="1"/>
  <c r="C754" i="8" s="1"/>
  <c r="C753" i="8" a="1"/>
  <c r="C753" i="8" s="1"/>
  <c r="C752" i="8" a="1"/>
  <c r="C752" i="8" s="1"/>
  <c r="C751" i="8" a="1"/>
  <c r="C751" i="8" s="1"/>
  <c r="C710" i="8" a="1"/>
  <c r="C710" i="8" s="1"/>
  <c r="C733" i="8" a="1"/>
  <c r="C733" i="8" s="1"/>
  <c r="C736" i="8" a="1"/>
  <c r="C736" i="8" s="1"/>
  <c r="C735" i="8" a="1"/>
  <c r="C735" i="8" s="1"/>
  <c r="C734" i="8" a="1"/>
  <c r="C734" i="8" s="1"/>
  <c r="C731" i="8" a="1"/>
  <c r="C731" i="8" s="1"/>
  <c r="C732" i="8" a="1"/>
  <c r="C732" i="8" s="1"/>
  <c r="C730" i="8" a="1"/>
  <c r="C730" i="8" s="1"/>
  <c r="C729" i="8" a="1"/>
  <c r="C729" i="8" s="1"/>
  <c r="C728" i="8" a="1"/>
  <c r="C728" i="8" s="1"/>
  <c r="C727" i="8" a="1"/>
  <c r="C727" i="8" s="1"/>
  <c r="C718" i="8" a="1"/>
  <c r="C718" i="8" s="1"/>
  <c r="C724" i="8" a="1"/>
  <c r="C724" i="8" s="1"/>
  <c r="C723" i="8" a="1"/>
  <c r="C723" i="8" s="1"/>
  <c r="C722" i="8" a="1"/>
  <c r="C722" i="8" s="1"/>
  <c r="C721" i="8" a="1"/>
  <c r="C721" i="8" s="1"/>
  <c r="C712" i="8" a="1"/>
  <c r="C712" i="8" s="1"/>
  <c r="C720" i="8" a="1"/>
  <c r="C720" i="8" s="1"/>
  <c r="C719" i="8" a="1"/>
  <c r="C719" i="8" s="1"/>
  <c r="C691" i="8" a="1"/>
  <c r="C691" i="8" s="1"/>
  <c r="C709" i="8" a="1"/>
  <c r="C709" i="8" s="1"/>
  <c r="C703" i="8" a="1"/>
  <c r="C703" i="8" s="1"/>
  <c r="C692" i="8" a="1"/>
  <c r="C692" i="8" s="1"/>
  <c r="C717" i="8" a="1"/>
  <c r="C717" i="8" s="1"/>
  <c r="C714" i="8" a="1"/>
  <c r="C714" i="8" s="1"/>
  <c r="C713" i="8" a="1"/>
  <c r="C713" i="8" s="1"/>
  <c r="C704" i="8" a="1"/>
  <c r="C704" i="8" s="1"/>
  <c r="C708" i="8" a="1"/>
  <c r="C708" i="8" s="1"/>
  <c r="C707" i="8" a="1"/>
  <c r="C707" i="8" s="1"/>
  <c r="C706" i="8" a="1"/>
  <c r="C706" i="8" s="1"/>
  <c r="C705" i="8" a="1"/>
  <c r="C705" i="8" s="1"/>
  <c r="C677" i="8" a="1"/>
  <c r="C677" i="8" s="1"/>
  <c r="C672" i="8" a="1"/>
  <c r="C672" i="8" s="1"/>
  <c r="F878" i="8"/>
  <c r="F877" i="8"/>
  <c r="F876" i="8"/>
  <c r="F875" i="8"/>
  <c r="F872" i="8"/>
  <c r="F852" i="8"/>
  <c r="F853" i="8"/>
  <c r="F870" i="8"/>
  <c r="F871" i="8"/>
  <c r="F846" i="8"/>
  <c r="F865" i="8"/>
  <c r="F861" i="8"/>
  <c r="F844" i="8"/>
  <c r="F845" i="8"/>
  <c r="F868" i="8"/>
  <c r="F867" i="8"/>
  <c r="F866" i="8"/>
  <c r="F863" i="8"/>
  <c r="F860" i="8"/>
  <c r="F847" i="8"/>
  <c r="F851" i="8"/>
  <c r="F850" i="8"/>
  <c r="F849" i="8"/>
  <c r="F848" i="8"/>
  <c r="F832" i="8"/>
  <c r="F807" i="8"/>
  <c r="F842" i="8"/>
  <c r="F819" i="8"/>
  <c r="F841" i="8"/>
  <c r="F831" i="8"/>
  <c r="F828" i="8"/>
  <c r="F830" i="8"/>
  <c r="F829" i="8"/>
  <c r="F825" i="8"/>
  <c r="F826" i="8"/>
  <c r="F823" i="8"/>
  <c r="F824" i="8"/>
  <c r="F821" i="8"/>
  <c r="F784" i="8"/>
  <c r="F696" i="8"/>
  <c r="F822" i="8"/>
  <c r="F820" i="8"/>
  <c r="F818" i="8"/>
  <c r="F815" i="8"/>
  <c r="F816" i="8"/>
  <c r="F793" i="8"/>
  <c r="F803" i="8"/>
  <c r="F802" i="8"/>
  <c r="F814" i="8"/>
  <c r="F813" i="8"/>
  <c r="F812" i="8"/>
  <c r="F811" i="8"/>
  <c r="F772" i="8"/>
  <c r="F773" i="8"/>
  <c r="F750" i="8"/>
  <c r="F749" i="8"/>
  <c r="F716" i="8"/>
  <c r="F715" i="8"/>
  <c r="F676" i="8"/>
  <c r="F675" i="8"/>
  <c r="F655" i="8"/>
  <c r="F654" i="8"/>
  <c r="F810" i="8"/>
  <c r="F809" i="8"/>
  <c r="F805" i="8"/>
  <c r="F808" i="8"/>
  <c r="F804" i="8"/>
  <c r="F792" i="8"/>
  <c r="F795" i="8"/>
  <c r="F794" i="8"/>
  <c r="F759" i="8"/>
  <c r="F790" i="8"/>
  <c r="F789" i="8"/>
  <c r="F788" i="8"/>
  <c r="F787" i="8"/>
  <c r="F786" i="8"/>
  <c r="F632" i="8"/>
  <c r="F633" i="8"/>
  <c r="F527" i="8"/>
  <c r="F528" i="8"/>
  <c r="F769" i="8"/>
  <c r="F770" i="8"/>
  <c r="F744" i="8"/>
  <c r="F745" i="8"/>
  <c r="F785" i="8"/>
  <c r="F771" i="8"/>
  <c r="F783" i="8"/>
  <c r="F782" i="8"/>
  <c r="F774" i="8"/>
  <c r="F767" i="8"/>
  <c r="F765" i="8"/>
  <c r="F764" i="8"/>
  <c r="F761" i="8"/>
  <c r="F766" i="8"/>
  <c r="F763" i="8"/>
  <c r="F762" i="8"/>
  <c r="F757" i="8"/>
  <c r="F743" i="8"/>
  <c r="F726" i="8"/>
  <c r="F756" i="8"/>
  <c r="F755" i="8"/>
  <c r="F748" i="8"/>
  <c r="F754" i="8"/>
  <c r="F753" i="8"/>
  <c r="F752" i="8"/>
  <c r="F751" i="8"/>
  <c r="F710" i="8"/>
  <c r="F733" i="8"/>
  <c r="F736" i="8"/>
  <c r="F735" i="8"/>
  <c r="F734" i="8"/>
  <c r="F731" i="8"/>
  <c r="F732" i="8"/>
  <c r="F730" i="8"/>
  <c r="F729" i="8"/>
  <c r="F728" i="8"/>
  <c r="F727" i="8"/>
  <c r="F718" i="8"/>
  <c r="F724" i="8"/>
  <c r="F723" i="8"/>
  <c r="F722" i="8"/>
  <c r="F721" i="8"/>
  <c r="F712" i="8"/>
  <c r="F720" i="8"/>
  <c r="F719" i="8"/>
  <c r="F691" i="8"/>
  <c r="F709" i="8"/>
  <c r="F703" i="8"/>
  <c r="F692" i="8"/>
  <c r="F717" i="8"/>
  <c r="F714" i="8"/>
  <c r="F713" i="8"/>
  <c r="F704" i="8"/>
  <c r="F708" i="8"/>
  <c r="F707" i="8"/>
  <c r="F706" i="8"/>
  <c r="F705" i="8"/>
  <c r="F677" i="8"/>
  <c r="F672" i="8"/>
  <c r="B22" i="13"/>
  <c r="B21" i="13"/>
  <c r="B20" i="13"/>
  <c r="I76" i="20" l="1"/>
  <c r="I750" i="20"/>
  <c r="I266" i="20"/>
  <c r="I546" i="20"/>
  <c r="H344" i="20"/>
  <c r="J457" i="20"/>
  <c r="I294" i="20"/>
  <c r="H321" i="20"/>
  <c r="I1196" i="20"/>
  <c r="I122" i="20"/>
  <c r="I434" i="20"/>
  <c r="H338" i="20"/>
  <c r="H427" i="20"/>
  <c r="I262" i="20"/>
  <c r="H677" i="20"/>
  <c r="J206" i="20"/>
  <c r="H834" i="20"/>
  <c r="I691" i="20"/>
  <c r="I873" i="20"/>
  <c r="J1091" i="20"/>
  <c r="J28" i="20"/>
  <c r="J73" i="20"/>
  <c r="I159" i="20"/>
  <c r="I186" i="20"/>
  <c r="J199" i="20"/>
  <c r="I286" i="20"/>
  <c r="H402" i="20"/>
  <c r="J730" i="20"/>
  <c r="J873" i="20"/>
  <c r="I274" i="20"/>
  <c r="J186" i="20"/>
  <c r="J1059" i="20"/>
  <c r="I90" i="20"/>
  <c r="I32" i="20"/>
  <c r="H198" i="20"/>
  <c r="I250" i="20"/>
  <c r="I298" i="20"/>
  <c r="J431" i="20"/>
  <c r="I619" i="20"/>
  <c r="I719" i="20"/>
  <c r="H496" i="20"/>
  <c r="I282" i="20"/>
  <c r="J312" i="20"/>
  <c r="I454" i="20"/>
  <c r="H25" i="20"/>
  <c r="I254" i="20"/>
  <c r="H639" i="20"/>
  <c r="I835" i="20"/>
  <c r="H24" i="20"/>
  <c r="J170" i="20"/>
  <c r="H199" i="20"/>
  <c r="I210" i="20"/>
  <c r="J45" i="20"/>
  <c r="I190" i="20"/>
  <c r="I270" i="20"/>
  <c r="J320" i="20"/>
  <c r="I327" i="20"/>
  <c r="J337" i="20"/>
  <c r="H354" i="20"/>
  <c r="H480" i="20"/>
  <c r="I527" i="20"/>
  <c r="I754" i="20"/>
  <c r="H791" i="20"/>
  <c r="H847" i="20"/>
  <c r="H1029" i="20"/>
  <c r="I1078" i="20"/>
  <c r="I1111" i="20"/>
  <c r="J198" i="20"/>
  <c r="I246" i="20"/>
  <c r="I278" i="20"/>
  <c r="I306" i="20"/>
  <c r="H311" i="20"/>
  <c r="I407" i="20"/>
  <c r="I453" i="20"/>
  <c r="H459" i="20"/>
  <c r="H662" i="20"/>
  <c r="J717" i="20"/>
  <c r="H734" i="20"/>
  <c r="J749" i="20"/>
  <c r="I883" i="20"/>
  <c r="J1016" i="20"/>
  <c r="H1088" i="20"/>
  <c r="I662" i="20"/>
  <c r="J734" i="20"/>
  <c r="I674" i="20"/>
  <c r="I915" i="20"/>
  <c r="H986" i="20"/>
  <c r="H97" i="20"/>
  <c r="J161" i="20"/>
  <c r="J182" i="20"/>
  <c r="I258" i="20"/>
  <c r="I290" i="20"/>
  <c r="I321" i="20"/>
  <c r="H360" i="20"/>
  <c r="I370" i="20"/>
  <c r="H458" i="20"/>
  <c r="H528" i="20"/>
  <c r="H657" i="20"/>
  <c r="J689" i="20"/>
  <c r="I867" i="20"/>
  <c r="I874" i="20"/>
  <c r="H923" i="20"/>
  <c r="I986" i="20"/>
  <c r="I1048" i="20"/>
  <c r="J1128" i="20"/>
  <c r="J458" i="20"/>
  <c r="I571" i="20"/>
  <c r="J1048" i="20"/>
  <c r="I207" i="20"/>
  <c r="J246" i="20"/>
  <c r="J250" i="20"/>
  <c r="J254" i="20"/>
  <c r="J258" i="20"/>
  <c r="J262" i="20"/>
  <c r="J266" i="20"/>
  <c r="J270" i="20"/>
  <c r="J274" i="20"/>
  <c r="J278" i="20"/>
  <c r="J282" i="20"/>
  <c r="J286" i="20"/>
  <c r="J290" i="20"/>
  <c r="J294" i="20"/>
  <c r="J298" i="20"/>
  <c r="H319" i="20"/>
  <c r="H343" i="20"/>
  <c r="I385" i="20"/>
  <c r="J520" i="20"/>
  <c r="H650" i="20"/>
  <c r="J690" i="20"/>
  <c r="J745" i="20"/>
  <c r="J761" i="20"/>
  <c r="H793" i="20"/>
  <c r="I806" i="20"/>
  <c r="H822" i="20"/>
  <c r="H843" i="20"/>
  <c r="H899" i="20"/>
  <c r="I935" i="20"/>
  <c r="J946" i="20"/>
  <c r="J1060" i="20"/>
  <c r="H1069" i="20"/>
  <c r="I1194" i="20"/>
  <c r="I68" i="20"/>
  <c r="H103" i="20"/>
  <c r="H109" i="20"/>
  <c r="H110" i="20"/>
  <c r="H126" i="20"/>
  <c r="I109" i="20"/>
  <c r="I110" i="20"/>
  <c r="H122" i="20"/>
  <c r="I126" i="20"/>
  <c r="I182" i="20"/>
  <c r="I206" i="20"/>
  <c r="J207" i="20"/>
  <c r="H210" i="20"/>
  <c r="I312" i="20"/>
  <c r="I319" i="20"/>
  <c r="I343" i="20"/>
  <c r="H407" i="20"/>
  <c r="H475" i="20"/>
  <c r="H694" i="20"/>
  <c r="H805" i="20"/>
  <c r="J806" i="20"/>
  <c r="H842" i="20"/>
  <c r="J893" i="20"/>
  <c r="I899" i="20"/>
  <c r="J913" i="20"/>
  <c r="I934" i="20"/>
  <c r="I963" i="20"/>
  <c r="I1003" i="20"/>
  <c r="H1027" i="20"/>
  <c r="H1047" i="20"/>
  <c r="I1068" i="20"/>
  <c r="H1104" i="20"/>
  <c r="H1146" i="20"/>
  <c r="H1182" i="20"/>
  <c r="I1193" i="20"/>
  <c r="I694" i="20"/>
  <c r="J934" i="20"/>
  <c r="H982" i="20"/>
  <c r="J1193" i="20"/>
  <c r="I16" i="20"/>
  <c r="H42" i="20"/>
  <c r="H49" i="20"/>
  <c r="J162" i="20"/>
  <c r="H177" i="20"/>
  <c r="I311" i="20"/>
  <c r="H322" i="20"/>
  <c r="J327" i="20"/>
  <c r="H359" i="20"/>
  <c r="J377" i="20"/>
  <c r="H399" i="20"/>
  <c r="I459" i="20"/>
  <c r="H474" i="20"/>
  <c r="J475" i="20"/>
  <c r="I584" i="20"/>
  <c r="H693" i="20"/>
  <c r="H709" i="20"/>
  <c r="J718" i="20"/>
  <c r="I747" i="20"/>
  <c r="J930" i="20"/>
  <c r="I951" i="20"/>
  <c r="H1035" i="20"/>
  <c r="H1109" i="20"/>
  <c r="I1129" i="20"/>
  <c r="I1213" i="20"/>
  <c r="I49" i="20"/>
  <c r="I73" i="20"/>
  <c r="I98" i="20"/>
  <c r="I177" i="20"/>
  <c r="I359" i="20"/>
  <c r="I474" i="20"/>
  <c r="H993" i="20"/>
  <c r="J996" i="20"/>
  <c r="I1109" i="20"/>
  <c r="I1227" i="20"/>
  <c r="J1233" i="20"/>
  <c r="H12" i="20"/>
  <c r="J21" i="20"/>
  <c r="I28" i="20"/>
  <c r="J32" i="20"/>
  <c r="I131" i="20"/>
  <c r="J190" i="20"/>
  <c r="J351" i="20"/>
  <c r="I603" i="20"/>
  <c r="H674" i="20"/>
  <c r="I678" i="20"/>
  <c r="H705" i="20"/>
  <c r="H730" i="20"/>
  <c r="J750" i="20"/>
  <c r="I782" i="20"/>
  <c r="J797" i="20"/>
  <c r="I847" i="20"/>
  <c r="I932" i="20"/>
  <c r="I947" i="20"/>
  <c r="I1049" i="20"/>
  <c r="J1099" i="20"/>
  <c r="I1161" i="20"/>
  <c r="I1195" i="20"/>
  <c r="H1218" i="20"/>
  <c r="J612" i="20"/>
  <c r="I612" i="20"/>
  <c r="H875" i="20"/>
  <c r="J1037" i="20"/>
  <c r="H1037" i="20"/>
  <c r="H76" i="20"/>
  <c r="H320" i="20"/>
  <c r="I416" i="20"/>
  <c r="J472" i="20"/>
  <c r="I472" i="20"/>
  <c r="J479" i="20"/>
  <c r="I659" i="20"/>
  <c r="H659" i="20"/>
  <c r="J688" i="20"/>
  <c r="I833" i="20"/>
  <c r="J962" i="20"/>
  <c r="H1025" i="20"/>
  <c r="J1045" i="20"/>
  <c r="I1045" i="20"/>
  <c r="H1045" i="20"/>
  <c r="I1131" i="20"/>
  <c r="I1145" i="20"/>
  <c r="L1217" i="20"/>
  <c r="J649" i="20"/>
  <c r="H649" i="20"/>
  <c r="I900" i="20"/>
  <c r="H134" i="20"/>
  <c r="H203" i="20"/>
  <c r="H393" i="20"/>
  <c r="H418" i="20"/>
  <c r="J608" i="20"/>
  <c r="I608" i="20"/>
  <c r="J661" i="20"/>
  <c r="H661" i="20"/>
  <c r="J914" i="20"/>
  <c r="I1130" i="20"/>
  <c r="H1130" i="20"/>
  <c r="H1178" i="20"/>
  <c r="I1181" i="20"/>
  <c r="I787" i="20"/>
  <c r="H787" i="20"/>
  <c r="I25" i="20"/>
  <c r="H133" i="20"/>
  <c r="H243" i="20"/>
  <c r="J24" i="20"/>
  <c r="I52" i="20"/>
  <c r="I53" i="20"/>
  <c r="I70" i="20"/>
  <c r="I93" i="20"/>
  <c r="H105" i="20"/>
  <c r="H106" i="20"/>
  <c r="I113" i="20"/>
  <c r="I133" i="20"/>
  <c r="I134" i="20"/>
  <c r="I149" i="20"/>
  <c r="H167" i="20"/>
  <c r="H174" i="20"/>
  <c r="I202" i="20"/>
  <c r="I203" i="20"/>
  <c r="I243" i="20"/>
  <c r="H329" i="20"/>
  <c r="I330" i="20"/>
  <c r="H392" i="20"/>
  <c r="I393" i="20"/>
  <c r="H423" i="20"/>
  <c r="I456" i="20"/>
  <c r="I683" i="20"/>
  <c r="J733" i="20"/>
  <c r="H733" i="20"/>
  <c r="I746" i="20"/>
  <c r="H746" i="20"/>
  <c r="J786" i="20"/>
  <c r="I786" i="20"/>
  <c r="J821" i="20"/>
  <c r="I821" i="20"/>
  <c r="J1018" i="20"/>
  <c r="I1018" i="20"/>
  <c r="J1041" i="20"/>
  <c r="H202" i="20"/>
  <c r="H40" i="20"/>
  <c r="H45" i="20"/>
  <c r="J52" i="20"/>
  <c r="J53" i="20"/>
  <c r="I105" i="20"/>
  <c r="I106" i="20"/>
  <c r="J113" i="20"/>
  <c r="J149" i="20"/>
  <c r="H161" i="20"/>
  <c r="H162" i="20"/>
  <c r="H170" i="20"/>
  <c r="I174" i="20"/>
  <c r="H227" i="20"/>
  <c r="H313" i="20"/>
  <c r="H328" i="20"/>
  <c r="I329" i="20"/>
  <c r="H335" i="20"/>
  <c r="I352" i="20"/>
  <c r="H386" i="20"/>
  <c r="I391" i="20"/>
  <c r="I392" i="20"/>
  <c r="I423" i="20"/>
  <c r="J456" i="20"/>
  <c r="I587" i="20"/>
  <c r="J616" i="20"/>
  <c r="I616" i="20"/>
  <c r="J746" i="20"/>
  <c r="J762" i="20"/>
  <c r="I762" i="20"/>
  <c r="H762" i="20"/>
  <c r="H786" i="20"/>
  <c r="J798" i="20"/>
  <c r="I798" i="20"/>
  <c r="H798" i="20"/>
  <c r="H1018" i="20"/>
  <c r="J673" i="20"/>
  <c r="H673" i="20"/>
  <c r="I170" i="20"/>
  <c r="I313" i="20"/>
  <c r="I328" i="20"/>
  <c r="J392" i="20"/>
  <c r="I417" i="20"/>
  <c r="I686" i="20"/>
  <c r="J729" i="20"/>
  <c r="H729" i="20"/>
  <c r="H779" i="20"/>
  <c r="I841" i="20"/>
  <c r="J1010" i="20"/>
  <c r="J1067" i="20"/>
  <c r="I626" i="20"/>
  <c r="H626" i="20"/>
  <c r="J950" i="20"/>
  <c r="I554" i="20"/>
  <c r="H554" i="20"/>
  <c r="J785" i="20"/>
  <c r="H785" i="20"/>
  <c r="H823" i="20"/>
  <c r="I1112" i="20"/>
  <c r="I931" i="20"/>
  <c r="H947" i="20"/>
  <c r="H1039" i="20"/>
  <c r="J1049" i="20"/>
  <c r="I1073" i="20"/>
  <c r="J1161" i="20"/>
  <c r="H1194" i="20"/>
  <c r="H1234" i="20"/>
  <c r="L953" i="20"/>
  <c r="J459" i="20"/>
  <c r="H520" i="20"/>
  <c r="J662" i="20"/>
  <c r="J672" i="20"/>
  <c r="H722" i="20"/>
  <c r="I726" i="20"/>
  <c r="J986" i="20"/>
  <c r="I620" i="20"/>
  <c r="H658" i="20"/>
  <c r="H690" i="20"/>
  <c r="H706" i="20"/>
  <c r="H710" i="20"/>
  <c r="H718" i="20"/>
  <c r="I1044" i="20"/>
  <c r="H1056" i="20"/>
  <c r="H1060" i="20"/>
  <c r="I1156" i="20"/>
  <c r="I1163" i="20"/>
  <c r="J658" i="20"/>
  <c r="J706" i="20"/>
  <c r="J710" i="20"/>
  <c r="H1049" i="20"/>
  <c r="J1056" i="20"/>
  <c r="I1060" i="20"/>
  <c r="J1104" i="20"/>
  <c r="J1111" i="20"/>
  <c r="I1128" i="20"/>
  <c r="H1162" i="20"/>
  <c r="I948" i="20"/>
  <c r="J33" i="20"/>
  <c r="I33" i="20"/>
  <c r="J56" i="20"/>
  <c r="I56" i="20"/>
  <c r="J142" i="20"/>
  <c r="I142" i="20"/>
  <c r="H142" i="20"/>
  <c r="J163" i="20"/>
  <c r="I163" i="20"/>
  <c r="H163" i="20"/>
  <c r="J398" i="20"/>
  <c r="I4" i="20"/>
  <c r="J4" i="20"/>
  <c r="H56" i="20"/>
  <c r="J135" i="20"/>
  <c r="H135" i="20"/>
  <c r="I135" i="20"/>
  <c r="J141" i="20"/>
  <c r="I141" i="20"/>
  <c r="J358" i="20"/>
  <c r="I376" i="20"/>
  <c r="J376" i="20"/>
  <c r="H376" i="20"/>
  <c r="J566" i="20"/>
  <c r="H566" i="20"/>
  <c r="I566" i="20"/>
  <c r="J598" i="20"/>
  <c r="H598" i="20"/>
  <c r="I598" i="20"/>
  <c r="J267" i="20"/>
  <c r="I267" i="20"/>
  <c r="H267" i="20"/>
  <c r="H275" i="20"/>
  <c r="J275" i="20"/>
  <c r="I275" i="20"/>
  <c r="J325" i="20"/>
  <c r="I415" i="20"/>
  <c r="H415" i="20"/>
  <c r="J415" i="20"/>
  <c r="J29" i="20"/>
  <c r="I29" i="20"/>
  <c r="J60" i="20"/>
  <c r="I60" i="20"/>
  <c r="H60" i="20"/>
  <c r="H78" i="20"/>
  <c r="J78" i="20"/>
  <c r="I78" i="20"/>
  <c r="J111" i="20"/>
  <c r="I645" i="20"/>
  <c r="J645" i="20"/>
  <c r="H645" i="20"/>
  <c r="J666" i="20"/>
  <c r="I666" i="20"/>
  <c r="H666" i="20"/>
  <c r="H8" i="20"/>
  <c r="J8" i="20"/>
  <c r="I8" i="20"/>
  <c r="J26" i="20"/>
  <c r="H29" i="20"/>
  <c r="J50" i="20"/>
  <c r="J77" i="20"/>
  <c r="I77" i="20"/>
  <c r="J107" i="20"/>
  <c r="J145" i="20"/>
  <c r="H145" i="20"/>
  <c r="I145" i="20"/>
  <c r="H551" i="20"/>
  <c r="I551" i="20"/>
  <c r="J259" i="20"/>
  <c r="I259" i="20"/>
  <c r="H259" i="20"/>
  <c r="J291" i="20"/>
  <c r="I291" i="20"/>
  <c r="H291" i="20"/>
  <c r="H299" i="20"/>
  <c r="J299" i="20"/>
  <c r="I299" i="20"/>
  <c r="H369" i="20"/>
  <c r="I369" i="20"/>
  <c r="J369" i="20"/>
  <c r="J54" i="20"/>
  <c r="I54" i="20"/>
  <c r="J409" i="20"/>
  <c r="I409" i="20"/>
  <c r="H409" i="20"/>
  <c r="J558" i="20"/>
  <c r="H558" i="20"/>
  <c r="I558" i="20"/>
  <c r="J590" i="20"/>
  <c r="H590" i="20"/>
  <c r="I590" i="20"/>
  <c r="J36" i="20"/>
  <c r="I36" i="20"/>
  <c r="H36" i="20"/>
  <c r="J64" i="20"/>
  <c r="H64" i="20"/>
  <c r="I64" i="20"/>
  <c r="H83" i="20"/>
  <c r="J138" i="20"/>
  <c r="I138" i="20"/>
  <c r="H138" i="20"/>
  <c r="J165" i="20"/>
  <c r="I165" i="20"/>
  <c r="J205" i="20"/>
  <c r="H507" i="20"/>
  <c r="J507" i="20"/>
  <c r="I507" i="20"/>
  <c r="H511" i="20"/>
  <c r="I511" i="20"/>
  <c r="H523" i="20"/>
  <c r="J523" i="20"/>
  <c r="I523" i="20"/>
  <c r="J582" i="20"/>
  <c r="H582" i="20"/>
  <c r="I582" i="20"/>
  <c r="J137" i="20"/>
  <c r="I137" i="20"/>
  <c r="H287" i="20"/>
  <c r="J287" i="20"/>
  <c r="I287" i="20"/>
  <c r="H295" i="20"/>
  <c r="J295" i="20"/>
  <c r="I295" i="20"/>
  <c r="J301" i="20"/>
  <c r="J802" i="20"/>
  <c r="I802" i="20"/>
  <c r="H802" i="20"/>
  <c r="H818" i="20"/>
  <c r="J818" i="20"/>
  <c r="I818" i="20"/>
  <c r="I852" i="20"/>
  <c r="H945" i="20"/>
  <c r="M976" i="20"/>
  <c r="L976" i="20"/>
  <c r="I980" i="20"/>
  <c r="I114" i="20"/>
  <c r="J114" i="20"/>
  <c r="I211" i="20"/>
  <c r="H211" i="20"/>
  <c r="J211" i="20"/>
  <c r="H251" i="20"/>
  <c r="J251" i="20"/>
  <c r="I251" i="20"/>
  <c r="H283" i="20"/>
  <c r="J283" i="20"/>
  <c r="I283" i="20"/>
  <c r="J46" i="20"/>
  <c r="J74" i="20"/>
  <c r="I74" i="20"/>
  <c r="I82" i="20"/>
  <c r="J183" i="20"/>
  <c r="J201" i="20"/>
  <c r="J245" i="20"/>
  <c r="H247" i="20"/>
  <c r="J247" i="20"/>
  <c r="I247" i="20"/>
  <c r="H255" i="20"/>
  <c r="J255" i="20"/>
  <c r="I255" i="20"/>
  <c r="H263" i="20"/>
  <c r="J263" i="20"/>
  <c r="I263" i="20"/>
  <c r="H271" i="20"/>
  <c r="J271" i="20"/>
  <c r="I271" i="20"/>
  <c r="H279" i="20"/>
  <c r="J279" i="20"/>
  <c r="I279" i="20"/>
  <c r="I5" i="20"/>
  <c r="J5" i="20"/>
  <c r="J57" i="20"/>
  <c r="I57" i="20"/>
  <c r="H57" i="20"/>
  <c r="H74" i="20"/>
  <c r="J81" i="20"/>
  <c r="I81" i="20"/>
  <c r="J117" i="20"/>
  <c r="I117" i="20"/>
  <c r="H117" i="20"/>
  <c r="H137" i="20"/>
  <c r="H244" i="20"/>
  <c r="J439" i="20"/>
  <c r="I439" i="20"/>
  <c r="H439" i="20"/>
  <c r="J574" i="20"/>
  <c r="H574" i="20"/>
  <c r="I574" i="20"/>
  <c r="J606" i="20"/>
  <c r="H606" i="20"/>
  <c r="I606" i="20"/>
  <c r="J265" i="20"/>
  <c r="J350" i="20"/>
  <c r="J375" i="20"/>
  <c r="J532" i="20"/>
  <c r="H532" i="20"/>
  <c r="J34" i="20"/>
  <c r="J115" i="20"/>
  <c r="H218" i="20"/>
  <c r="H222" i="20"/>
  <c r="H248" i="20"/>
  <c r="H252" i="20"/>
  <c r="J345" i="20"/>
  <c r="J349" i="20"/>
  <c r="J357" i="20"/>
  <c r="H367" i="20"/>
  <c r="I368" i="20"/>
  <c r="H375" i="20"/>
  <c r="J381" i="20"/>
  <c r="H381" i="20"/>
  <c r="J397" i="20"/>
  <c r="H397" i="20"/>
  <c r="J408" i="20"/>
  <c r="I408" i="20"/>
  <c r="J425" i="20"/>
  <c r="H425" i="20"/>
  <c r="J492" i="20"/>
  <c r="H492" i="20"/>
  <c r="J500" i="20"/>
  <c r="H500" i="20"/>
  <c r="J506" i="20"/>
  <c r="I506" i="20"/>
  <c r="J510" i="20"/>
  <c r="I510" i="20"/>
  <c r="J516" i="20"/>
  <c r="J522" i="20"/>
  <c r="I522" i="20"/>
  <c r="J614" i="20"/>
  <c r="H614" i="20"/>
  <c r="I665" i="20"/>
  <c r="J665" i="20"/>
  <c r="H665" i="20"/>
  <c r="I801" i="20"/>
  <c r="J801" i="20"/>
  <c r="H801" i="20"/>
  <c r="J918" i="20"/>
  <c r="I918" i="20"/>
  <c r="H918" i="20"/>
  <c r="J922" i="20"/>
  <c r="H922" i="20"/>
  <c r="I1102" i="20"/>
  <c r="H1108" i="20"/>
  <c r="J1108" i="20"/>
  <c r="H1127" i="20"/>
  <c r="J1186" i="20"/>
  <c r="I1186" i="20"/>
  <c r="H1186" i="20"/>
  <c r="H1210" i="20"/>
  <c r="H1225" i="20"/>
  <c r="I1225" i="20"/>
  <c r="J1225" i="20"/>
  <c r="J6" i="20"/>
  <c r="J30" i="20"/>
  <c r="J80" i="20"/>
  <c r="H166" i="20"/>
  <c r="H6" i="20"/>
  <c r="H9" i="20"/>
  <c r="H34" i="20"/>
  <c r="H37" i="20"/>
  <c r="J58" i="20"/>
  <c r="H65" i="20"/>
  <c r="H79" i="20"/>
  <c r="I115" i="20"/>
  <c r="H121" i="20"/>
  <c r="J139" i="20"/>
  <c r="J143" i="20"/>
  <c r="H146" i="20"/>
  <c r="I166" i="20"/>
  <c r="J167" i="20"/>
  <c r="H212" i="20"/>
  <c r="I214" i="20"/>
  <c r="H215" i="20"/>
  <c r="J217" i="20"/>
  <c r="I218" i="20"/>
  <c r="J221" i="20"/>
  <c r="I222" i="20"/>
  <c r="H226" i="20"/>
  <c r="H303" i="20"/>
  <c r="H304" i="20"/>
  <c r="H305" i="20"/>
  <c r="H337" i="20"/>
  <c r="J344" i="20"/>
  <c r="H345" i="20"/>
  <c r="H349" i="20"/>
  <c r="H357" i="20"/>
  <c r="H363" i="20"/>
  <c r="I375" i="20"/>
  <c r="H408" i="20"/>
  <c r="J414" i="20"/>
  <c r="I425" i="20"/>
  <c r="H433" i="20"/>
  <c r="I462" i="20"/>
  <c r="H491" i="20"/>
  <c r="I491" i="20"/>
  <c r="I492" i="20"/>
  <c r="H499" i="20"/>
  <c r="I499" i="20"/>
  <c r="I500" i="20"/>
  <c r="H539" i="20"/>
  <c r="M539" i="20"/>
  <c r="L539" i="20"/>
  <c r="J539" i="20"/>
  <c r="I539" i="20"/>
  <c r="H555" i="20"/>
  <c r="I555" i="20"/>
  <c r="I614" i="20"/>
  <c r="I669" i="20"/>
  <c r="J669" i="20"/>
  <c r="H669" i="20"/>
  <c r="J708" i="20"/>
  <c r="J738" i="20"/>
  <c r="H738" i="20"/>
  <c r="J744" i="20"/>
  <c r="H759" i="20"/>
  <c r="H850" i="20"/>
  <c r="J850" i="20"/>
  <c r="I850" i="20"/>
  <c r="J902" i="20"/>
  <c r="I902" i="20"/>
  <c r="I1038" i="20"/>
  <c r="J1038" i="20"/>
  <c r="H204" i="20"/>
  <c r="J209" i="20"/>
  <c r="J277" i="20"/>
  <c r="J281" i="20"/>
  <c r="J293" i="20"/>
  <c r="J309" i="20"/>
  <c r="J421" i="20"/>
  <c r="H487" i="20"/>
  <c r="H625" i="20"/>
  <c r="J213" i="20"/>
  <c r="H214" i="20"/>
  <c r="H2" i="20"/>
  <c r="I6" i="20"/>
  <c r="I9" i="20"/>
  <c r="J10" i="20"/>
  <c r="I34" i="20"/>
  <c r="I37" i="20"/>
  <c r="J38" i="20"/>
  <c r="I61" i="20"/>
  <c r="J62" i="20"/>
  <c r="I65" i="20"/>
  <c r="J66" i="20"/>
  <c r="J88" i="20"/>
  <c r="I89" i="20"/>
  <c r="J92" i="20"/>
  <c r="I118" i="20"/>
  <c r="J119" i="20"/>
  <c r="I121" i="20"/>
  <c r="I125" i="20"/>
  <c r="I146" i="20"/>
  <c r="J147" i="20"/>
  <c r="I169" i="20"/>
  <c r="I173" i="20"/>
  <c r="I215" i="20"/>
  <c r="H216" i="20"/>
  <c r="J218" i="20"/>
  <c r="I219" i="20"/>
  <c r="H220" i="20"/>
  <c r="I223" i="20"/>
  <c r="J225" i="20"/>
  <c r="I226" i="20"/>
  <c r="I303" i="20"/>
  <c r="I304" i="20"/>
  <c r="I305" i="20"/>
  <c r="H336" i="20"/>
  <c r="I345" i="20"/>
  <c r="J362" i="20"/>
  <c r="I362" i="20"/>
  <c r="J366" i="20"/>
  <c r="I383" i="20"/>
  <c r="H384" i="20"/>
  <c r="J390" i="20"/>
  <c r="H401" i="20"/>
  <c r="J424" i="20"/>
  <c r="H424" i="20"/>
  <c r="H432" i="20"/>
  <c r="I433" i="20"/>
  <c r="I441" i="20"/>
  <c r="H441" i="20"/>
  <c r="J491" i="20"/>
  <c r="J499" i="20"/>
  <c r="H509" i="20"/>
  <c r="H521" i="20"/>
  <c r="J530" i="20"/>
  <c r="I530" i="20"/>
  <c r="H553" i="20"/>
  <c r="J555" i="20"/>
  <c r="J562" i="20"/>
  <c r="H562" i="20"/>
  <c r="J570" i="20"/>
  <c r="H570" i="20"/>
  <c r="J578" i="20"/>
  <c r="H578" i="20"/>
  <c r="J586" i="20"/>
  <c r="M586" i="20"/>
  <c r="L586" i="20"/>
  <c r="H586" i="20"/>
  <c r="J594" i="20"/>
  <c r="H594" i="20"/>
  <c r="J602" i="20"/>
  <c r="H602" i="20"/>
  <c r="J622" i="20"/>
  <c r="H622" i="20"/>
  <c r="J642" i="20"/>
  <c r="I642" i="20"/>
  <c r="H642" i="20"/>
  <c r="M660" i="20"/>
  <c r="L660" i="20"/>
  <c r="J715" i="20"/>
  <c r="I715" i="20"/>
  <c r="H715" i="20"/>
  <c r="I737" i="20"/>
  <c r="H737" i="20"/>
  <c r="M758" i="20"/>
  <c r="L758" i="20"/>
  <c r="J758" i="20"/>
  <c r="H758" i="20"/>
  <c r="J1101" i="20"/>
  <c r="I1101" i="20"/>
  <c r="H1101" i="20"/>
  <c r="H1185" i="20"/>
  <c r="J1185" i="20"/>
  <c r="I1185" i="20"/>
  <c r="H1201" i="20"/>
  <c r="H1209" i="20"/>
  <c r="J1209" i="20"/>
  <c r="I1209" i="20"/>
  <c r="J273" i="20"/>
  <c r="J285" i="20"/>
  <c r="J3" i="20"/>
  <c r="J37" i="20"/>
  <c r="J89" i="20"/>
  <c r="J96" i="20"/>
  <c r="J99" i="20"/>
  <c r="J118" i="20"/>
  <c r="J121" i="20"/>
  <c r="J123" i="20"/>
  <c r="J125" i="20"/>
  <c r="J127" i="20"/>
  <c r="J146" i="20"/>
  <c r="J169" i="20"/>
  <c r="J171" i="20"/>
  <c r="J173" i="20"/>
  <c r="J175" i="20"/>
  <c r="J185" i="20"/>
  <c r="J189" i="20"/>
  <c r="J215" i="20"/>
  <c r="J219" i="20"/>
  <c r="J223" i="20"/>
  <c r="J226" i="20"/>
  <c r="J229" i="20"/>
  <c r="J302" i="20"/>
  <c r="J303" i="20"/>
  <c r="J304" i="20"/>
  <c r="J305" i="20"/>
  <c r="J326" i="20"/>
  <c r="J342" i="20"/>
  <c r="H353" i="20"/>
  <c r="J361" i="20"/>
  <c r="J373" i="20"/>
  <c r="H400" i="20"/>
  <c r="I424" i="20"/>
  <c r="I432" i="20"/>
  <c r="J433" i="20"/>
  <c r="J437" i="20"/>
  <c r="H437" i="20"/>
  <c r="J441" i="20"/>
  <c r="I446" i="20"/>
  <c r="H446" i="20"/>
  <c r="I461" i="20"/>
  <c r="H461" i="20"/>
  <c r="H513" i="20"/>
  <c r="M513" i="20"/>
  <c r="L513" i="20"/>
  <c r="J538" i="20"/>
  <c r="I538" i="20"/>
  <c r="I544" i="20"/>
  <c r="H544" i="20"/>
  <c r="I562" i="20"/>
  <c r="I570" i="20"/>
  <c r="I578" i="20"/>
  <c r="I586" i="20"/>
  <c r="I594" i="20"/>
  <c r="I602" i="20"/>
  <c r="J610" i="20"/>
  <c r="H610" i="20"/>
  <c r="I622" i="20"/>
  <c r="M714" i="20"/>
  <c r="L714" i="20"/>
  <c r="J714" i="20"/>
  <c r="H714" i="20"/>
  <c r="H727" i="20"/>
  <c r="J736" i="20"/>
  <c r="J737" i="20"/>
  <c r="J743" i="20"/>
  <c r="I743" i="20"/>
  <c r="I757" i="20"/>
  <c r="H757" i="20"/>
  <c r="I758" i="20"/>
  <c r="J766" i="20"/>
  <c r="I766" i="20"/>
  <c r="H766" i="20"/>
  <c r="J790" i="20"/>
  <c r="I790" i="20"/>
  <c r="H790" i="20"/>
  <c r="I820" i="20"/>
  <c r="J253" i="20"/>
  <c r="J257" i="20"/>
  <c r="I367" i="20"/>
  <c r="J394" i="20"/>
  <c r="H394" i="20"/>
  <c r="I455" i="20"/>
  <c r="H455" i="20"/>
  <c r="I466" i="20"/>
  <c r="H466" i="20"/>
  <c r="J783" i="20"/>
  <c r="H783" i="20"/>
  <c r="J9" i="20"/>
  <c r="I10" i="20"/>
  <c r="J12" i="20"/>
  <c r="I13" i="20"/>
  <c r="J14" i="20"/>
  <c r="J16" i="20"/>
  <c r="I17" i="20"/>
  <c r="J18" i="20"/>
  <c r="I20" i="20"/>
  <c r="I38" i="20"/>
  <c r="J40" i="20"/>
  <c r="I41" i="20"/>
  <c r="J42" i="20"/>
  <c r="H44" i="20"/>
  <c r="H48" i="20"/>
  <c r="I66" i="20"/>
  <c r="J68" i="20"/>
  <c r="I69" i="20"/>
  <c r="J70" i="20"/>
  <c r="H72" i="20"/>
  <c r="H85" i="20"/>
  <c r="J86" i="20"/>
  <c r="J90" i="20"/>
  <c r="H91" i="20"/>
  <c r="J93" i="20"/>
  <c r="I94" i="20"/>
  <c r="H95" i="20"/>
  <c r="J97" i="20"/>
  <c r="J98" i="20"/>
  <c r="H99" i="20"/>
  <c r="I101" i="20"/>
  <c r="H102" i="20"/>
  <c r="H127" i="20"/>
  <c r="I129" i="20"/>
  <c r="H130" i="20"/>
  <c r="I150" i="20"/>
  <c r="J151" i="20"/>
  <c r="I153" i="20"/>
  <c r="H154" i="20"/>
  <c r="I157" i="20"/>
  <c r="H158" i="20"/>
  <c r="I178" i="20"/>
  <c r="J179" i="20"/>
  <c r="H181" i="20"/>
  <c r="H184" i="20"/>
  <c r="I187" i="20"/>
  <c r="I191" i="20"/>
  <c r="J193" i="20"/>
  <c r="I194" i="20"/>
  <c r="H195" i="20"/>
  <c r="J227" i="20"/>
  <c r="H228" i="20"/>
  <c r="I230" i="20"/>
  <c r="H231" i="20"/>
  <c r="J233" i="20"/>
  <c r="I234" i="20"/>
  <c r="H235" i="20"/>
  <c r="J237" i="20"/>
  <c r="I238" i="20"/>
  <c r="H239" i="20"/>
  <c r="H242" i="20"/>
  <c r="J306" i="20"/>
  <c r="H314" i="20"/>
  <c r="J318" i="20"/>
  <c r="I322" i="20"/>
  <c r="J330" i="20"/>
  <c r="J334" i="20"/>
  <c r="J335" i="20"/>
  <c r="J336" i="20"/>
  <c r="I351" i="20"/>
  <c r="H352" i="20"/>
  <c r="I353" i="20"/>
  <c r="J360" i="20"/>
  <c r="H361" i="20"/>
  <c r="H373" i="20"/>
  <c r="J383" i="20"/>
  <c r="J384" i="20"/>
  <c r="I400" i="20"/>
  <c r="J401" i="20"/>
  <c r="J410" i="20"/>
  <c r="I410" i="20"/>
  <c r="H410" i="20"/>
  <c r="J432" i="20"/>
  <c r="I440" i="20"/>
  <c r="H440" i="20"/>
  <c r="J446" i="20"/>
  <c r="I452" i="20"/>
  <c r="H452" i="20"/>
  <c r="J461" i="20"/>
  <c r="H464" i="20"/>
  <c r="J464" i="20"/>
  <c r="I464" i="20"/>
  <c r="I473" i="20"/>
  <c r="H473" i="20"/>
  <c r="H497" i="20"/>
  <c r="J508" i="20"/>
  <c r="I508" i="20"/>
  <c r="H508" i="20"/>
  <c r="I524" i="20"/>
  <c r="H524" i="20"/>
  <c r="J544" i="20"/>
  <c r="J552" i="20"/>
  <c r="I610" i="20"/>
  <c r="I641" i="20"/>
  <c r="J641" i="20"/>
  <c r="H641" i="20"/>
  <c r="J646" i="20"/>
  <c r="I646" i="20"/>
  <c r="H646" i="20"/>
  <c r="J687" i="20"/>
  <c r="H687" i="20"/>
  <c r="I713" i="20"/>
  <c r="H713" i="20"/>
  <c r="I714" i="20"/>
  <c r="J742" i="20"/>
  <c r="H742" i="20"/>
  <c r="J757" i="20"/>
  <c r="I968" i="20"/>
  <c r="J1005" i="20"/>
  <c r="H1005" i="20"/>
  <c r="I1005" i="20"/>
  <c r="H200" i="20"/>
  <c r="J249" i="20"/>
  <c r="J261" i="20"/>
  <c r="J269" i="20"/>
  <c r="J289" i="20"/>
  <c r="J297" i="20"/>
  <c r="J317" i="20"/>
  <c r="J346" i="20"/>
  <c r="I346" i="20"/>
  <c r="H368" i="20"/>
  <c r="H541" i="20"/>
  <c r="J670" i="20"/>
  <c r="I670" i="20"/>
  <c r="H670" i="20"/>
  <c r="J61" i="20"/>
  <c r="J65" i="20"/>
  <c r="J13" i="20"/>
  <c r="J17" i="20"/>
  <c r="J20" i="20"/>
  <c r="I21" i="20"/>
  <c r="J22" i="20"/>
  <c r="J41" i="20"/>
  <c r="I44" i="20"/>
  <c r="I48" i="20"/>
  <c r="J69" i="20"/>
  <c r="I72" i="20"/>
  <c r="J84" i="20"/>
  <c r="I85" i="20"/>
  <c r="J94" i="20"/>
  <c r="I99" i="20"/>
  <c r="J101" i="20"/>
  <c r="I102" i="20"/>
  <c r="J103" i="20"/>
  <c r="I127" i="20"/>
  <c r="J129" i="20"/>
  <c r="I130" i="20"/>
  <c r="J131" i="20"/>
  <c r="J150" i="20"/>
  <c r="J153" i="20"/>
  <c r="I154" i="20"/>
  <c r="J155" i="20"/>
  <c r="J157" i="20"/>
  <c r="I158" i="20"/>
  <c r="J159" i="20"/>
  <c r="J178" i="20"/>
  <c r="I181" i="20"/>
  <c r="J187" i="20"/>
  <c r="J191" i="20"/>
  <c r="J194" i="20"/>
  <c r="I195" i="20"/>
  <c r="J197" i="20"/>
  <c r="J230" i="20"/>
  <c r="I231" i="20"/>
  <c r="J234" i="20"/>
  <c r="I235" i="20"/>
  <c r="J238" i="20"/>
  <c r="I239" i="20"/>
  <c r="J241" i="20"/>
  <c r="I242" i="20"/>
  <c r="J310" i="20"/>
  <c r="I314" i="20"/>
  <c r="J333" i="20"/>
  <c r="J353" i="20"/>
  <c r="I361" i="20"/>
  <c r="J365" i="20"/>
  <c r="H365" i="20"/>
  <c r="I377" i="20"/>
  <c r="J378" i="20"/>
  <c r="H378" i="20"/>
  <c r="J382" i="20"/>
  <c r="H395" i="20"/>
  <c r="J400" i="20"/>
  <c r="J422" i="20"/>
  <c r="J430" i="20"/>
  <c r="J460" i="20"/>
  <c r="H460" i="20"/>
  <c r="I467" i="20"/>
  <c r="H467" i="20"/>
  <c r="J518" i="20"/>
  <c r="I518" i="20"/>
  <c r="H537" i="20"/>
  <c r="J618" i="20"/>
  <c r="H618" i="20"/>
  <c r="J640" i="20"/>
  <c r="H640" i="20"/>
  <c r="I741" i="20"/>
  <c r="H741" i="20"/>
  <c r="J755" i="20"/>
  <c r="H755" i="20"/>
  <c r="I765" i="20"/>
  <c r="J765" i="20"/>
  <c r="H765" i="20"/>
  <c r="I789" i="20"/>
  <c r="M789" i="20"/>
  <c r="L789" i="20"/>
  <c r="J789" i="20"/>
  <c r="H789" i="20"/>
  <c r="H829" i="20"/>
  <c r="J829" i="20"/>
  <c r="J997" i="20"/>
  <c r="H997" i="20"/>
  <c r="I997" i="20"/>
  <c r="J413" i="20"/>
  <c r="J426" i="20"/>
  <c r="J451" i="20"/>
  <c r="J489" i="20"/>
  <c r="J494" i="20"/>
  <c r="H495" i="20"/>
  <c r="J498" i="20"/>
  <c r="J512" i="20"/>
  <c r="H519" i="20"/>
  <c r="H531" i="20"/>
  <c r="J542" i="20"/>
  <c r="H543" i="20"/>
  <c r="J550" i="20"/>
  <c r="H556" i="20"/>
  <c r="H560" i="20"/>
  <c r="H564" i="20"/>
  <c r="H568" i="20"/>
  <c r="H572" i="20"/>
  <c r="H576" i="20"/>
  <c r="H580" i="20"/>
  <c r="H584" i="20"/>
  <c r="H588" i="20"/>
  <c r="H592" i="20"/>
  <c r="H596" i="20"/>
  <c r="H600" i="20"/>
  <c r="H604" i="20"/>
  <c r="H608" i="20"/>
  <c r="H612" i="20"/>
  <c r="H616" i="20"/>
  <c r="H620" i="20"/>
  <c r="H624" i="20"/>
  <c r="I658" i="20"/>
  <c r="J659" i="20"/>
  <c r="I661" i="20"/>
  <c r="I689" i="20"/>
  <c r="I710" i="20"/>
  <c r="I717" i="20"/>
  <c r="J726" i="20"/>
  <c r="J731" i="20"/>
  <c r="I735" i="20"/>
  <c r="I745" i="20"/>
  <c r="M756" i="20"/>
  <c r="L756" i="20"/>
  <c r="I761" i="20"/>
  <c r="I779" i="20"/>
  <c r="I785" i="20"/>
  <c r="J819" i="20"/>
  <c r="I819" i="20"/>
  <c r="J851" i="20"/>
  <c r="I851" i="20"/>
  <c r="J861" i="20"/>
  <c r="I1046" i="20"/>
  <c r="J1046" i="20"/>
  <c r="H1107" i="20"/>
  <c r="I1107" i="20"/>
  <c r="J338" i="20"/>
  <c r="H339" i="20"/>
  <c r="J370" i="20"/>
  <c r="J389" i="20"/>
  <c r="I399" i="20"/>
  <c r="J402" i="20"/>
  <c r="H403" i="20"/>
  <c r="I426" i="20"/>
  <c r="I431" i="20"/>
  <c r="J434" i="20"/>
  <c r="I451" i="20"/>
  <c r="H472" i="20"/>
  <c r="H479" i="20"/>
  <c r="M479" i="20"/>
  <c r="L479" i="20"/>
  <c r="J480" i="20"/>
  <c r="J488" i="20"/>
  <c r="I489" i="20"/>
  <c r="J495" i="20"/>
  <c r="I496" i="20"/>
  <c r="J519" i="20"/>
  <c r="I520" i="20"/>
  <c r="J526" i="20"/>
  <c r="H527" i="20"/>
  <c r="J528" i="20"/>
  <c r="J540" i="20"/>
  <c r="I542" i="20"/>
  <c r="J543" i="20"/>
  <c r="J546" i="20"/>
  <c r="H547" i="20"/>
  <c r="I550" i="20"/>
  <c r="J556" i="20"/>
  <c r="J560" i="20"/>
  <c r="J564" i="20"/>
  <c r="J568" i="20"/>
  <c r="J572" i="20"/>
  <c r="J576" i="20"/>
  <c r="J580" i="20"/>
  <c r="J584" i="20"/>
  <c r="J588" i="20"/>
  <c r="J592" i="20"/>
  <c r="J596" i="20"/>
  <c r="J600" i="20"/>
  <c r="J604" i="20"/>
  <c r="I649" i="20"/>
  <c r="I673" i="20"/>
  <c r="I677" i="20"/>
  <c r="J691" i="20"/>
  <c r="I693" i="20"/>
  <c r="J716" i="20"/>
  <c r="J719" i="20"/>
  <c r="J747" i="20"/>
  <c r="I749" i="20"/>
  <c r="J763" i="20"/>
  <c r="J787" i="20"/>
  <c r="I797" i="20"/>
  <c r="I805" i="20"/>
  <c r="I817" i="20"/>
  <c r="J817" i="20"/>
  <c r="I834" i="20"/>
  <c r="J835" i="20"/>
  <c r="H841" i="20"/>
  <c r="J842" i="20"/>
  <c r="H873" i="20"/>
  <c r="J874" i="20"/>
  <c r="J975" i="20"/>
  <c r="I975" i="20"/>
  <c r="I991" i="20"/>
  <c r="J1003" i="20"/>
  <c r="M1003" i="20"/>
  <c r="H1003" i="20"/>
  <c r="H1012" i="20"/>
  <c r="I1012" i="20"/>
  <c r="J1026" i="20"/>
  <c r="I1026" i="20"/>
  <c r="H1026" i="20"/>
  <c r="M1031" i="20"/>
  <c r="L1031" i="20"/>
  <c r="J1042" i="20"/>
  <c r="I1042" i="20"/>
  <c r="J1219" i="20"/>
  <c r="I1219" i="20"/>
  <c r="J450" i="20"/>
  <c r="I471" i="20"/>
  <c r="J476" i="20"/>
  <c r="I477" i="20"/>
  <c r="M648" i="20"/>
  <c r="L648" i="20"/>
  <c r="I653" i="20"/>
  <c r="J667" i="20"/>
  <c r="I671" i="20"/>
  <c r="I681" i="20"/>
  <c r="I697" i="20"/>
  <c r="I721" i="20"/>
  <c r="I769" i="20"/>
  <c r="I773" i="20"/>
  <c r="J791" i="20"/>
  <c r="I793" i="20"/>
  <c r="J799" i="20"/>
  <c r="J803" i="20"/>
  <c r="I813" i="20"/>
  <c r="M814" i="20"/>
  <c r="J814" i="20"/>
  <c r="L814" i="20"/>
  <c r="H833" i="20"/>
  <c r="H849" i="20"/>
  <c r="J849" i="20"/>
  <c r="H857" i="20"/>
  <c r="J858" i="20"/>
  <c r="H890" i="20"/>
  <c r="J906" i="20"/>
  <c r="M906" i="20"/>
  <c r="L906" i="20"/>
  <c r="J911" i="20"/>
  <c r="H917" i="20"/>
  <c r="J917" i="20"/>
  <c r="I917" i="20"/>
  <c r="H921" i="20"/>
  <c r="I921" i="20"/>
  <c r="H961" i="20"/>
  <c r="J966" i="20"/>
  <c r="I966" i="20"/>
  <c r="H966" i="20"/>
  <c r="J970" i="20"/>
  <c r="J979" i="20"/>
  <c r="I979" i="20"/>
  <c r="H979" i="20"/>
  <c r="I1002" i="20"/>
  <c r="M1002" i="20"/>
  <c r="J1002" i="20"/>
  <c r="L1002" i="20"/>
  <c r="J1011" i="20"/>
  <c r="H1011" i="20"/>
  <c r="I1090" i="20"/>
  <c r="H1100" i="20"/>
  <c r="J1100" i="20"/>
  <c r="I1100" i="20"/>
  <c r="J1125" i="20"/>
  <c r="I1125" i="20"/>
  <c r="J1166" i="20"/>
  <c r="I1166" i="20"/>
  <c r="J1170" i="20"/>
  <c r="H632" i="20"/>
  <c r="J651" i="20"/>
  <c r="I701" i="20"/>
  <c r="J751" i="20"/>
  <c r="I777" i="20"/>
  <c r="J807" i="20"/>
  <c r="I809" i="20"/>
  <c r="J810" i="20"/>
  <c r="J815" i="20"/>
  <c r="H815" i="20"/>
  <c r="J831" i="20"/>
  <c r="H865" i="20"/>
  <c r="H869" i="20"/>
  <c r="I872" i="20"/>
  <c r="J879" i="20"/>
  <c r="H905" i="20"/>
  <c r="H995" i="20"/>
  <c r="J1019" i="20"/>
  <c r="H1040" i="20"/>
  <c r="I1040" i="20"/>
  <c r="J1105" i="20"/>
  <c r="I1105" i="20"/>
  <c r="H1105" i="20"/>
  <c r="H1232" i="20"/>
  <c r="J406" i="20"/>
  <c r="J429" i="20"/>
  <c r="J442" i="20"/>
  <c r="H443" i="20"/>
  <c r="J449" i="20"/>
  <c r="I463" i="20"/>
  <c r="I465" i="20"/>
  <c r="J468" i="20"/>
  <c r="I469" i="20"/>
  <c r="J471" i="20"/>
  <c r="I476" i="20"/>
  <c r="J477" i="20"/>
  <c r="J485" i="20"/>
  <c r="I486" i="20"/>
  <c r="J534" i="20"/>
  <c r="I630" i="20"/>
  <c r="I631" i="20"/>
  <c r="I632" i="20"/>
  <c r="H633" i="20"/>
  <c r="I634" i="20"/>
  <c r="H636" i="20"/>
  <c r="H637" i="20"/>
  <c r="H638" i="20"/>
  <c r="J650" i="20"/>
  <c r="H651" i="20"/>
  <c r="J652" i="20"/>
  <c r="J653" i="20"/>
  <c r="I654" i="20"/>
  <c r="J655" i="20"/>
  <c r="J674" i="20"/>
  <c r="J678" i="20"/>
  <c r="I679" i="20"/>
  <c r="J680" i="20"/>
  <c r="J681" i="20"/>
  <c r="I682" i="20"/>
  <c r="J683" i="20"/>
  <c r="I685" i="20"/>
  <c r="H695" i="20"/>
  <c r="J697" i="20"/>
  <c r="I698" i="20"/>
  <c r="J699" i="20"/>
  <c r="H701" i="20"/>
  <c r="H702" i="20"/>
  <c r="J721" i="20"/>
  <c r="I722" i="20"/>
  <c r="J723" i="20"/>
  <c r="M723" i="20"/>
  <c r="L723" i="20"/>
  <c r="I725" i="20"/>
  <c r="H751" i="20"/>
  <c r="I753" i="20"/>
  <c r="J769" i="20"/>
  <c r="I770" i="20"/>
  <c r="J772" i="20"/>
  <c r="J773" i="20"/>
  <c r="I774" i="20"/>
  <c r="J775" i="20"/>
  <c r="H777" i="20"/>
  <c r="H778" i="20"/>
  <c r="I781" i="20"/>
  <c r="I791" i="20"/>
  <c r="J793" i="20"/>
  <c r="I794" i="20"/>
  <c r="I803" i="20"/>
  <c r="H807" i="20"/>
  <c r="H809" i="20"/>
  <c r="H810" i="20"/>
  <c r="J813" i="20"/>
  <c r="I814" i="20"/>
  <c r="I825" i="20"/>
  <c r="H830" i="20"/>
  <c r="H831" i="20"/>
  <c r="I832" i="20"/>
  <c r="J839" i="20"/>
  <c r="I839" i="20"/>
  <c r="H846" i="20"/>
  <c r="H854" i="20"/>
  <c r="J855" i="20"/>
  <c r="J857" i="20"/>
  <c r="I858" i="20"/>
  <c r="J863" i="20"/>
  <c r="M863" i="20"/>
  <c r="L863" i="20"/>
  <c r="I865" i="20"/>
  <c r="H866" i="20"/>
  <c r="J867" i="20"/>
  <c r="I869" i="20"/>
  <c r="H870" i="20"/>
  <c r="H879" i="20"/>
  <c r="H898" i="20"/>
  <c r="J905" i="20"/>
  <c r="H939" i="20"/>
  <c r="J943" i="20"/>
  <c r="H943" i="20"/>
  <c r="H965" i="20"/>
  <c r="J965" i="20"/>
  <c r="I965" i="20"/>
  <c r="J983" i="20"/>
  <c r="I1009" i="20"/>
  <c r="H1055" i="20"/>
  <c r="I1055" i="20"/>
  <c r="M1136" i="20"/>
  <c r="L1136" i="20"/>
  <c r="I1187" i="20"/>
  <c r="H1237" i="20"/>
  <c r="J1237" i="20"/>
  <c r="I1237" i="20"/>
  <c r="L672" i="20"/>
  <c r="J341" i="20"/>
  <c r="J354" i="20"/>
  <c r="J374" i="20"/>
  <c r="H385" i="20"/>
  <c r="J386" i="20"/>
  <c r="H391" i="20"/>
  <c r="J405" i="20"/>
  <c r="H416" i="20"/>
  <c r="H417" i="20"/>
  <c r="J418" i="20"/>
  <c r="H429" i="20"/>
  <c r="J438" i="20"/>
  <c r="H442" i="20"/>
  <c r="H449" i="20"/>
  <c r="H453" i="20"/>
  <c r="H454" i="20"/>
  <c r="H456" i="20"/>
  <c r="H457" i="20"/>
  <c r="H463" i="20"/>
  <c r="J465" i="20"/>
  <c r="H468" i="20"/>
  <c r="H469" i="20"/>
  <c r="I470" i="20"/>
  <c r="H485" i="20"/>
  <c r="J502" i="20"/>
  <c r="J514" i="20"/>
  <c r="H515" i="20"/>
  <c r="I534" i="20"/>
  <c r="J554" i="20"/>
  <c r="J630" i="20"/>
  <c r="J632" i="20"/>
  <c r="J634" i="20"/>
  <c r="I635" i="20"/>
  <c r="I636" i="20"/>
  <c r="I638" i="20"/>
  <c r="I639" i="20"/>
  <c r="I651" i="20"/>
  <c r="J654" i="20"/>
  <c r="H655" i="20"/>
  <c r="I657" i="20"/>
  <c r="J682" i="20"/>
  <c r="H683" i="20"/>
  <c r="H685" i="20"/>
  <c r="H686" i="20"/>
  <c r="J698" i="20"/>
  <c r="H699" i="20"/>
  <c r="J701" i="20"/>
  <c r="I702" i="20"/>
  <c r="I705" i="20"/>
  <c r="M706" i="20"/>
  <c r="L706" i="20"/>
  <c r="I709" i="20"/>
  <c r="J722" i="20"/>
  <c r="H723" i="20"/>
  <c r="H725" i="20"/>
  <c r="H726" i="20"/>
  <c r="I729" i="20"/>
  <c r="I733" i="20"/>
  <c r="I751" i="20"/>
  <c r="J752" i="20"/>
  <c r="H753" i="20"/>
  <c r="H754" i="20"/>
  <c r="J770" i="20"/>
  <c r="J774" i="20"/>
  <c r="I775" i="20"/>
  <c r="J776" i="20"/>
  <c r="J777" i="20"/>
  <c r="I778" i="20"/>
  <c r="J779" i="20"/>
  <c r="H781" i="20"/>
  <c r="H782" i="20"/>
  <c r="J794" i="20"/>
  <c r="I807" i="20"/>
  <c r="J809" i="20"/>
  <c r="I810" i="20"/>
  <c r="H821" i="20"/>
  <c r="J822" i="20"/>
  <c r="J823" i="20"/>
  <c r="I824" i="20"/>
  <c r="J830" i="20"/>
  <c r="I831" i="20"/>
  <c r="I838" i="20"/>
  <c r="H838" i="20"/>
  <c r="I846" i="20"/>
  <c r="H853" i="20"/>
  <c r="I854" i="20"/>
  <c r="H855" i="20"/>
  <c r="H862" i="20"/>
  <c r="H863" i="20"/>
  <c r="I864" i="20"/>
  <c r="J865" i="20"/>
  <c r="I866" i="20"/>
  <c r="H867" i="20"/>
  <c r="I868" i="20"/>
  <c r="J869" i="20"/>
  <c r="I870" i="20"/>
  <c r="H871" i="20"/>
  <c r="I878" i="20"/>
  <c r="I879" i="20"/>
  <c r="I898" i="20"/>
  <c r="I904" i="20"/>
  <c r="J938" i="20"/>
  <c r="H938" i="20"/>
  <c r="J959" i="20"/>
  <c r="I994" i="20"/>
  <c r="J994" i="20"/>
  <c r="H1000" i="20"/>
  <c r="J1000" i="20"/>
  <c r="I1008" i="20"/>
  <c r="I1023" i="20"/>
  <c r="J1055" i="20"/>
  <c r="I1079" i="20"/>
  <c r="M1164" i="20"/>
  <c r="L1164" i="20"/>
  <c r="I1164" i="20"/>
  <c r="J1054" i="20"/>
  <c r="M1054" i="20"/>
  <c r="H1103" i="20"/>
  <c r="H1119" i="20"/>
  <c r="H1165" i="20"/>
  <c r="J1211" i="20"/>
  <c r="H1217" i="20"/>
  <c r="M1217" i="20"/>
  <c r="J1231" i="20"/>
  <c r="L1114" i="20"/>
  <c r="J895" i="20"/>
  <c r="M895" i="20"/>
  <c r="J903" i="20"/>
  <c r="J927" i="20"/>
  <c r="M927" i="20"/>
  <c r="H937" i="20"/>
  <c r="H969" i="20"/>
  <c r="H981" i="20"/>
  <c r="H992" i="20"/>
  <c r="H998" i="20"/>
  <c r="J999" i="20"/>
  <c r="J1001" i="20"/>
  <c r="I1006" i="20"/>
  <c r="J1007" i="20"/>
  <c r="M1007" i="20"/>
  <c r="I1010" i="20"/>
  <c r="H1024" i="20"/>
  <c r="J1035" i="20"/>
  <c r="M1035" i="20"/>
  <c r="I1037" i="20"/>
  <c r="I1056" i="20"/>
  <c r="J1073" i="20"/>
  <c r="H1084" i="20"/>
  <c r="J1085" i="20"/>
  <c r="H1099" i="20"/>
  <c r="J1103" i="20"/>
  <c r="I1104" i="20"/>
  <c r="J1119" i="20"/>
  <c r="J1134" i="20"/>
  <c r="H1161" i="20"/>
  <c r="J1162" i="20"/>
  <c r="J1217" i="20"/>
  <c r="J1223" i="20"/>
  <c r="H1229" i="20"/>
  <c r="L1088" i="20"/>
  <c r="L1032" i="20"/>
  <c r="J1052" i="20"/>
  <c r="M1052" i="20"/>
  <c r="J1077" i="20"/>
  <c r="H1083" i="20"/>
  <c r="H1115" i="20"/>
  <c r="J1116" i="20"/>
  <c r="H1123" i="20"/>
  <c r="H1133" i="20"/>
  <c r="J1138" i="20"/>
  <c r="H1149" i="20"/>
  <c r="J1150" i="20"/>
  <c r="H1169" i="20"/>
  <c r="J1215" i="20"/>
  <c r="I1223" i="20"/>
  <c r="I1229" i="20"/>
  <c r="H1236" i="20"/>
  <c r="L1191" i="20"/>
  <c r="L1007" i="20"/>
  <c r="L927" i="20"/>
  <c r="L895" i="20"/>
  <c r="J883" i="20"/>
  <c r="H901" i="20"/>
  <c r="J915" i="20"/>
  <c r="J919" i="20"/>
  <c r="H933" i="20"/>
  <c r="H949" i="20"/>
  <c r="J963" i="20"/>
  <c r="I978" i="20"/>
  <c r="J981" i="20"/>
  <c r="I982" i="20"/>
  <c r="I989" i="20"/>
  <c r="J992" i="20"/>
  <c r="I993" i="20"/>
  <c r="J998" i="20"/>
  <c r="I999" i="20"/>
  <c r="J1006" i="20"/>
  <c r="I1021" i="20"/>
  <c r="J1024" i="20"/>
  <c r="I1025" i="20"/>
  <c r="I1029" i="20"/>
  <c r="I1035" i="20"/>
  <c r="I1052" i="20"/>
  <c r="I1063" i="20"/>
  <c r="J1072" i="20"/>
  <c r="I1077" i="20"/>
  <c r="J1083" i="20"/>
  <c r="J1084" i="20"/>
  <c r="I1085" i="20"/>
  <c r="I1086" i="20"/>
  <c r="I1087" i="20"/>
  <c r="J1113" i="20"/>
  <c r="I1115" i="20"/>
  <c r="H1116" i="20"/>
  <c r="H1117" i="20"/>
  <c r="I1123" i="20"/>
  <c r="J1133" i="20"/>
  <c r="I1149" i="20"/>
  <c r="H1150" i="20"/>
  <c r="I1151" i="20"/>
  <c r="I1160" i="20"/>
  <c r="J1190" i="20"/>
  <c r="J1198" i="20"/>
  <c r="I1207" i="20"/>
  <c r="I1215" i="20"/>
  <c r="H1221" i="20"/>
  <c r="J1229" i="20"/>
  <c r="J1235" i="20"/>
  <c r="L1054" i="20"/>
  <c r="H837" i="20"/>
  <c r="J847" i="20"/>
  <c r="H883" i="20"/>
  <c r="J899" i="20"/>
  <c r="J901" i="20"/>
  <c r="H915" i="20"/>
  <c r="I916" i="20"/>
  <c r="I919" i="20"/>
  <c r="J931" i="20"/>
  <c r="I933" i="20"/>
  <c r="H934" i="20"/>
  <c r="J935" i="20"/>
  <c r="J947" i="20"/>
  <c r="I949" i="20"/>
  <c r="H950" i="20"/>
  <c r="J951" i="20"/>
  <c r="I962" i="20"/>
  <c r="H963" i="20"/>
  <c r="I964" i="20"/>
  <c r="H967" i="20"/>
  <c r="J978" i="20"/>
  <c r="J982" i="20"/>
  <c r="H989" i="20"/>
  <c r="I990" i="20"/>
  <c r="J993" i="20"/>
  <c r="H1020" i="20"/>
  <c r="H1021" i="20"/>
  <c r="I1022" i="20"/>
  <c r="J1025" i="20"/>
  <c r="J1029" i="20"/>
  <c r="H1048" i="20"/>
  <c r="H1059" i="20"/>
  <c r="I1062" i="20"/>
  <c r="H1068" i="20"/>
  <c r="J1069" i="20"/>
  <c r="J1092" i="20"/>
  <c r="H1112" i="20"/>
  <c r="H1113" i="20"/>
  <c r="J1115" i="20"/>
  <c r="I1116" i="20"/>
  <c r="J1123" i="20"/>
  <c r="H1128" i="20"/>
  <c r="H1129" i="20"/>
  <c r="J1130" i="20"/>
  <c r="I1132" i="20"/>
  <c r="H1137" i="20"/>
  <c r="I1147" i="20"/>
  <c r="I1148" i="20"/>
  <c r="J1149" i="20"/>
  <c r="I1150" i="20"/>
  <c r="J1182" i="20"/>
  <c r="I1183" i="20"/>
  <c r="H1197" i="20"/>
  <c r="I1198" i="20"/>
  <c r="J1202" i="20"/>
  <c r="H1213" i="20"/>
  <c r="I1221" i="20"/>
  <c r="J1227" i="20"/>
  <c r="H1233" i="20"/>
  <c r="I1235" i="20"/>
  <c r="L1053" i="20"/>
  <c r="L877" i="20"/>
  <c r="I946" i="20"/>
  <c r="H977" i="20"/>
  <c r="H1016" i="20"/>
  <c r="H1044" i="20"/>
  <c r="H1067" i="20"/>
  <c r="H1091" i="20"/>
  <c r="J1109" i="20"/>
  <c r="I1113" i="20"/>
  <c r="H1181" i="20"/>
  <c r="H1189" i="20"/>
  <c r="H1193" i="20"/>
  <c r="J1194" i="20"/>
  <c r="L1228" i="20"/>
  <c r="L1052" i="20"/>
  <c r="I232" i="20"/>
  <c r="J232" i="20"/>
  <c r="I315" i="20"/>
  <c r="J315" i="20"/>
  <c r="I660" i="20"/>
  <c r="H660" i="20"/>
  <c r="J660" i="20"/>
  <c r="I14" i="20"/>
  <c r="H26" i="20"/>
  <c r="J27" i="20"/>
  <c r="H27" i="20"/>
  <c r="I27" i="20"/>
  <c r="I46" i="20"/>
  <c r="H58" i="20"/>
  <c r="J59" i="20"/>
  <c r="I59" i="20"/>
  <c r="H59" i="20"/>
  <c r="H82" i="20"/>
  <c r="I107" i="20"/>
  <c r="H119" i="20"/>
  <c r="H120" i="20"/>
  <c r="J120" i="20"/>
  <c r="I120" i="20"/>
  <c r="I139" i="20"/>
  <c r="H151" i="20"/>
  <c r="J152" i="20"/>
  <c r="I152" i="20"/>
  <c r="H152" i="20"/>
  <c r="I171" i="20"/>
  <c r="H183" i="20"/>
  <c r="H232" i="20"/>
  <c r="H315" i="20"/>
  <c r="H324" i="20"/>
  <c r="I324" i="20"/>
  <c r="J324" i="20"/>
  <c r="J363" i="20"/>
  <c r="I363" i="20"/>
  <c r="I388" i="20"/>
  <c r="J388" i="20"/>
  <c r="H388" i="20"/>
  <c r="J427" i="20"/>
  <c r="I427" i="20"/>
  <c r="J548" i="20"/>
  <c r="I548" i="20"/>
  <c r="H548" i="20"/>
  <c r="H46" i="20"/>
  <c r="I95" i="20"/>
  <c r="J95" i="20"/>
  <c r="J140" i="20"/>
  <c r="I140" i="20"/>
  <c r="H140" i="20"/>
  <c r="H171" i="20"/>
  <c r="J184" i="20"/>
  <c r="I184" i="20"/>
  <c r="I248" i="20"/>
  <c r="J248" i="20"/>
  <c r="J39" i="20"/>
  <c r="H39" i="20"/>
  <c r="I39" i="20"/>
  <c r="I58" i="20"/>
  <c r="H132" i="20"/>
  <c r="J132" i="20"/>
  <c r="I132" i="20"/>
  <c r="I188" i="20"/>
  <c r="J188" i="20"/>
  <c r="I236" i="20"/>
  <c r="J236" i="20"/>
  <c r="I323" i="20"/>
  <c r="J323" i="20"/>
  <c r="J348" i="20"/>
  <c r="I348" i="20"/>
  <c r="H348" i="20"/>
  <c r="J387" i="20"/>
  <c r="I387" i="20"/>
  <c r="I412" i="20"/>
  <c r="J412" i="20"/>
  <c r="H412" i="20"/>
  <c r="I448" i="20"/>
  <c r="J448" i="20"/>
  <c r="H448" i="20"/>
  <c r="J504" i="20"/>
  <c r="I504" i="20"/>
  <c r="J536" i="20"/>
  <c r="I536" i="20"/>
  <c r="H536" i="20"/>
  <c r="J827" i="20"/>
  <c r="I827" i="20"/>
  <c r="H827" i="20"/>
  <c r="H50" i="20"/>
  <c r="J51" i="20"/>
  <c r="H51" i="20"/>
  <c r="I51" i="20"/>
  <c r="J82" i="20"/>
  <c r="H86" i="20"/>
  <c r="H111" i="20"/>
  <c r="J112" i="20"/>
  <c r="I112" i="20"/>
  <c r="H112" i="20"/>
  <c r="H143" i="20"/>
  <c r="J144" i="20"/>
  <c r="H144" i="20"/>
  <c r="I144" i="20"/>
  <c r="H175" i="20"/>
  <c r="J176" i="20"/>
  <c r="H176" i="20"/>
  <c r="I176" i="20"/>
  <c r="H188" i="20"/>
  <c r="H236" i="20"/>
  <c r="I256" i="20"/>
  <c r="H256" i="20"/>
  <c r="J256" i="20"/>
  <c r="J260" i="20"/>
  <c r="I260" i="20"/>
  <c r="H260" i="20"/>
  <c r="I264" i="20"/>
  <c r="H264" i="20"/>
  <c r="J264" i="20"/>
  <c r="H268" i="20"/>
  <c r="J268" i="20"/>
  <c r="I268" i="20"/>
  <c r="I272" i="20"/>
  <c r="J272" i="20"/>
  <c r="H272" i="20"/>
  <c r="H276" i="20"/>
  <c r="J276" i="20"/>
  <c r="I276" i="20"/>
  <c r="I280" i="20"/>
  <c r="H280" i="20"/>
  <c r="J280" i="20"/>
  <c r="H284" i="20"/>
  <c r="J284" i="20"/>
  <c r="I284" i="20"/>
  <c r="I288" i="20"/>
  <c r="J288" i="20"/>
  <c r="H288" i="20"/>
  <c r="J292" i="20"/>
  <c r="I292" i="20"/>
  <c r="H292" i="20"/>
  <c r="I296" i="20"/>
  <c r="H296" i="20"/>
  <c r="J296" i="20"/>
  <c r="H300" i="20"/>
  <c r="J300" i="20"/>
  <c r="I300" i="20"/>
  <c r="H323" i="20"/>
  <c r="I332" i="20"/>
  <c r="J332" i="20"/>
  <c r="J347" i="20"/>
  <c r="I347" i="20"/>
  <c r="I372" i="20"/>
  <c r="J372" i="20"/>
  <c r="H372" i="20"/>
  <c r="H387" i="20"/>
  <c r="J411" i="20"/>
  <c r="I411" i="20"/>
  <c r="J436" i="20"/>
  <c r="I436" i="20"/>
  <c r="H436" i="20"/>
  <c r="I484" i="20"/>
  <c r="J484" i="20"/>
  <c r="H484" i="20"/>
  <c r="J501" i="20"/>
  <c r="I501" i="20"/>
  <c r="H503" i="20"/>
  <c r="J503" i="20"/>
  <c r="H504" i="20"/>
  <c r="J35" i="20"/>
  <c r="H35" i="20"/>
  <c r="I35" i="20"/>
  <c r="J67" i="20"/>
  <c r="H67" i="20"/>
  <c r="I67" i="20"/>
  <c r="J160" i="20"/>
  <c r="H160" i="20"/>
  <c r="I160" i="20"/>
  <c r="J379" i="20"/>
  <c r="I379" i="20"/>
  <c r="J2" i="20"/>
  <c r="I2" i="20"/>
  <c r="J15" i="20"/>
  <c r="H15" i="20"/>
  <c r="I15" i="20"/>
  <c r="J47" i="20"/>
  <c r="I47" i="20"/>
  <c r="H47" i="20"/>
  <c r="H139" i="20"/>
  <c r="J216" i="20"/>
  <c r="I216" i="20"/>
  <c r="I26" i="20"/>
  <c r="H100" i="20"/>
  <c r="J100" i="20"/>
  <c r="I100" i="20"/>
  <c r="I151" i="20"/>
  <c r="J19" i="20"/>
  <c r="I19" i="20"/>
  <c r="H19" i="20"/>
  <c r="I18" i="20"/>
  <c r="H30" i="20"/>
  <c r="J31" i="20"/>
  <c r="H31" i="20"/>
  <c r="I31" i="20"/>
  <c r="I50" i="20"/>
  <c r="H62" i="20"/>
  <c r="H63" i="20"/>
  <c r="J63" i="20"/>
  <c r="I63" i="20"/>
  <c r="I86" i="20"/>
  <c r="I87" i="20"/>
  <c r="J87" i="20"/>
  <c r="I111" i="20"/>
  <c r="H123" i="20"/>
  <c r="J124" i="20"/>
  <c r="H124" i="20"/>
  <c r="I124" i="20"/>
  <c r="I143" i="20"/>
  <c r="H155" i="20"/>
  <c r="H156" i="20"/>
  <c r="J156" i="20"/>
  <c r="I156" i="20"/>
  <c r="I175" i="20"/>
  <c r="J192" i="20"/>
  <c r="I192" i="20"/>
  <c r="I208" i="20"/>
  <c r="J208" i="20"/>
  <c r="I224" i="20"/>
  <c r="J224" i="20"/>
  <c r="J240" i="20"/>
  <c r="I240" i="20"/>
  <c r="J331" i="20"/>
  <c r="I331" i="20"/>
  <c r="H332" i="20"/>
  <c r="H347" i="20"/>
  <c r="J371" i="20"/>
  <c r="I371" i="20"/>
  <c r="J396" i="20"/>
  <c r="I396" i="20"/>
  <c r="H396" i="20"/>
  <c r="H411" i="20"/>
  <c r="J435" i="20"/>
  <c r="I435" i="20"/>
  <c r="H501" i="20"/>
  <c r="I503" i="20"/>
  <c r="H535" i="20"/>
  <c r="J535" i="20"/>
  <c r="I535" i="20"/>
  <c r="J629" i="20"/>
  <c r="I629" i="20"/>
  <c r="H629" i="20"/>
  <c r="I79" i="20"/>
  <c r="J79" i="20"/>
  <c r="J108" i="20"/>
  <c r="H108" i="20"/>
  <c r="I108" i="20"/>
  <c r="J172" i="20"/>
  <c r="I172" i="20"/>
  <c r="H172" i="20"/>
  <c r="J364" i="20"/>
  <c r="I364" i="20"/>
  <c r="H364" i="20"/>
  <c r="J403" i="20"/>
  <c r="I403" i="20"/>
  <c r="I119" i="20"/>
  <c r="J164" i="20"/>
  <c r="I164" i="20"/>
  <c r="H164" i="20"/>
  <c r="I204" i="20"/>
  <c r="J204" i="20"/>
  <c r="I220" i="20"/>
  <c r="J220" i="20"/>
  <c r="J252" i="20"/>
  <c r="I252" i="20"/>
  <c r="H18" i="20"/>
  <c r="J11" i="20"/>
  <c r="H11" i="20"/>
  <c r="I11" i="20"/>
  <c r="I30" i="20"/>
  <c r="H43" i="20"/>
  <c r="J43" i="20"/>
  <c r="I43" i="20"/>
  <c r="I62" i="20"/>
  <c r="H75" i="20"/>
  <c r="J75" i="20"/>
  <c r="I75" i="20"/>
  <c r="H104" i="20"/>
  <c r="J104" i="20"/>
  <c r="I104" i="20"/>
  <c r="I123" i="20"/>
  <c r="J136" i="20"/>
  <c r="I136" i="20"/>
  <c r="H136" i="20"/>
  <c r="I155" i="20"/>
  <c r="J168" i="20"/>
  <c r="H168" i="20"/>
  <c r="I168" i="20"/>
  <c r="H308" i="20"/>
  <c r="J308" i="20"/>
  <c r="I308" i="20"/>
  <c r="H331" i="20"/>
  <c r="I356" i="20"/>
  <c r="J356" i="20"/>
  <c r="H356" i="20"/>
  <c r="J395" i="20"/>
  <c r="I395" i="20"/>
  <c r="J420" i="20"/>
  <c r="I420" i="20"/>
  <c r="H420" i="20"/>
  <c r="H445" i="20"/>
  <c r="J445" i="20"/>
  <c r="I447" i="20"/>
  <c r="J447" i="20"/>
  <c r="H447" i="20"/>
  <c r="H483" i="20"/>
  <c r="J483" i="20"/>
  <c r="I483" i="20"/>
  <c r="J533" i="20"/>
  <c r="I533" i="20"/>
  <c r="H533" i="20"/>
  <c r="I724" i="20"/>
  <c r="H724" i="20"/>
  <c r="J724" i="20"/>
  <c r="J128" i="20"/>
  <c r="I128" i="20"/>
  <c r="H128" i="20"/>
  <c r="H316" i="20"/>
  <c r="J316" i="20"/>
  <c r="I316" i="20"/>
  <c r="I340" i="20"/>
  <c r="J340" i="20"/>
  <c r="H340" i="20"/>
  <c r="I404" i="20"/>
  <c r="J404" i="20"/>
  <c r="H404" i="20"/>
  <c r="J443" i="20"/>
  <c r="I443" i="20"/>
  <c r="H14" i="20"/>
  <c r="H107" i="20"/>
  <c r="I200" i="20"/>
  <c r="J200" i="20"/>
  <c r="J339" i="20"/>
  <c r="I339" i="20"/>
  <c r="H379" i="20"/>
  <c r="I428" i="20"/>
  <c r="J428" i="20"/>
  <c r="H428" i="20"/>
  <c r="J7" i="20"/>
  <c r="I7" i="20"/>
  <c r="H7" i="20"/>
  <c r="J71" i="20"/>
  <c r="I71" i="20"/>
  <c r="H71" i="20"/>
  <c r="J83" i="20"/>
  <c r="I83" i="20"/>
  <c r="I183" i="20"/>
  <c r="H22" i="20"/>
  <c r="J23" i="20"/>
  <c r="H23" i="20"/>
  <c r="I23" i="20"/>
  <c r="H54" i="20"/>
  <c r="J55" i="20"/>
  <c r="H55" i="20"/>
  <c r="I55" i="20"/>
  <c r="J91" i="20"/>
  <c r="I91" i="20"/>
  <c r="H115" i="20"/>
  <c r="J116" i="20"/>
  <c r="I116" i="20"/>
  <c r="H116" i="20"/>
  <c r="H147" i="20"/>
  <c r="H148" i="20"/>
  <c r="J148" i="20"/>
  <c r="I148" i="20"/>
  <c r="H179" i="20"/>
  <c r="H180" i="20"/>
  <c r="J180" i="20"/>
  <c r="I180" i="20"/>
  <c r="I196" i="20"/>
  <c r="J196" i="20"/>
  <c r="I212" i="20"/>
  <c r="J212" i="20"/>
  <c r="J228" i="20"/>
  <c r="I228" i="20"/>
  <c r="I244" i="20"/>
  <c r="J244" i="20"/>
  <c r="I307" i="20"/>
  <c r="J307" i="20"/>
  <c r="J355" i="20"/>
  <c r="I355" i="20"/>
  <c r="J380" i="20"/>
  <c r="I380" i="20"/>
  <c r="H380" i="20"/>
  <c r="J419" i="20"/>
  <c r="I419" i="20"/>
  <c r="I444" i="20"/>
  <c r="J444" i="20"/>
  <c r="J481" i="20"/>
  <c r="I481" i="20"/>
  <c r="J482" i="20"/>
  <c r="H482" i="20"/>
  <c r="I482" i="20"/>
  <c r="H628" i="20"/>
  <c r="J628" i="20"/>
  <c r="I628" i="20"/>
  <c r="H627" i="20"/>
  <c r="J627" i="20"/>
  <c r="I627" i="20"/>
  <c r="J888" i="20"/>
  <c r="H888" i="20"/>
  <c r="I888" i="20"/>
  <c r="H973" i="20"/>
  <c r="J973" i="20"/>
  <c r="I973" i="20"/>
  <c r="J505" i="20"/>
  <c r="I505" i="20"/>
  <c r="J531" i="20"/>
  <c r="I532" i="20"/>
  <c r="J537" i="20"/>
  <c r="I537" i="20"/>
  <c r="J547" i="20"/>
  <c r="J549" i="20"/>
  <c r="I549" i="20"/>
  <c r="J624" i="20"/>
  <c r="H631" i="20"/>
  <c r="J631" i="20"/>
  <c r="J633" i="20"/>
  <c r="I633" i="20"/>
  <c r="J643" i="20"/>
  <c r="I643" i="20"/>
  <c r="H643" i="20"/>
  <c r="J647" i="20"/>
  <c r="H647" i="20"/>
  <c r="J663" i="20"/>
  <c r="I663" i="20"/>
  <c r="I664" i="20"/>
  <c r="H664" i="20"/>
  <c r="J664" i="20"/>
  <c r="J707" i="20"/>
  <c r="I707" i="20"/>
  <c r="H707" i="20"/>
  <c r="J711" i="20"/>
  <c r="H711" i="20"/>
  <c r="J727" i="20"/>
  <c r="I727" i="20"/>
  <c r="I728" i="20"/>
  <c r="H728" i="20"/>
  <c r="J728" i="20"/>
  <c r="J771" i="20"/>
  <c r="I771" i="20"/>
  <c r="H771" i="20"/>
  <c r="J792" i="20"/>
  <c r="I792" i="20"/>
  <c r="H792" i="20"/>
  <c r="H882" i="20"/>
  <c r="J882" i="20"/>
  <c r="I882" i="20"/>
  <c r="H988" i="20"/>
  <c r="J988" i="20"/>
  <c r="I988" i="20"/>
  <c r="H505" i="20"/>
  <c r="J509" i="20"/>
  <c r="I509" i="20"/>
  <c r="H635" i="20"/>
  <c r="J635" i="20"/>
  <c r="I637" i="20"/>
  <c r="J637" i="20"/>
  <c r="I668" i="20"/>
  <c r="H668" i="20"/>
  <c r="J668" i="20"/>
  <c r="I732" i="20"/>
  <c r="H732" i="20"/>
  <c r="J732" i="20"/>
  <c r="J795" i="20"/>
  <c r="I795" i="20"/>
  <c r="H795" i="20"/>
  <c r="J826" i="20"/>
  <c r="I826" i="20"/>
  <c r="H826" i="20"/>
  <c r="H985" i="20"/>
  <c r="J985" i="20"/>
  <c r="I985" i="20"/>
  <c r="J1158" i="20"/>
  <c r="H1158" i="20"/>
  <c r="I1158" i="20"/>
  <c r="H301" i="20"/>
  <c r="H309" i="20"/>
  <c r="H317" i="20"/>
  <c r="I780" i="20"/>
  <c r="H780" i="20"/>
  <c r="H3" i="20"/>
  <c r="H80" i="20"/>
  <c r="H84" i="20"/>
  <c r="H88" i="20"/>
  <c r="H92" i="20"/>
  <c r="H96" i="20"/>
  <c r="H185" i="20"/>
  <c r="H189" i="20"/>
  <c r="H193" i="20"/>
  <c r="H197" i="20"/>
  <c r="H201" i="20"/>
  <c r="H205" i="20"/>
  <c r="H209" i="20"/>
  <c r="H213" i="20"/>
  <c r="H217" i="20"/>
  <c r="H221" i="20"/>
  <c r="H225" i="20"/>
  <c r="H229" i="20"/>
  <c r="H233" i="20"/>
  <c r="H237" i="20"/>
  <c r="H241" i="20"/>
  <c r="H245" i="20"/>
  <c r="H249" i="20"/>
  <c r="H253" i="20"/>
  <c r="H257" i="20"/>
  <c r="H261" i="20"/>
  <c r="H265" i="20"/>
  <c r="H269" i="20"/>
  <c r="H273" i="20"/>
  <c r="H277" i="20"/>
  <c r="H281" i="20"/>
  <c r="H285" i="20"/>
  <c r="H289" i="20"/>
  <c r="H293" i="20"/>
  <c r="H297" i="20"/>
  <c r="I301" i="20"/>
  <c r="H302" i="20"/>
  <c r="I309" i="20"/>
  <c r="H310" i="20"/>
  <c r="I317" i="20"/>
  <c r="H318" i="20"/>
  <c r="I325" i="20"/>
  <c r="H326" i="20"/>
  <c r="I333" i="20"/>
  <c r="H334" i="20"/>
  <c r="I341" i="20"/>
  <c r="H342" i="20"/>
  <c r="I349" i="20"/>
  <c r="H350" i="20"/>
  <c r="I357" i="20"/>
  <c r="H358" i="20"/>
  <c r="I365" i="20"/>
  <c r="H366" i="20"/>
  <c r="I373" i="20"/>
  <c r="H374" i="20"/>
  <c r="I381" i="20"/>
  <c r="H382" i="20"/>
  <c r="I389" i="20"/>
  <c r="H390" i="20"/>
  <c r="I397" i="20"/>
  <c r="H398" i="20"/>
  <c r="I405" i="20"/>
  <c r="H406" i="20"/>
  <c r="I413" i="20"/>
  <c r="H414" i="20"/>
  <c r="I421" i="20"/>
  <c r="H422" i="20"/>
  <c r="I429" i="20"/>
  <c r="H430" i="20"/>
  <c r="I437" i="20"/>
  <c r="H438" i="20"/>
  <c r="I449" i="20"/>
  <c r="H450" i="20"/>
  <c r="I485" i="20"/>
  <c r="I487" i="20"/>
  <c r="H488" i="20"/>
  <c r="J511" i="20"/>
  <c r="I512" i="20"/>
  <c r="I515" i="20"/>
  <c r="H516" i="20"/>
  <c r="J517" i="20"/>
  <c r="I517" i="20"/>
  <c r="I540" i="20"/>
  <c r="J551" i="20"/>
  <c r="H552" i="20"/>
  <c r="J553" i="20"/>
  <c r="I553" i="20"/>
  <c r="J636" i="20"/>
  <c r="I692" i="20"/>
  <c r="H692" i="20"/>
  <c r="J692" i="20"/>
  <c r="I756" i="20"/>
  <c r="H756" i="20"/>
  <c r="J756" i="20"/>
  <c r="J780" i="20"/>
  <c r="J868" i="20"/>
  <c r="H868" i="20"/>
  <c r="J871" i="20"/>
  <c r="I871" i="20"/>
  <c r="H325" i="20"/>
  <c r="J541" i="20"/>
  <c r="I541" i="20"/>
  <c r="I652" i="20"/>
  <c r="H652" i="20"/>
  <c r="J671" i="20"/>
  <c r="H671" i="20"/>
  <c r="I716" i="20"/>
  <c r="H716" i="20"/>
  <c r="J735" i="20"/>
  <c r="H735" i="20"/>
  <c r="J872" i="20"/>
  <c r="H872" i="20"/>
  <c r="I3" i="20"/>
  <c r="I80" i="20"/>
  <c r="I84" i="20"/>
  <c r="I88" i="20"/>
  <c r="I92" i="20"/>
  <c r="I96" i="20"/>
  <c r="I185" i="20"/>
  <c r="I189" i="20"/>
  <c r="I193" i="20"/>
  <c r="I197" i="20"/>
  <c r="I201" i="20"/>
  <c r="I205" i="20"/>
  <c r="I209" i="20"/>
  <c r="I213" i="20"/>
  <c r="I217" i="20"/>
  <c r="I221" i="20"/>
  <c r="I225" i="20"/>
  <c r="I229" i="20"/>
  <c r="I233" i="20"/>
  <c r="I237" i="20"/>
  <c r="I241" i="20"/>
  <c r="I245" i="20"/>
  <c r="I249" i="20"/>
  <c r="I253" i="20"/>
  <c r="I257" i="20"/>
  <c r="I261" i="20"/>
  <c r="I265" i="20"/>
  <c r="I269" i="20"/>
  <c r="I273" i="20"/>
  <c r="I277" i="20"/>
  <c r="I281" i="20"/>
  <c r="I285" i="20"/>
  <c r="I289" i="20"/>
  <c r="I293" i="20"/>
  <c r="I297" i="20"/>
  <c r="I302" i="20"/>
  <c r="I310" i="20"/>
  <c r="I318" i="20"/>
  <c r="I326" i="20"/>
  <c r="I334" i="20"/>
  <c r="I342" i="20"/>
  <c r="I350" i="20"/>
  <c r="I358" i="20"/>
  <c r="I366" i="20"/>
  <c r="I374" i="20"/>
  <c r="I382" i="20"/>
  <c r="I390" i="20"/>
  <c r="I398" i="20"/>
  <c r="I406" i="20"/>
  <c r="I414" i="20"/>
  <c r="I422" i="20"/>
  <c r="I430" i="20"/>
  <c r="I438" i="20"/>
  <c r="I450" i="20"/>
  <c r="J487" i="20"/>
  <c r="I488" i="20"/>
  <c r="J490" i="20"/>
  <c r="H490" i="20"/>
  <c r="J515" i="20"/>
  <c r="I516" i="20"/>
  <c r="J521" i="20"/>
  <c r="I521" i="20"/>
  <c r="I552" i="20"/>
  <c r="J675" i="20"/>
  <c r="I675" i="20"/>
  <c r="H675" i="20"/>
  <c r="J679" i="20"/>
  <c r="H679" i="20"/>
  <c r="J695" i="20"/>
  <c r="I695" i="20"/>
  <c r="I696" i="20"/>
  <c r="H696" i="20"/>
  <c r="J696" i="20"/>
  <c r="J739" i="20"/>
  <c r="I739" i="20"/>
  <c r="H739" i="20"/>
  <c r="J759" i="20"/>
  <c r="I759" i="20"/>
  <c r="I760" i="20"/>
  <c r="H760" i="20"/>
  <c r="J760" i="20"/>
  <c r="J808" i="20"/>
  <c r="I808" i="20"/>
  <c r="H808" i="20"/>
  <c r="J910" i="20"/>
  <c r="H910" i="20"/>
  <c r="J928" i="20"/>
  <c r="H928" i="20"/>
  <c r="I928" i="20"/>
  <c r="J1031" i="20"/>
  <c r="I1031" i="20"/>
  <c r="H1031" i="20"/>
  <c r="J486" i="20"/>
  <c r="H486" i="20"/>
  <c r="J513" i="20"/>
  <c r="I513" i="20"/>
  <c r="J493" i="20"/>
  <c r="I493" i="20"/>
  <c r="J525" i="20"/>
  <c r="I525" i="20"/>
  <c r="J545" i="20"/>
  <c r="I545" i="20"/>
  <c r="J557" i="20"/>
  <c r="I557" i="20"/>
  <c r="H559" i="20"/>
  <c r="J559" i="20"/>
  <c r="J561" i="20"/>
  <c r="I561" i="20"/>
  <c r="H563" i="20"/>
  <c r="J563" i="20"/>
  <c r="J565" i="20"/>
  <c r="I565" i="20"/>
  <c r="H567" i="20"/>
  <c r="J567" i="20"/>
  <c r="J569" i="20"/>
  <c r="I569" i="20"/>
  <c r="H571" i="20"/>
  <c r="J571" i="20"/>
  <c r="J573" i="20"/>
  <c r="I573" i="20"/>
  <c r="H575" i="20"/>
  <c r="J575" i="20"/>
  <c r="J577" i="20"/>
  <c r="I577" i="20"/>
  <c r="H579" i="20"/>
  <c r="J579" i="20"/>
  <c r="J581" i="20"/>
  <c r="I581" i="20"/>
  <c r="H583" i="20"/>
  <c r="J583" i="20"/>
  <c r="J585" i="20"/>
  <c r="I585" i="20"/>
  <c r="H587" i="20"/>
  <c r="J587" i="20"/>
  <c r="J589" i="20"/>
  <c r="I589" i="20"/>
  <c r="H591" i="20"/>
  <c r="J591" i="20"/>
  <c r="J593" i="20"/>
  <c r="I593" i="20"/>
  <c r="H595" i="20"/>
  <c r="J595" i="20"/>
  <c r="J597" i="20"/>
  <c r="I597" i="20"/>
  <c r="H599" i="20"/>
  <c r="J599" i="20"/>
  <c r="J601" i="20"/>
  <c r="I601" i="20"/>
  <c r="H603" i="20"/>
  <c r="J603" i="20"/>
  <c r="J605" i="20"/>
  <c r="I605" i="20"/>
  <c r="H607" i="20"/>
  <c r="J607" i="20"/>
  <c r="J609" i="20"/>
  <c r="I609" i="20"/>
  <c r="H611" i="20"/>
  <c r="J611" i="20"/>
  <c r="J613" i="20"/>
  <c r="I613" i="20"/>
  <c r="H615" i="20"/>
  <c r="J615" i="20"/>
  <c r="J617" i="20"/>
  <c r="I617" i="20"/>
  <c r="H619" i="20"/>
  <c r="J619" i="20"/>
  <c r="J621" i="20"/>
  <c r="I621" i="20"/>
  <c r="I700" i="20"/>
  <c r="H700" i="20"/>
  <c r="J700" i="20"/>
  <c r="J811" i="20"/>
  <c r="I811" i="20"/>
  <c r="H811" i="20"/>
  <c r="I910" i="20"/>
  <c r="H1004" i="20"/>
  <c r="I1004" i="20"/>
  <c r="J1004" i="20"/>
  <c r="J1013" i="20"/>
  <c r="I1013" i="20"/>
  <c r="H1013" i="20"/>
  <c r="J462" i="20"/>
  <c r="H462" i="20"/>
  <c r="J470" i="20"/>
  <c r="H470" i="20"/>
  <c r="J478" i="20"/>
  <c r="H478" i="20"/>
  <c r="J497" i="20"/>
  <c r="I497" i="20"/>
  <c r="J529" i="20"/>
  <c r="I529" i="20"/>
  <c r="H623" i="20"/>
  <c r="J623" i="20"/>
  <c r="J625" i="20"/>
  <c r="I625" i="20"/>
  <c r="I684" i="20"/>
  <c r="H684" i="20"/>
  <c r="J703" i="20"/>
  <c r="H703" i="20"/>
  <c r="I748" i="20"/>
  <c r="H748" i="20"/>
  <c r="J767" i="20"/>
  <c r="H767" i="20"/>
  <c r="J894" i="20"/>
  <c r="H894" i="20"/>
  <c r="I894" i="20"/>
  <c r="J788" i="20"/>
  <c r="I788" i="20"/>
  <c r="H788" i="20"/>
  <c r="J804" i="20"/>
  <c r="I804" i="20"/>
  <c r="H804" i="20"/>
  <c r="J856" i="20"/>
  <c r="H856" i="20"/>
  <c r="J884" i="20"/>
  <c r="H884" i="20"/>
  <c r="I884" i="20"/>
  <c r="H889" i="20"/>
  <c r="J889" i="20"/>
  <c r="J1061" i="20"/>
  <c r="H1061" i="20"/>
  <c r="I1061" i="20"/>
  <c r="I672" i="20"/>
  <c r="H672" i="20"/>
  <c r="I704" i="20"/>
  <c r="H704" i="20"/>
  <c r="I736" i="20"/>
  <c r="H736" i="20"/>
  <c r="I768" i="20"/>
  <c r="H768" i="20"/>
  <c r="I856" i="20"/>
  <c r="I889" i="20"/>
  <c r="J912" i="20"/>
  <c r="H912" i="20"/>
  <c r="I912" i="20"/>
  <c r="H929" i="20"/>
  <c r="J929" i="20"/>
  <c r="I929" i="20"/>
  <c r="J954" i="20"/>
  <c r="I954" i="20"/>
  <c r="H954" i="20"/>
  <c r="I1000" i="20"/>
  <c r="H1001" i="20"/>
  <c r="H1002" i="20"/>
  <c r="J1014" i="20"/>
  <c r="I1014" i="20"/>
  <c r="H1014" i="20"/>
  <c r="H1032" i="20"/>
  <c r="J1032" i="20"/>
  <c r="I1032" i="20"/>
  <c r="J1159" i="20"/>
  <c r="H1159" i="20"/>
  <c r="I1159" i="20"/>
  <c r="H953" i="20"/>
  <c r="J953" i="20"/>
  <c r="I953" i="20"/>
  <c r="J958" i="20"/>
  <c r="I958" i="20"/>
  <c r="H958" i="20"/>
  <c r="J971" i="20"/>
  <c r="I971" i="20"/>
  <c r="J972" i="20"/>
  <c r="H972" i="20"/>
  <c r="I972" i="20"/>
  <c r="J984" i="20"/>
  <c r="H984" i="20"/>
  <c r="J1089" i="20"/>
  <c r="I1089" i="20"/>
  <c r="J1120" i="20"/>
  <c r="I1120" i="20"/>
  <c r="H1120" i="20"/>
  <c r="I644" i="20"/>
  <c r="H644" i="20"/>
  <c r="I676" i="20"/>
  <c r="H676" i="20"/>
  <c r="I708" i="20"/>
  <c r="H708" i="20"/>
  <c r="I740" i="20"/>
  <c r="H740" i="20"/>
  <c r="I772" i="20"/>
  <c r="H772" i="20"/>
  <c r="J796" i="20"/>
  <c r="I796" i="20"/>
  <c r="H796" i="20"/>
  <c r="J812" i="20"/>
  <c r="I812" i="20"/>
  <c r="H812" i="20"/>
  <c r="H825" i="20"/>
  <c r="J825" i="20"/>
  <c r="J887" i="20"/>
  <c r="I887" i="20"/>
  <c r="H887" i="20"/>
  <c r="H893" i="20"/>
  <c r="I893" i="20"/>
  <c r="H909" i="20"/>
  <c r="I909" i="20"/>
  <c r="J909" i="20"/>
  <c r="J968" i="20"/>
  <c r="H968" i="20"/>
  <c r="I969" i="20"/>
  <c r="H970" i="20"/>
  <c r="H971" i="20"/>
  <c r="H983" i="20"/>
  <c r="I984" i="20"/>
  <c r="J987" i="20"/>
  <c r="I987" i="20"/>
  <c r="H987" i="20"/>
  <c r="J1088" i="20"/>
  <c r="I1088" i="20"/>
  <c r="H1089" i="20"/>
  <c r="H494" i="20"/>
  <c r="H498" i="20"/>
  <c r="H502" i="20"/>
  <c r="H506" i="20"/>
  <c r="H510" i="20"/>
  <c r="H514" i="20"/>
  <c r="H518" i="20"/>
  <c r="H522" i="20"/>
  <c r="H526" i="20"/>
  <c r="H530" i="20"/>
  <c r="H534" i="20"/>
  <c r="H538" i="20"/>
  <c r="I656" i="20"/>
  <c r="H656" i="20"/>
  <c r="I688" i="20"/>
  <c r="H688" i="20"/>
  <c r="I720" i="20"/>
  <c r="H720" i="20"/>
  <c r="I752" i="20"/>
  <c r="H752" i="20"/>
  <c r="I784" i="20"/>
  <c r="H784" i="20"/>
  <c r="J820" i="20"/>
  <c r="H820" i="20"/>
  <c r="J824" i="20"/>
  <c r="H824" i="20"/>
  <c r="J886" i="20"/>
  <c r="I886" i="20"/>
  <c r="J892" i="20"/>
  <c r="H892" i="20"/>
  <c r="I892" i="20"/>
  <c r="J926" i="20"/>
  <c r="H926" i="20"/>
  <c r="I926" i="20"/>
  <c r="H957" i="20"/>
  <c r="J957" i="20"/>
  <c r="I957" i="20"/>
  <c r="J967" i="20"/>
  <c r="I967" i="20"/>
  <c r="J969" i="20"/>
  <c r="I970" i="20"/>
  <c r="I983" i="20"/>
  <c r="J1086" i="20"/>
  <c r="H1086" i="20"/>
  <c r="H1087" i="20"/>
  <c r="J1087" i="20"/>
  <c r="I764" i="20"/>
  <c r="H764" i="20"/>
  <c r="J800" i="20"/>
  <c r="I800" i="20"/>
  <c r="H800" i="20"/>
  <c r="J816" i="20"/>
  <c r="I816" i="20"/>
  <c r="H816" i="20"/>
  <c r="J860" i="20"/>
  <c r="H860" i="20"/>
  <c r="I860" i="20"/>
  <c r="H885" i="20"/>
  <c r="J885" i="20"/>
  <c r="J891" i="20"/>
  <c r="I891" i="20"/>
  <c r="J942" i="20"/>
  <c r="I942" i="20"/>
  <c r="H942" i="20"/>
  <c r="J956" i="20"/>
  <c r="H956" i="20"/>
  <c r="I956" i="20"/>
  <c r="I648" i="20"/>
  <c r="H648" i="20"/>
  <c r="I667" i="20"/>
  <c r="I680" i="20"/>
  <c r="H680" i="20"/>
  <c r="I699" i="20"/>
  <c r="I712" i="20"/>
  <c r="H712" i="20"/>
  <c r="I731" i="20"/>
  <c r="H743" i="20"/>
  <c r="I744" i="20"/>
  <c r="H744" i="20"/>
  <c r="I763" i="20"/>
  <c r="J764" i="20"/>
  <c r="H775" i="20"/>
  <c r="I776" i="20"/>
  <c r="H776" i="20"/>
  <c r="I799" i="20"/>
  <c r="I815" i="20"/>
  <c r="I823" i="20"/>
  <c r="J859" i="20"/>
  <c r="I859" i="20"/>
  <c r="I885" i="20"/>
  <c r="J890" i="20"/>
  <c r="I890" i="20"/>
  <c r="H891" i="20"/>
  <c r="H913" i="20"/>
  <c r="I913" i="20"/>
  <c r="J955" i="20"/>
  <c r="I955" i="20"/>
  <c r="H955" i="20"/>
  <c r="J1033" i="20"/>
  <c r="I1033" i="20"/>
  <c r="H1033" i="20"/>
  <c r="H1071" i="20"/>
  <c r="J1071" i="20"/>
  <c r="I1071" i="20"/>
  <c r="I1076" i="20"/>
  <c r="H1076" i="20"/>
  <c r="J1076" i="20"/>
  <c r="J1206" i="20"/>
  <c r="I1206" i="20"/>
  <c r="H1206" i="20"/>
  <c r="J828" i="20"/>
  <c r="H828" i="20"/>
  <c r="H881" i="20"/>
  <c r="I881" i="20"/>
  <c r="J907" i="20"/>
  <c r="I907" i="20"/>
  <c r="J908" i="20"/>
  <c r="H908" i="20"/>
  <c r="I908" i="20"/>
  <c r="H925" i="20"/>
  <c r="I925" i="20"/>
  <c r="H941" i="20"/>
  <c r="J941" i="20"/>
  <c r="I941" i="20"/>
  <c r="J952" i="20"/>
  <c r="H952" i="20"/>
  <c r="J1015" i="20"/>
  <c r="H1015" i="20"/>
  <c r="H1028" i="20"/>
  <c r="I1028" i="20"/>
  <c r="H1030" i="20"/>
  <c r="J1030" i="20"/>
  <c r="J1058" i="20"/>
  <c r="H1058" i="20"/>
  <c r="I1058" i="20"/>
  <c r="J1070" i="20"/>
  <c r="H1070" i="20"/>
  <c r="I1070" i="20"/>
  <c r="H1157" i="20"/>
  <c r="I1157" i="20"/>
  <c r="J1157" i="20"/>
  <c r="I828" i="20"/>
  <c r="I829" i="20"/>
  <c r="I830" i="20"/>
  <c r="J832" i="20"/>
  <c r="H832" i="20"/>
  <c r="J878" i="20"/>
  <c r="H878" i="20"/>
  <c r="J880" i="20"/>
  <c r="H880" i="20"/>
  <c r="I880" i="20"/>
  <c r="J881" i="20"/>
  <c r="J900" i="20"/>
  <c r="H900" i="20"/>
  <c r="I901" i="20"/>
  <c r="H902" i="20"/>
  <c r="J904" i="20"/>
  <c r="H904" i="20"/>
  <c r="I905" i="20"/>
  <c r="H906" i="20"/>
  <c r="H907" i="20"/>
  <c r="J923" i="20"/>
  <c r="I923" i="20"/>
  <c r="J924" i="20"/>
  <c r="H924" i="20"/>
  <c r="I924" i="20"/>
  <c r="J925" i="20"/>
  <c r="J939" i="20"/>
  <c r="I939" i="20"/>
  <c r="J940" i="20"/>
  <c r="H940" i="20"/>
  <c r="I940" i="20"/>
  <c r="H951" i="20"/>
  <c r="I952" i="20"/>
  <c r="I1015" i="20"/>
  <c r="H1017" i="20"/>
  <c r="J1017" i="20"/>
  <c r="I1017" i="20"/>
  <c r="J1027" i="20"/>
  <c r="I1027" i="20"/>
  <c r="J1028" i="20"/>
  <c r="I1030" i="20"/>
  <c r="H1075" i="20"/>
  <c r="J1075" i="20"/>
  <c r="I1075" i="20"/>
  <c r="H1152" i="20"/>
  <c r="J1152" i="20"/>
  <c r="I1152" i="20"/>
  <c r="J836" i="20"/>
  <c r="H836" i="20"/>
  <c r="H845" i="20"/>
  <c r="I845" i="20"/>
  <c r="J848" i="20"/>
  <c r="H848" i="20"/>
  <c r="H877" i="20"/>
  <c r="I877" i="20"/>
  <c r="H897" i="20"/>
  <c r="I897" i="20"/>
  <c r="J920" i="20"/>
  <c r="H920" i="20"/>
  <c r="J936" i="20"/>
  <c r="H936" i="20"/>
  <c r="J974" i="20"/>
  <c r="I974" i="20"/>
  <c r="H974" i="20"/>
  <c r="J1057" i="20"/>
  <c r="H1057" i="20"/>
  <c r="I1057" i="20"/>
  <c r="J1093" i="20"/>
  <c r="I1093" i="20"/>
  <c r="J1094" i="20"/>
  <c r="H1094" i="20"/>
  <c r="I1094" i="20"/>
  <c r="J833" i="20"/>
  <c r="H835" i="20"/>
  <c r="I836" i="20"/>
  <c r="J837" i="20"/>
  <c r="H839" i="20"/>
  <c r="J840" i="20"/>
  <c r="H840" i="20"/>
  <c r="J843" i="20"/>
  <c r="I843" i="20"/>
  <c r="J844" i="20"/>
  <c r="H844" i="20"/>
  <c r="I844" i="20"/>
  <c r="J845" i="20"/>
  <c r="J846" i="20"/>
  <c r="I848" i="20"/>
  <c r="I849" i="20"/>
  <c r="J852" i="20"/>
  <c r="H852" i="20"/>
  <c r="I853" i="20"/>
  <c r="H861" i="20"/>
  <c r="I861" i="20"/>
  <c r="I862" i="20"/>
  <c r="J864" i="20"/>
  <c r="H864" i="20"/>
  <c r="J875" i="20"/>
  <c r="I875" i="20"/>
  <c r="J876" i="20"/>
  <c r="H876" i="20"/>
  <c r="I876" i="20"/>
  <c r="J877" i="20"/>
  <c r="J896" i="20"/>
  <c r="H896" i="20"/>
  <c r="I896" i="20"/>
  <c r="J897" i="20"/>
  <c r="J898" i="20"/>
  <c r="I903" i="20"/>
  <c r="I914" i="20"/>
  <c r="H914" i="20"/>
  <c r="H919" i="20"/>
  <c r="I920" i="20"/>
  <c r="J921" i="20"/>
  <c r="I922" i="20"/>
  <c r="I930" i="20"/>
  <c r="H930" i="20"/>
  <c r="H935" i="20"/>
  <c r="I936" i="20"/>
  <c r="J937" i="20"/>
  <c r="I938" i="20"/>
  <c r="I1034" i="20"/>
  <c r="J1034" i="20"/>
  <c r="H1034" i="20"/>
  <c r="J1090" i="20"/>
  <c r="H1090" i="20"/>
  <c r="I1091" i="20"/>
  <c r="H1092" i="20"/>
  <c r="H1093" i="20"/>
  <c r="J990" i="20"/>
  <c r="H990" i="20"/>
  <c r="J991" i="20"/>
  <c r="H991" i="20"/>
  <c r="H1051" i="20"/>
  <c r="J1051" i="20"/>
  <c r="I1051" i="20"/>
  <c r="J1097" i="20"/>
  <c r="I1097" i="20"/>
  <c r="H1097" i="20"/>
  <c r="J1114" i="20"/>
  <c r="I1114" i="20"/>
  <c r="H1114" i="20"/>
  <c r="I1124" i="20"/>
  <c r="H1124" i="20"/>
  <c r="J1124" i="20"/>
  <c r="H1180" i="20"/>
  <c r="J1180" i="20"/>
  <c r="I1180" i="20"/>
  <c r="H1192" i="20"/>
  <c r="J1192" i="20"/>
  <c r="I1192" i="20"/>
  <c r="J944" i="20"/>
  <c r="H944" i="20"/>
  <c r="J960" i="20"/>
  <c r="H960" i="20"/>
  <c r="J976" i="20"/>
  <c r="H976" i="20"/>
  <c r="H1036" i="20"/>
  <c r="I1036" i="20"/>
  <c r="J1043" i="20"/>
  <c r="I1043" i="20"/>
  <c r="H1043" i="20"/>
  <c r="J1081" i="20"/>
  <c r="I1081" i="20"/>
  <c r="H1081" i="20"/>
  <c r="J1096" i="20"/>
  <c r="I1096" i="20"/>
  <c r="J1155" i="20"/>
  <c r="H1155" i="20"/>
  <c r="J1174" i="20"/>
  <c r="I1174" i="20"/>
  <c r="H1174" i="20"/>
  <c r="J1179" i="20"/>
  <c r="H1179" i="20"/>
  <c r="I1179" i="20"/>
  <c r="I895" i="20"/>
  <c r="I911" i="20"/>
  <c r="I927" i="20"/>
  <c r="I943" i="20"/>
  <c r="I944" i="20"/>
  <c r="I945" i="20"/>
  <c r="H946" i="20"/>
  <c r="I959" i="20"/>
  <c r="I960" i="20"/>
  <c r="I961" i="20"/>
  <c r="H962" i="20"/>
  <c r="I976" i="20"/>
  <c r="I977" i="20"/>
  <c r="H978" i="20"/>
  <c r="H994" i="20"/>
  <c r="H1007" i="20"/>
  <c r="H1008" i="20"/>
  <c r="J1008" i="20"/>
  <c r="J1009" i="20"/>
  <c r="H1009" i="20"/>
  <c r="H1019" i="20"/>
  <c r="I1020" i="20"/>
  <c r="J1022" i="20"/>
  <c r="H1022" i="20"/>
  <c r="J1023" i="20"/>
  <c r="H1023" i="20"/>
  <c r="J1036" i="20"/>
  <c r="H1038" i="20"/>
  <c r="J1039" i="20"/>
  <c r="I1039" i="20"/>
  <c r="I1041" i="20"/>
  <c r="H1041" i="20"/>
  <c r="H1046" i="20"/>
  <c r="J1047" i="20"/>
  <c r="I1047" i="20"/>
  <c r="J1050" i="20"/>
  <c r="I1050" i="20"/>
  <c r="H1050" i="20"/>
  <c r="J1064" i="20"/>
  <c r="I1064" i="20"/>
  <c r="H1064" i="20"/>
  <c r="H1096" i="20"/>
  <c r="I1108" i="20"/>
  <c r="J1110" i="20"/>
  <c r="I1110" i="20"/>
  <c r="H1110" i="20"/>
  <c r="J1112" i="20"/>
  <c r="I1155" i="20"/>
  <c r="J916" i="20"/>
  <c r="H916" i="20"/>
  <c r="J932" i="20"/>
  <c r="H932" i="20"/>
  <c r="J945" i="20"/>
  <c r="J948" i="20"/>
  <c r="H948" i="20"/>
  <c r="J961" i="20"/>
  <c r="J964" i="20"/>
  <c r="H964" i="20"/>
  <c r="J977" i="20"/>
  <c r="J980" i="20"/>
  <c r="H980" i="20"/>
  <c r="J995" i="20"/>
  <c r="I995" i="20"/>
  <c r="H996" i="20"/>
  <c r="I996" i="20"/>
  <c r="I1007" i="20"/>
  <c r="I1019" i="20"/>
  <c r="J1020" i="20"/>
  <c r="I1072" i="20"/>
  <c r="H1072" i="20"/>
  <c r="H1095" i="20"/>
  <c r="J1095" i="20"/>
  <c r="I1095" i="20"/>
  <c r="J1106" i="20"/>
  <c r="I1106" i="20"/>
  <c r="H1106" i="20"/>
  <c r="H1145" i="20"/>
  <c r="J1145" i="20"/>
  <c r="J1154" i="20"/>
  <c r="I1154" i="20"/>
  <c r="H1154" i="20"/>
  <c r="H1173" i="20"/>
  <c r="J1173" i="20"/>
  <c r="I1173" i="20"/>
  <c r="H1208" i="20"/>
  <c r="J1208" i="20"/>
  <c r="I1208" i="20"/>
  <c r="H1141" i="20"/>
  <c r="J1141" i="20"/>
  <c r="I1141" i="20"/>
  <c r="J1146" i="20"/>
  <c r="I1146" i="20"/>
  <c r="H1156" i="20"/>
  <c r="J1156" i="20"/>
  <c r="H1177" i="20"/>
  <c r="J1177" i="20"/>
  <c r="I1177" i="20"/>
  <c r="J1053" i="20"/>
  <c r="I1053" i="20"/>
  <c r="J1074" i="20"/>
  <c r="H1074" i="20"/>
  <c r="J1080" i="20"/>
  <c r="I1080" i="20"/>
  <c r="H1144" i="20"/>
  <c r="J1144" i="20"/>
  <c r="I1144" i="20"/>
  <c r="H1153" i="20"/>
  <c r="J1153" i="20"/>
  <c r="H1184" i="20"/>
  <c r="J1184" i="20"/>
  <c r="H1042" i="20"/>
  <c r="H1052" i="20"/>
  <c r="H1053" i="20"/>
  <c r="J1065" i="20"/>
  <c r="I1065" i="20"/>
  <c r="H1065" i="20"/>
  <c r="H1073" i="20"/>
  <c r="I1074" i="20"/>
  <c r="H1077" i="20"/>
  <c r="J1078" i="20"/>
  <c r="H1078" i="20"/>
  <c r="H1079" i="20"/>
  <c r="J1079" i="20"/>
  <c r="H1080" i="20"/>
  <c r="J1121" i="20"/>
  <c r="I1121" i="20"/>
  <c r="H1121" i="20"/>
  <c r="J1143" i="20"/>
  <c r="H1143" i="20"/>
  <c r="I1143" i="20"/>
  <c r="I1153" i="20"/>
  <c r="J1183" i="20"/>
  <c r="H1183" i="20"/>
  <c r="I1184" i="20"/>
  <c r="J1062" i="20"/>
  <c r="H1062" i="20"/>
  <c r="H1063" i="20"/>
  <c r="J1063" i="20"/>
  <c r="J1102" i="20"/>
  <c r="H1102" i="20"/>
  <c r="J1117" i="20"/>
  <c r="I1117" i="20"/>
  <c r="J1118" i="20"/>
  <c r="I1118" i="20"/>
  <c r="H1118" i="20"/>
  <c r="H1160" i="20"/>
  <c r="J1160" i="20"/>
  <c r="J1178" i="20"/>
  <c r="I1178" i="20"/>
  <c r="J1181" i="20"/>
  <c r="I1182" i="20"/>
  <c r="J1222" i="20"/>
  <c r="I1222" i="20"/>
  <c r="H1222" i="20"/>
  <c r="J1191" i="20"/>
  <c r="H1191" i="20"/>
  <c r="J1230" i="20"/>
  <c r="I1230" i="20"/>
  <c r="J1066" i="20"/>
  <c r="H1066" i="20"/>
  <c r="J1082" i="20"/>
  <c r="H1082" i="20"/>
  <c r="J1098" i="20"/>
  <c r="H1098" i="20"/>
  <c r="J1122" i="20"/>
  <c r="I1122" i="20"/>
  <c r="H1122" i="20"/>
  <c r="J1142" i="20"/>
  <c r="I1142" i="20"/>
  <c r="H1142" i="20"/>
  <c r="J1151" i="20"/>
  <c r="H1151" i="20"/>
  <c r="H1176" i="20"/>
  <c r="J1176" i="20"/>
  <c r="I1176" i="20"/>
  <c r="H1188" i="20"/>
  <c r="J1188" i="20"/>
  <c r="I1189" i="20"/>
  <c r="H1190" i="20"/>
  <c r="I1191" i="20"/>
  <c r="H1205" i="20"/>
  <c r="J1205" i="20"/>
  <c r="I1205" i="20"/>
  <c r="H1212" i="20"/>
  <c r="J1212" i="20"/>
  <c r="I1212" i="20"/>
  <c r="H1220" i="20"/>
  <c r="J1220" i="20"/>
  <c r="I1220" i="20"/>
  <c r="H1230" i="20"/>
  <c r="J1238" i="20"/>
  <c r="I1238" i="20"/>
  <c r="H1238" i="20"/>
  <c r="H1054" i="20"/>
  <c r="I1066" i="20"/>
  <c r="I1067" i="20"/>
  <c r="I1082" i="20"/>
  <c r="I1083" i="20"/>
  <c r="I1098" i="20"/>
  <c r="I1099" i="20"/>
  <c r="H1125" i="20"/>
  <c r="J1126" i="20"/>
  <c r="I1126" i="20"/>
  <c r="H1126" i="20"/>
  <c r="J1147" i="20"/>
  <c r="H1147" i="20"/>
  <c r="H1148" i="20"/>
  <c r="J1148" i="20"/>
  <c r="J1175" i="20"/>
  <c r="H1175" i="20"/>
  <c r="I1175" i="20"/>
  <c r="J1187" i="20"/>
  <c r="H1187" i="20"/>
  <c r="I1188" i="20"/>
  <c r="J1189" i="20"/>
  <c r="I1190" i="20"/>
  <c r="H1228" i="20"/>
  <c r="J1228" i="20"/>
  <c r="I1228" i="20"/>
  <c r="J1210" i="20"/>
  <c r="I1210" i="20"/>
  <c r="J1218" i="20"/>
  <c r="I1218" i="20"/>
  <c r="J1139" i="20"/>
  <c r="H1139" i="20"/>
  <c r="H1140" i="20"/>
  <c r="J1140" i="20"/>
  <c r="J1171" i="20"/>
  <c r="H1171" i="20"/>
  <c r="H1172" i="20"/>
  <c r="J1172" i="20"/>
  <c r="J1203" i="20"/>
  <c r="H1203" i="20"/>
  <c r="H1204" i="20"/>
  <c r="J1204" i="20"/>
  <c r="H1216" i="20"/>
  <c r="J1216" i="20"/>
  <c r="I1216" i="20"/>
  <c r="J1226" i="20"/>
  <c r="I1226" i="20"/>
  <c r="I1127" i="20"/>
  <c r="J1135" i="20"/>
  <c r="H1135" i="20"/>
  <c r="H1136" i="20"/>
  <c r="J1136" i="20"/>
  <c r="I1137" i="20"/>
  <c r="H1138" i="20"/>
  <c r="I1139" i="20"/>
  <c r="I1140" i="20"/>
  <c r="J1167" i="20"/>
  <c r="H1167" i="20"/>
  <c r="H1168" i="20"/>
  <c r="J1168" i="20"/>
  <c r="I1169" i="20"/>
  <c r="H1170" i="20"/>
  <c r="I1171" i="20"/>
  <c r="I1172" i="20"/>
  <c r="J1199" i="20"/>
  <c r="H1199" i="20"/>
  <c r="H1200" i="20"/>
  <c r="J1200" i="20"/>
  <c r="I1201" i="20"/>
  <c r="H1202" i="20"/>
  <c r="I1203" i="20"/>
  <c r="I1204" i="20"/>
  <c r="J1214" i="20"/>
  <c r="I1214" i="20"/>
  <c r="H1226" i="20"/>
  <c r="J1127" i="20"/>
  <c r="J1131" i="20"/>
  <c r="H1131" i="20"/>
  <c r="H1132" i="20"/>
  <c r="J1132" i="20"/>
  <c r="I1133" i="20"/>
  <c r="H1134" i="20"/>
  <c r="I1135" i="20"/>
  <c r="I1136" i="20"/>
  <c r="J1137" i="20"/>
  <c r="I1138" i="20"/>
  <c r="J1163" i="20"/>
  <c r="H1163" i="20"/>
  <c r="H1164" i="20"/>
  <c r="J1164" i="20"/>
  <c r="I1165" i="20"/>
  <c r="H1166" i="20"/>
  <c r="I1167" i="20"/>
  <c r="I1168" i="20"/>
  <c r="J1169" i="20"/>
  <c r="I1170" i="20"/>
  <c r="J1195" i="20"/>
  <c r="H1195" i="20"/>
  <c r="H1196" i="20"/>
  <c r="J1196" i="20"/>
  <c r="I1197" i="20"/>
  <c r="H1198" i="20"/>
  <c r="I1199" i="20"/>
  <c r="I1200" i="20"/>
  <c r="J1201" i="20"/>
  <c r="I1202" i="20"/>
  <c r="H1214" i="20"/>
  <c r="H1224" i="20"/>
  <c r="J1224" i="20"/>
  <c r="I1224" i="20"/>
  <c r="J1234" i="20"/>
  <c r="I1234" i="20"/>
  <c r="I1232" i="20"/>
  <c r="I1236" i="20"/>
  <c r="J1232" i="20"/>
  <c r="J1236" i="20"/>
  <c r="H1207" i="20"/>
  <c r="H1211" i="20"/>
  <c r="H1215" i="20"/>
  <c r="H1219" i="20"/>
  <c r="H1223" i="20"/>
  <c r="H1227" i="20"/>
  <c r="H1231" i="20"/>
  <c r="H1235" i="20"/>
  <c r="K107" i="10" a="1"/>
  <c r="K107" i="10" s="1"/>
  <c r="I1191" i="8"/>
  <c r="I1167" i="8"/>
  <c r="I1159" i="8"/>
  <c r="I1136" i="8"/>
  <c r="I1080" i="8"/>
  <c r="I1040" i="8"/>
  <c r="I1194" i="8"/>
  <c r="I1201" i="8"/>
  <c r="I1225" i="8"/>
  <c r="I1032" i="8"/>
  <c r="I1160" i="8"/>
  <c r="I1089" i="8"/>
  <c r="I1073" i="8"/>
  <c r="I1215" i="8"/>
  <c r="I1072" i="8"/>
  <c r="I1166" i="8"/>
  <c r="I1184" i="8"/>
  <c r="I1151" i="8"/>
  <c r="I1104" i="8"/>
  <c r="I1065" i="8"/>
  <c r="I998" i="8"/>
  <c r="I1216" i="8"/>
  <c r="I1183" i="8"/>
  <c r="I1145" i="8"/>
  <c r="I1097" i="8"/>
  <c r="I1064" i="8"/>
  <c r="I996" i="8"/>
  <c r="I1224" i="8"/>
  <c r="I1090" i="8"/>
  <c r="I1177" i="8"/>
  <c r="I1144" i="8"/>
  <c r="I1096" i="8"/>
  <c r="I1057" i="8"/>
  <c r="I967" i="8"/>
  <c r="I1111" i="8"/>
  <c r="I1209" i="8"/>
  <c r="I1235" i="8"/>
  <c r="I1143" i="8"/>
  <c r="I1095" i="8"/>
  <c r="I1056" i="8"/>
  <c r="I948" i="8"/>
  <c r="I1207" i="8"/>
  <c r="I1168" i="8"/>
  <c r="I1112" i="8"/>
  <c r="I1003" i="8"/>
  <c r="I1049" i="8"/>
  <c r="I796" i="8"/>
  <c r="J832" i="8"/>
  <c r="I832" i="8"/>
  <c r="H775" i="8"/>
  <c r="I775" i="8"/>
  <c r="H614" i="8"/>
  <c r="I614" i="8"/>
  <c r="H839" i="8"/>
  <c r="I839" i="8"/>
  <c r="H591" i="8"/>
  <c r="I591" i="8"/>
  <c r="H470" i="8"/>
  <c r="I470" i="8"/>
  <c r="H554" i="8"/>
  <c r="I554" i="8"/>
  <c r="I1217" i="8"/>
  <c r="I1185" i="8"/>
  <c r="I1129" i="8"/>
  <c r="I1121" i="8"/>
  <c r="I1105" i="8"/>
  <c r="I1041" i="8"/>
  <c r="I1033" i="8"/>
  <c r="I1025" i="8"/>
  <c r="I1017" i="8"/>
  <c r="I1009" i="8"/>
  <c r="I983" i="8"/>
  <c r="I951" i="8"/>
  <c r="I935" i="8"/>
  <c r="I903" i="8"/>
  <c r="I887" i="8"/>
  <c r="I871" i="8"/>
  <c r="I804" i="8"/>
  <c r="I772" i="8"/>
  <c r="I676" i="8"/>
  <c r="I632" i="8"/>
  <c r="I548" i="8"/>
  <c r="J926" i="8"/>
  <c r="I926" i="8"/>
  <c r="J862" i="8"/>
  <c r="I862" i="8"/>
  <c r="H816" i="8"/>
  <c r="I816" i="8"/>
  <c r="J750" i="8"/>
  <c r="I750" i="8"/>
  <c r="H711" i="8"/>
  <c r="I711" i="8"/>
  <c r="J525" i="8"/>
  <c r="I525" i="8"/>
  <c r="J990" i="8"/>
  <c r="I990" i="8"/>
  <c r="J987" i="8"/>
  <c r="I987" i="8"/>
  <c r="J966" i="8"/>
  <c r="I966" i="8"/>
  <c r="H910" i="8"/>
  <c r="I910" i="8"/>
  <c r="J907" i="8"/>
  <c r="I907" i="8"/>
  <c r="H894" i="8"/>
  <c r="I894" i="8"/>
  <c r="H889" i="8"/>
  <c r="I889" i="8"/>
  <c r="H875" i="8"/>
  <c r="I875" i="8"/>
  <c r="H864" i="8"/>
  <c r="I864" i="8"/>
  <c r="H823" i="8"/>
  <c r="I823" i="8"/>
  <c r="H815" i="8"/>
  <c r="I815" i="8"/>
  <c r="H808" i="8"/>
  <c r="I808" i="8"/>
  <c r="H781" i="8"/>
  <c r="I781" i="8"/>
  <c r="H763" i="8"/>
  <c r="I763" i="8"/>
  <c r="H755" i="8"/>
  <c r="I755" i="8"/>
  <c r="H749" i="8"/>
  <c r="I749" i="8"/>
  <c r="H733" i="8"/>
  <c r="I733" i="8"/>
  <c r="J725" i="8"/>
  <c r="I725" i="8"/>
  <c r="H709" i="8"/>
  <c r="I709" i="8"/>
  <c r="H646" i="8"/>
  <c r="I646" i="8"/>
  <c r="H348" i="8"/>
  <c r="I348" i="8"/>
  <c r="J117" i="8"/>
  <c r="I117" i="8"/>
  <c r="J920" i="8"/>
  <c r="I920" i="8"/>
  <c r="H589" i="8"/>
  <c r="I589" i="8"/>
  <c r="J435" i="8"/>
  <c r="I435" i="8"/>
  <c r="J495" i="8"/>
  <c r="I495" i="8"/>
  <c r="I1208" i="8"/>
  <c r="I1200" i="8"/>
  <c r="I1002" i="8"/>
  <c r="I1176" i="8"/>
  <c r="I1120" i="8"/>
  <c r="I1052" i="8"/>
  <c r="I1088" i="8"/>
  <c r="I1048" i="8"/>
  <c r="I1016" i="8"/>
  <c r="I1008" i="8"/>
  <c r="I981" i="8"/>
  <c r="I965" i="8"/>
  <c r="I933" i="8"/>
  <c r="I917" i="8"/>
  <c r="I901" i="8"/>
  <c r="I885" i="8"/>
  <c r="I869" i="8"/>
  <c r="I853" i="8"/>
  <c r="I834" i="8"/>
  <c r="I802" i="8"/>
  <c r="I770" i="8"/>
  <c r="I706" i="8"/>
  <c r="I672" i="8"/>
  <c r="H806" i="8"/>
  <c r="I806" i="8"/>
  <c r="H979" i="8"/>
  <c r="I979" i="8"/>
  <c r="H934" i="8"/>
  <c r="I934" i="8"/>
  <c r="H928" i="8"/>
  <c r="I928" i="8"/>
  <c r="H873" i="8"/>
  <c r="I873" i="8"/>
  <c r="H827" i="8"/>
  <c r="I827" i="8"/>
  <c r="J822" i="8"/>
  <c r="I822" i="8"/>
  <c r="J814" i="8"/>
  <c r="I814" i="8"/>
  <c r="H807" i="8"/>
  <c r="I807" i="8"/>
  <c r="H792" i="8"/>
  <c r="I792" i="8"/>
  <c r="H785" i="8"/>
  <c r="I785" i="8"/>
  <c r="H717" i="8"/>
  <c r="I717" i="8"/>
  <c r="J565" i="8"/>
  <c r="I565" i="8"/>
  <c r="J135" i="8"/>
  <c r="I135" i="8"/>
  <c r="H856" i="8"/>
  <c r="I856" i="8"/>
  <c r="J1000" i="8"/>
  <c r="I1000" i="8"/>
  <c r="J918" i="8"/>
  <c r="I918" i="8"/>
  <c r="J883" i="8"/>
  <c r="I883" i="8"/>
  <c r="H741" i="8"/>
  <c r="I741" i="8"/>
  <c r="H587" i="8"/>
  <c r="I587" i="8"/>
  <c r="H417" i="8"/>
  <c r="I417" i="8"/>
  <c r="H466" i="8"/>
  <c r="I466" i="8"/>
  <c r="H1169" i="8"/>
  <c r="I1169" i="8"/>
  <c r="I1199" i="8"/>
  <c r="I1175" i="8"/>
  <c r="I1135" i="8"/>
  <c r="I1103" i="8"/>
  <c r="I1087" i="8"/>
  <c r="I1071" i="8"/>
  <c r="I1063" i="8"/>
  <c r="I1055" i="8"/>
  <c r="I1047" i="8"/>
  <c r="I1039" i="8"/>
  <c r="I1023" i="8"/>
  <c r="I1015" i="8"/>
  <c r="I1007" i="8"/>
  <c r="I980" i="8"/>
  <c r="I964" i="8"/>
  <c r="I932" i="8"/>
  <c r="I916" i="8"/>
  <c r="I900" i="8"/>
  <c r="I868" i="8"/>
  <c r="I828" i="8"/>
  <c r="I764" i="8"/>
  <c r="I732" i="8"/>
  <c r="I580" i="8"/>
  <c r="J912" i="8"/>
  <c r="I912" i="8"/>
  <c r="J726" i="8"/>
  <c r="I726" i="8"/>
  <c r="H696" i="8"/>
  <c r="I696" i="8"/>
  <c r="H675" i="8"/>
  <c r="I675" i="8"/>
  <c r="J993" i="8"/>
  <c r="I993" i="8"/>
  <c r="J960" i="8"/>
  <c r="I960" i="8"/>
  <c r="H955" i="8"/>
  <c r="I955" i="8"/>
  <c r="J942" i="8"/>
  <c r="I942" i="8"/>
  <c r="J902" i="8"/>
  <c r="I902" i="8"/>
  <c r="H896" i="8"/>
  <c r="I896" i="8"/>
  <c r="J888" i="8"/>
  <c r="I888" i="8"/>
  <c r="H867" i="8"/>
  <c r="I867" i="8"/>
  <c r="H851" i="8"/>
  <c r="I851" i="8"/>
  <c r="H843" i="8"/>
  <c r="I843" i="8"/>
  <c r="H830" i="8"/>
  <c r="I830" i="8"/>
  <c r="H813" i="8"/>
  <c r="I813" i="8"/>
  <c r="J805" i="8"/>
  <c r="I805" i="8"/>
  <c r="J791" i="8"/>
  <c r="I791" i="8"/>
  <c r="H784" i="8"/>
  <c r="I784" i="8"/>
  <c r="H761" i="8"/>
  <c r="I761" i="8"/>
  <c r="H753" i="8"/>
  <c r="I753" i="8"/>
  <c r="H745" i="8"/>
  <c r="I745" i="8"/>
  <c r="H731" i="8"/>
  <c r="I731" i="8"/>
  <c r="H723" i="8"/>
  <c r="I723" i="8"/>
  <c r="J707" i="8"/>
  <c r="I707" i="8"/>
  <c r="H655" i="8"/>
  <c r="I655" i="8"/>
  <c r="J573" i="8"/>
  <c r="I573" i="8"/>
  <c r="H528" i="8"/>
  <c r="I528" i="8"/>
  <c r="H222" i="8"/>
  <c r="I222" i="8"/>
  <c r="J854" i="8"/>
  <c r="I854" i="8"/>
  <c r="J523" i="8"/>
  <c r="I523" i="8"/>
  <c r="H881" i="8"/>
  <c r="I881" i="8"/>
  <c r="J739" i="8"/>
  <c r="I739" i="8"/>
  <c r="J643" i="8"/>
  <c r="I643" i="8"/>
  <c r="H431" i="8"/>
  <c r="I431" i="8"/>
  <c r="I1222" i="8"/>
  <c r="I1214" i="8"/>
  <c r="I1198" i="8"/>
  <c r="I1190" i="8"/>
  <c r="I1182" i="8"/>
  <c r="I1174" i="8"/>
  <c r="I1220" i="8"/>
  <c r="I1158" i="8"/>
  <c r="I1150" i="8"/>
  <c r="I1142" i="8"/>
  <c r="I1134" i="8"/>
  <c r="I1126" i="8"/>
  <c r="I1118" i="8"/>
  <c r="I1110" i="8"/>
  <c r="I1102" i="8"/>
  <c r="I1094" i="8"/>
  <c r="I1086" i="8"/>
  <c r="I1078" i="8"/>
  <c r="I1070" i="8"/>
  <c r="I1062" i="8"/>
  <c r="I1054" i="8"/>
  <c r="I1046" i="8"/>
  <c r="I1038" i="8"/>
  <c r="I1030" i="8"/>
  <c r="I1022" i="8"/>
  <c r="I1014" i="8"/>
  <c r="I1006" i="8"/>
  <c r="I994" i="8"/>
  <c r="I978" i="8"/>
  <c r="I962" i="8"/>
  <c r="I946" i="8"/>
  <c r="I930" i="8"/>
  <c r="I914" i="8"/>
  <c r="I898" i="8"/>
  <c r="I866" i="8"/>
  <c r="I826" i="8"/>
  <c r="I762" i="8"/>
  <c r="I730" i="8"/>
  <c r="H483" i="8"/>
  <c r="I483" i="8"/>
  <c r="H976" i="8"/>
  <c r="I976" i="8"/>
  <c r="H963" i="8"/>
  <c r="I963" i="8"/>
  <c r="H952" i="8"/>
  <c r="I952" i="8"/>
  <c r="J937" i="8"/>
  <c r="I937" i="8"/>
  <c r="J936" i="8"/>
  <c r="I936" i="8"/>
  <c r="J915" i="8"/>
  <c r="I915" i="8"/>
  <c r="H897" i="8"/>
  <c r="I897" i="8"/>
  <c r="H872" i="8"/>
  <c r="I872" i="8"/>
  <c r="J829" i="8"/>
  <c r="I829" i="8"/>
  <c r="J790" i="8"/>
  <c r="I790" i="8"/>
  <c r="J783" i="8"/>
  <c r="I783" i="8"/>
  <c r="J769" i="8"/>
  <c r="I769" i="8"/>
  <c r="J760" i="8"/>
  <c r="I760" i="8"/>
  <c r="J752" i="8"/>
  <c r="I752" i="8"/>
  <c r="J744" i="8"/>
  <c r="I744" i="8"/>
  <c r="H715" i="8"/>
  <c r="I715" i="8"/>
  <c r="H661" i="8"/>
  <c r="I661" i="8"/>
  <c r="J623" i="8"/>
  <c r="I623" i="8"/>
  <c r="J527" i="8"/>
  <c r="I527" i="8"/>
  <c r="H204" i="8"/>
  <c r="I204" i="8"/>
  <c r="J157" i="8"/>
  <c r="I157" i="8"/>
  <c r="J680" i="8"/>
  <c r="I680" i="8"/>
  <c r="H521" i="8"/>
  <c r="I521" i="8"/>
  <c r="H800" i="8"/>
  <c r="I800" i="8"/>
  <c r="H737" i="8"/>
  <c r="I737" i="8"/>
  <c r="H641" i="8"/>
  <c r="I641" i="8"/>
  <c r="J497" i="8"/>
  <c r="I497" i="8"/>
  <c r="H415" i="8"/>
  <c r="I415" i="8"/>
  <c r="I1236" i="8"/>
  <c r="I1229" i="8"/>
  <c r="I1213" i="8"/>
  <c r="I1197" i="8"/>
  <c r="I1181" i="8"/>
  <c r="I1173" i="8"/>
  <c r="I1193" i="8"/>
  <c r="I1149" i="8"/>
  <c r="I1141" i="8"/>
  <c r="I1133" i="8"/>
  <c r="I1125" i="8"/>
  <c r="I1117" i="8"/>
  <c r="I1109" i="8"/>
  <c r="I1101" i="8"/>
  <c r="I1093" i="8"/>
  <c r="I1085" i="8"/>
  <c r="I1069" i="8"/>
  <c r="I1061" i="8"/>
  <c r="I1237" i="8"/>
  <c r="I1045" i="8"/>
  <c r="I1037" i="8"/>
  <c r="I1029" i="8"/>
  <c r="I1021" i="8"/>
  <c r="I1013" i="8"/>
  <c r="I1005" i="8"/>
  <c r="I991" i="8"/>
  <c r="I975" i="8"/>
  <c r="I959" i="8"/>
  <c r="I943" i="8"/>
  <c r="I927" i="8"/>
  <c r="I911" i="8"/>
  <c r="I895" i="8"/>
  <c r="I879" i="8"/>
  <c r="I863" i="8"/>
  <c r="I820" i="8"/>
  <c r="I788" i="8"/>
  <c r="I756" i="8"/>
  <c r="I724" i="8"/>
  <c r="I692" i="8"/>
  <c r="H846" i="8"/>
  <c r="I846" i="8"/>
  <c r="H824" i="8"/>
  <c r="I824" i="8"/>
  <c r="H734" i="8"/>
  <c r="I734" i="8"/>
  <c r="J710" i="8"/>
  <c r="I710" i="8"/>
  <c r="J995" i="8"/>
  <c r="I995" i="8"/>
  <c r="H982" i="8"/>
  <c r="I982" i="8"/>
  <c r="H977" i="8"/>
  <c r="I977" i="8"/>
  <c r="H961" i="8"/>
  <c r="I961" i="8"/>
  <c r="J953" i="8"/>
  <c r="I953" i="8"/>
  <c r="J891" i="8"/>
  <c r="I891" i="8"/>
  <c r="J865" i="8"/>
  <c r="I865" i="8"/>
  <c r="J849" i="8"/>
  <c r="I849" i="8"/>
  <c r="H841" i="8"/>
  <c r="I841" i="8"/>
  <c r="H819" i="8"/>
  <c r="I819" i="8"/>
  <c r="H811" i="8"/>
  <c r="I811" i="8"/>
  <c r="J803" i="8"/>
  <c r="I803" i="8"/>
  <c r="J789" i="8"/>
  <c r="I789" i="8"/>
  <c r="H782" i="8"/>
  <c r="I782" i="8"/>
  <c r="H767" i="8"/>
  <c r="I767" i="8"/>
  <c r="J759" i="8"/>
  <c r="I759" i="8"/>
  <c r="H751" i="8"/>
  <c r="I751" i="8"/>
  <c r="H743" i="8"/>
  <c r="I743" i="8"/>
  <c r="J729" i="8"/>
  <c r="I729" i="8"/>
  <c r="H721" i="8"/>
  <c r="I721" i="8"/>
  <c r="J705" i="8"/>
  <c r="I705" i="8"/>
  <c r="H673" i="8"/>
  <c r="I673" i="8"/>
  <c r="H678" i="8"/>
  <c r="I678" i="8"/>
  <c r="J971" i="8"/>
  <c r="I971" i="8"/>
  <c r="J618" i="8"/>
  <c r="I618" i="8"/>
  <c r="H798" i="8"/>
  <c r="I798" i="8"/>
  <c r="H701" i="8"/>
  <c r="I701" i="8"/>
  <c r="J639" i="8"/>
  <c r="I639" i="8"/>
  <c r="I1219" i="8"/>
  <c r="I1228" i="8"/>
  <c r="I1138" i="8"/>
  <c r="I1212" i="8"/>
  <c r="I1204" i="8"/>
  <c r="I1196" i="8"/>
  <c r="I1188" i="8"/>
  <c r="I1180" i="8"/>
  <c r="I1172" i="8"/>
  <c r="I1164" i="8"/>
  <c r="I1156" i="8"/>
  <c r="I1148" i="8"/>
  <c r="I1140" i="8"/>
  <c r="I1132" i="8"/>
  <c r="I1124" i="8"/>
  <c r="I1116" i="8"/>
  <c r="I1108" i="8"/>
  <c r="I1100" i="8"/>
  <c r="I1092" i="8"/>
  <c r="I1084" i="8"/>
  <c r="I1076" i="8"/>
  <c r="I1068" i="8"/>
  <c r="I1060" i="8"/>
  <c r="I1223" i="8"/>
  <c r="I1044" i="8"/>
  <c r="I1036" i="8"/>
  <c r="I1020" i="8"/>
  <c r="I1012" i="8"/>
  <c r="I1004" i="8"/>
  <c r="I989" i="8"/>
  <c r="I973" i="8"/>
  <c r="I957" i="8"/>
  <c r="I941" i="8"/>
  <c r="I925" i="8"/>
  <c r="I909" i="8"/>
  <c r="I893" i="8"/>
  <c r="I877" i="8"/>
  <c r="I861" i="8"/>
  <c r="I844" i="8"/>
  <c r="I818" i="8"/>
  <c r="I786" i="8"/>
  <c r="I754" i="8"/>
  <c r="I722" i="8"/>
  <c r="I690" i="8"/>
  <c r="I608" i="8"/>
  <c r="I175" i="8"/>
  <c r="J974" i="8"/>
  <c r="I974" i="8"/>
  <c r="J939" i="8"/>
  <c r="I939" i="8"/>
  <c r="J929" i="8"/>
  <c r="I929" i="8"/>
  <c r="H904" i="8"/>
  <c r="I904" i="8"/>
  <c r="J878" i="8"/>
  <c r="I878" i="8"/>
  <c r="J870" i="8"/>
  <c r="I870" i="8"/>
  <c r="H848" i="8"/>
  <c r="I848" i="8"/>
  <c r="J833" i="8"/>
  <c r="I833" i="8"/>
  <c r="J817" i="8"/>
  <c r="I817" i="8"/>
  <c r="J768" i="8"/>
  <c r="I768" i="8"/>
  <c r="H758" i="8"/>
  <c r="I758" i="8"/>
  <c r="H747" i="8"/>
  <c r="I747" i="8"/>
  <c r="H736" i="8"/>
  <c r="I736" i="8"/>
  <c r="H728" i="8"/>
  <c r="I728" i="8"/>
  <c r="H720" i="8"/>
  <c r="I720" i="8"/>
  <c r="H713" i="8"/>
  <c r="I713" i="8"/>
  <c r="H704" i="8"/>
  <c r="I704" i="8"/>
  <c r="H677" i="8"/>
  <c r="I677" i="8"/>
  <c r="H273" i="8"/>
  <c r="I273" i="8"/>
  <c r="J258" i="8"/>
  <c r="I258" i="8"/>
  <c r="J186" i="8"/>
  <c r="I186" i="8"/>
  <c r="J779" i="8"/>
  <c r="I779" i="8"/>
  <c r="J944" i="8"/>
  <c r="I944" i="8"/>
  <c r="J969" i="8"/>
  <c r="I969" i="8"/>
  <c r="H616" i="8"/>
  <c r="I616" i="8"/>
  <c r="H699" i="8"/>
  <c r="I699" i="8"/>
  <c r="J433" i="8"/>
  <c r="I433" i="8"/>
  <c r="I1192" i="8"/>
  <c r="I1227" i="8"/>
  <c r="I1113" i="8"/>
  <c r="I1203" i="8"/>
  <c r="I1195" i="8"/>
  <c r="I1179" i="8"/>
  <c r="I1171" i="8"/>
  <c r="I1163" i="8"/>
  <c r="I1155" i="8"/>
  <c r="I1147" i="8"/>
  <c r="I1165" i="8"/>
  <c r="I1131" i="8"/>
  <c r="I1123" i="8"/>
  <c r="I1115" i="8"/>
  <c r="I1107" i="8"/>
  <c r="I1099" i="8"/>
  <c r="I1091" i="8"/>
  <c r="I1083" i="8"/>
  <c r="I1075" i="8"/>
  <c r="I1067" i="8"/>
  <c r="I1059" i="8"/>
  <c r="I1051" i="8"/>
  <c r="I1043" i="8"/>
  <c r="I1035" i="8"/>
  <c r="I1027" i="8"/>
  <c r="I1019" i="8"/>
  <c r="I1011" i="8"/>
  <c r="I1139" i="8"/>
  <c r="I988" i="8"/>
  <c r="I956" i="8"/>
  <c r="I940" i="8"/>
  <c r="I924" i="8"/>
  <c r="I908" i="8"/>
  <c r="I892" i="8"/>
  <c r="I876" i="8"/>
  <c r="I860" i="8"/>
  <c r="I842" i="8"/>
  <c r="I812" i="8"/>
  <c r="I716" i="8"/>
  <c r="I558" i="8"/>
  <c r="H985" i="8"/>
  <c r="I985" i="8"/>
  <c r="H984" i="8"/>
  <c r="I984" i="8"/>
  <c r="H958" i="8"/>
  <c r="I958" i="8"/>
  <c r="H950" i="8"/>
  <c r="I950" i="8"/>
  <c r="J931" i="8"/>
  <c r="I931" i="8"/>
  <c r="H913" i="8"/>
  <c r="I913" i="8"/>
  <c r="J905" i="8"/>
  <c r="I905" i="8"/>
  <c r="J899" i="8"/>
  <c r="I899" i="8"/>
  <c r="H847" i="8"/>
  <c r="I847" i="8"/>
  <c r="H825" i="8"/>
  <c r="I825" i="8"/>
  <c r="H809" i="8"/>
  <c r="I809" i="8"/>
  <c r="H795" i="8"/>
  <c r="I795" i="8"/>
  <c r="J787" i="8"/>
  <c r="I787" i="8"/>
  <c r="J774" i="8"/>
  <c r="I774" i="8"/>
  <c r="J765" i="8"/>
  <c r="I765" i="8"/>
  <c r="J757" i="8"/>
  <c r="I757" i="8"/>
  <c r="H727" i="8"/>
  <c r="I727" i="8"/>
  <c r="H719" i="8"/>
  <c r="I719" i="8"/>
  <c r="J712" i="8"/>
  <c r="I712" i="8"/>
  <c r="H703" i="8"/>
  <c r="I703" i="8"/>
  <c r="H332" i="8"/>
  <c r="I332" i="8"/>
  <c r="J146" i="8"/>
  <c r="I146" i="8"/>
  <c r="H777" i="8"/>
  <c r="I777" i="8"/>
  <c r="H519" i="8"/>
  <c r="I519" i="8"/>
  <c r="H835" i="8"/>
  <c r="I835" i="8"/>
  <c r="H697" i="8"/>
  <c r="I697" i="8"/>
  <c r="H499" i="8"/>
  <c r="I499" i="8"/>
  <c r="H385" i="8"/>
  <c r="I385" i="8"/>
  <c r="I1234" i="8"/>
  <c r="I1226" i="8"/>
  <c r="I1218" i="8"/>
  <c r="I1202" i="8"/>
  <c r="I1053" i="8"/>
  <c r="I1186" i="8"/>
  <c r="I1178" i="8"/>
  <c r="I1170" i="8"/>
  <c r="I1162" i="8"/>
  <c r="I1154" i="8"/>
  <c r="I1146" i="8"/>
  <c r="I1137" i="8"/>
  <c r="I1130" i="8"/>
  <c r="I1122" i="8"/>
  <c r="I1114" i="8"/>
  <c r="I1106" i="8"/>
  <c r="I1098" i="8"/>
  <c r="I1031" i="8"/>
  <c r="I1082" i="8"/>
  <c r="I1074" i="8"/>
  <c r="I1066" i="8"/>
  <c r="I1058" i="8"/>
  <c r="I1050" i="8"/>
  <c r="I1042" i="8"/>
  <c r="I1034" i="8"/>
  <c r="I1018" i="8"/>
  <c r="I1010" i="8"/>
  <c r="I986" i="8"/>
  <c r="I954" i="8"/>
  <c r="I938" i="8"/>
  <c r="I922" i="8"/>
  <c r="I906" i="8"/>
  <c r="I890" i="8"/>
  <c r="I874" i="8"/>
  <c r="I858" i="8"/>
  <c r="I837" i="8"/>
  <c r="I810" i="8"/>
  <c r="I746" i="8"/>
  <c r="I714" i="8"/>
  <c r="I682" i="8"/>
  <c r="I598" i="8"/>
  <c r="I556" i="8"/>
  <c r="I468" i="8"/>
  <c r="H1106" i="8"/>
  <c r="H1105" i="8"/>
  <c r="H1121" i="8"/>
  <c r="H1234" i="8"/>
  <c r="H1141" i="8"/>
  <c r="J554" i="8"/>
  <c r="J1214" i="8"/>
  <c r="G1238" i="8"/>
  <c r="G1187" i="8"/>
  <c r="G1161" i="8"/>
  <c r="G1232" i="8"/>
  <c r="G1119" i="8"/>
  <c r="G1231" i="8"/>
  <c r="G1206" i="8"/>
  <c r="G1157" i="8"/>
  <c r="G1230" i="8"/>
  <c r="G1205" i="8"/>
  <c r="G1128" i="8"/>
  <c r="G1152" i="8"/>
  <c r="G1189" i="8"/>
  <c r="G1153" i="8"/>
  <c r="G1127" i="8"/>
  <c r="G1221" i="8"/>
  <c r="I1221" i="8" s="1"/>
  <c r="G1210" i="8"/>
  <c r="G1211" i="8"/>
  <c r="J922" i="8"/>
  <c r="J1151" i="8"/>
  <c r="J1188" i="8"/>
  <c r="J1203" i="8"/>
  <c r="H1197" i="8"/>
  <c r="J1111" i="8"/>
  <c r="H1193" i="8"/>
  <c r="J1220" i="8"/>
  <c r="J1132" i="8"/>
  <c r="J856" i="8"/>
  <c r="J839" i="8"/>
  <c r="H996" i="8"/>
  <c r="J591" i="8"/>
  <c r="H918" i="8"/>
  <c r="H680" i="8"/>
  <c r="J775" i="8"/>
  <c r="J1050" i="8"/>
  <c r="H1196" i="8"/>
  <c r="J587" i="8"/>
  <c r="H1170" i="8"/>
  <c r="J1180" i="8"/>
  <c r="J466" i="8"/>
  <c r="H1000" i="8"/>
  <c r="J741" i="8"/>
  <c r="J1027" i="8"/>
  <c r="J1162" i="8"/>
  <c r="J1175" i="8"/>
  <c r="H883" i="8"/>
  <c r="J417" i="8"/>
  <c r="J1219" i="8"/>
  <c r="H1144" i="8"/>
  <c r="H1134" i="8"/>
  <c r="J1182" i="8"/>
  <c r="J1200" i="8"/>
  <c r="J1226" i="8"/>
  <c r="J1174" i="8"/>
  <c r="H1084" i="8"/>
  <c r="J1135" i="8"/>
  <c r="H1194" i="8"/>
  <c r="J1137" i="8"/>
  <c r="J699" i="8"/>
  <c r="H969" i="8"/>
  <c r="H433" i="8"/>
  <c r="H1222" i="8"/>
  <c r="J1160" i="8"/>
  <c r="H1129" i="8"/>
  <c r="J737" i="8"/>
  <c r="J1178" i="8"/>
  <c r="H1143" i="8"/>
  <c r="H779" i="8"/>
  <c r="H497" i="8"/>
  <c r="H1172" i="8"/>
  <c r="H1237" i="8"/>
  <c r="J1177" i="8"/>
  <c r="J1236" i="8"/>
  <c r="J521" i="8"/>
  <c r="J415" i="8"/>
  <c r="J1183" i="8"/>
  <c r="J1168" i="8"/>
  <c r="J1154" i="8"/>
  <c r="J1229" i="8"/>
  <c r="H1145" i="8"/>
  <c r="H796" i="8"/>
  <c r="J1227" i="8"/>
  <c r="J616" i="8"/>
  <c r="J641" i="8"/>
  <c r="J1163" i="8"/>
  <c r="J1186" i="8"/>
  <c r="H1124" i="8"/>
  <c r="H948" i="8"/>
  <c r="J1147" i="8"/>
  <c r="J614" i="8"/>
  <c r="J558" i="8"/>
  <c r="J1165" i="8"/>
  <c r="J1208" i="8"/>
  <c r="J1213" i="8"/>
  <c r="H1126" i="8"/>
  <c r="H1159" i="8"/>
  <c r="H944" i="8"/>
  <c r="J800" i="8"/>
  <c r="J470" i="8"/>
  <c r="J1192" i="8"/>
  <c r="H1078" i="8"/>
  <c r="J1049" i="8"/>
  <c r="J1167" i="8"/>
  <c r="H1201" i="8"/>
  <c r="H682" i="8"/>
  <c r="H1228" i="8"/>
  <c r="H998" i="8"/>
  <c r="J1169" i="8"/>
  <c r="H1136" i="8"/>
  <c r="H1202" i="8"/>
  <c r="H1130" i="8"/>
  <c r="H523" i="8"/>
  <c r="H1209" i="8"/>
  <c r="H618" i="8"/>
  <c r="H435" i="8"/>
  <c r="H1216" i="8"/>
  <c r="H1164" i="8"/>
  <c r="H1091" i="8"/>
  <c r="J1199" i="8"/>
  <c r="J1235" i="8"/>
  <c r="H1148" i="8"/>
  <c r="H920" i="8"/>
  <c r="H1224" i="8"/>
  <c r="H885" i="8"/>
  <c r="J1025" i="8"/>
  <c r="J1076" i="8"/>
  <c r="J589" i="8"/>
  <c r="H858" i="8"/>
  <c r="H1204" i="8"/>
  <c r="H495" i="8"/>
  <c r="H1215" i="8"/>
  <c r="J1140" i="8"/>
  <c r="J837" i="8"/>
  <c r="J1139" i="8"/>
  <c r="J946" i="8"/>
  <c r="J881" i="8"/>
  <c r="J701" i="8"/>
  <c r="J431" i="8"/>
  <c r="J1171" i="8"/>
  <c r="J1184" i="8"/>
  <c r="J1217" i="8"/>
  <c r="H854" i="8"/>
  <c r="H971" i="8"/>
  <c r="H643" i="8"/>
  <c r="H468" i="8"/>
  <c r="H1173" i="8"/>
  <c r="H1225" i="8"/>
  <c r="J1122" i="8"/>
  <c r="H1179" i="8"/>
  <c r="J1131" i="8"/>
  <c r="J678" i="8"/>
  <c r="J798" i="8"/>
  <c r="J556" i="8"/>
  <c r="J1185" i="8"/>
  <c r="J1223" i="8"/>
  <c r="H1156" i="8"/>
  <c r="H739" i="8"/>
  <c r="H639" i="8"/>
  <c r="H1176" i="8"/>
  <c r="H1195" i="8"/>
  <c r="H1181" i="8"/>
  <c r="J1123" i="8"/>
  <c r="J1158" i="8"/>
  <c r="J1166" i="8"/>
  <c r="J1083" i="8"/>
  <c r="H1142" i="8"/>
  <c r="H1190" i="8"/>
  <c r="H1218" i="8"/>
  <c r="J1150" i="8"/>
  <c r="J1155" i="8"/>
  <c r="H1233" i="8"/>
  <c r="J1233" i="8"/>
  <c r="J1125" i="8"/>
  <c r="J1138" i="8"/>
  <c r="J1120" i="8"/>
  <c r="J1149" i="8"/>
  <c r="J1146" i="8"/>
  <c r="J777" i="8"/>
  <c r="J1080" i="8"/>
  <c r="J967" i="8"/>
  <c r="J519" i="8"/>
  <c r="J835" i="8"/>
  <c r="J697" i="8"/>
  <c r="J499" i="8"/>
  <c r="J385" i="8"/>
  <c r="J1212" i="8"/>
  <c r="J1110" i="8"/>
  <c r="J1023" i="8"/>
  <c r="J1198" i="8"/>
  <c r="J1207" i="8"/>
  <c r="H1133" i="8"/>
  <c r="J1191" i="8"/>
  <c r="H1101" i="8"/>
  <c r="H1041" i="8"/>
  <c r="J1008" i="8"/>
  <c r="H1075" i="8"/>
  <c r="J1117" i="8"/>
  <c r="H1052" i="8"/>
  <c r="H1100" i="8"/>
  <c r="H1082" i="8"/>
  <c r="J1092" i="8"/>
  <c r="J1113" i="8"/>
  <c r="H1067" i="8"/>
  <c r="J1097" i="8"/>
  <c r="H1071" i="8"/>
  <c r="H1103" i="8"/>
  <c r="J1054" i="8"/>
  <c r="J1104" i="8"/>
  <c r="J1093" i="8"/>
  <c r="J1102" i="8"/>
  <c r="H1086" i="8"/>
  <c r="J1115" i="8"/>
  <c r="H1085" i="8"/>
  <c r="J1070" i="8"/>
  <c r="H1059" i="8"/>
  <c r="J1064" i="8"/>
  <c r="J1088" i="8"/>
  <c r="J1118" i="8"/>
  <c r="H1063" i="8"/>
  <c r="J1072" i="8"/>
  <c r="J1094" i="8"/>
  <c r="H1055" i="8"/>
  <c r="H1112" i="8"/>
  <c r="J1089" i="8"/>
  <c r="J1032" i="8"/>
  <c r="H1002" i="8"/>
  <c r="J1011" i="8"/>
  <c r="J1073" i="8"/>
  <c r="J1116" i="8"/>
  <c r="H1062" i="8"/>
  <c r="H1053" i="8"/>
  <c r="J1040" i="8"/>
  <c r="J1056" i="8"/>
  <c r="H1065" i="8"/>
  <c r="H1003" i="8"/>
  <c r="H1051" i="8"/>
  <c r="J1095" i="8"/>
  <c r="J1108" i="8"/>
  <c r="J1060" i="8"/>
  <c r="J1058" i="8"/>
  <c r="J1061" i="8"/>
  <c r="H1099" i="8"/>
  <c r="J1107" i="8"/>
  <c r="H1068" i="8"/>
  <c r="J1087" i="8"/>
  <c r="J1098" i="8"/>
  <c r="H1069" i="8"/>
  <c r="J1039" i="8"/>
  <c r="J1057" i="8"/>
  <c r="J1066" i="8"/>
  <c r="J1074" i="8"/>
  <c r="J1031" i="8"/>
  <c r="J1096" i="8"/>
  <c r="J1090" i="8"/>
  <c r="J1109" i="8"/>
  <c r="J1114" i="8"/>
  <c r="H995" i="8"/>
  <c r="H992" i="8"/>
  <c r="J992" i="8"/>
  <c r="H990" i="8"/>
  <c r="H991" i="8"/>
  <c r="H1047" i="8"/>
  <c r="J1045" i="8"/>
  <c r="H1035" i="8"/>
  <c r="J1042" i="8"/>
  <c r="J1014" i="8"/>
  <c r="H957" i="8"/>
  <c r="H1048" i="8"/>
  <c r="H1016" i="8"/>
  <c r="J1043" i="8"/>
  <c r="H1038" i="8"/>
  <c r="J1019" i="8"/>
  <c r="H966" i="8"/>
  <c r="J1029" i="8"/>
  <c r="J1033" i="8"/>
  <c r="J1017" i="8"/>
  <c r="H974" i="8"/>
  <c r="J1044" i="8"/>
  <c r="J1015" i="8"/>
  <c r="H1005" i="8"/>
  <c r="J985" i="8"/>
  <c r="H1010" i="8"/>
  <c r="J965" i="8"/>
  <c r="J986" i="8"/>
  <c r="H1030" i="8"/>
  <c r="H1020" i="8"/>
  <c r="H1034" i="8"/>
  <c r="H1037" i="8"/>
  <c r="H1018" i="8"/>
  <c r="H1021" i="8"/>
  <c r="H1036" i="8"/>
  <c r="H1046" i="8"/>
  <c r="J1013" i="8"/>
  <c r="J1022" i="8"/>
  <c r="H880" i="8"/>
  <c r="H935" i="8"/>
  <c r="J973" i="8"/>
  <c r="H135" i="8"/>
  <c r="J864" i="8"/>
  <c r="H906" i="8"/>
  <c r="J950" i="8"/>
  <c r="J975" i="8"/>
  <c r="J758" i="8"/>
  <c r="J910" i="8"/>
  <c r="J927" i="8"/>
  <c r="H146" i="8"/>
  <c r="J887" i="8"/>
  <c r="H931" i="8"/>
  <c r="J873" i="8"/>
  <c r="J896" i="8"/>
  <c r="J273" i="8"/>
  <c r="J983" i="8"/>
  <c r="H939" i="8"/>
  <c r="J661" i="8"/>
  <c r="J646" i="8"/>
  <c r="J984" i="8"/>
  <c r="J690" i="8"/>
  <c r="J673" i="8"/>
  <c r="H912" i="8"/>
  <c r="H960" i="8"/>
  <c r="J895" i="8"/>
  <c r="J989" i="8"/>
  <c r="H926" i="8"/>
  <c r="H942" i="8"/>
  <c r="H893" i="8"/>
  <c r="H117" i="8"/>
  <c r="J904" i="8"/>
  <c r="J994" i="8"/>
  <c r="J956" i="8"/>
  <c r="J892" i="8"/>
  <c r="J834" i="8"/>
  <c r="J598" i="8"/>
  <c r="J911" i="8"/>
  <c r="J903" i="8"/>
  <c r="J933" i="8"/>
  <c r="J959" i="8"/>
  <c r="J1012" i="8"/>
  <c r="J843" i="8"/>
  <c r="J222" i="8"/>
  <c r="J924" i="8"/>
  <c r="J938" i="8"/>
  <c r="J981" i="8"/>
  <c r="J580" i="8"/>
  <c r="J608" i="8"/>
  <c r="J925" i="8"/>
  <c r="J934" i="8"/>
  <c r="J955" i="8"/>
  <c r="J982" i="8"/>
  <c r="J1009" i="8"/>
  <c r="J894" i="8"/>
  <c r="J940" i="8"/>
  <c r="H623" i="8"/>
  <c r="H258" i="8"/>
  <c r="H862" i="8"/>
  <c r="J913" i="8"/>
  <c r="J962" i="8"/>
  <c r="H905" i="8"/>
  <c r="H909" i="8"/>
  <c r="H993" i="8"/>
  <c r="J204" i="8"/>
  <c r="J932" i="8"/>
  <c r="J897" i="8"/>
  <c r="H937" i="8"/>
  <c r="J954" i="8"/>
  <c r="H833" i="8"/>
  <c r="J978" i="8"/>
  <c r="J548" i="8"/>
  <c r="J979" i="8"/>
  <c r="J928" i="8"/>
  <c r="H157" i="8"/>
  <c r="H573" i="8"/>
  <c r="J914" i="8"/>
  <c r="H941" i="8"/>
  <c r="J747" i="8"/>
  <c r="J1004" i="8"/>
  <c r="H725" i="8"/>
  <c r="J889" i="8"/>
  <c r="J900" i="8"/>
  <c r="H175" i="8"/>
  <c r="J930" i="8"/>
  <c r="J332" i="8"/>
  <c r="J711" i="8"/>
  <c r="J908" i="8"/>
  <c r="J1006" i="8"/>
  <c r="H760" i="8"/>
  <c r="H943" i="8"/>
  <c r="H987" i="8"/>
  <c r="J781" i="8"/>
  <c r="J348" i="8"/>
  <c r="J746" i="8"/>
  <c r="J963" i="8"/>
  <c r="J976" i="8"/>
  <c r="H907" i="8"/>
  <c r="H888" i="8"/>
  <c r="J806" i="8"/>
  <c r="J483" i="8"/>
  <c r="J958" i="8"/>
  <c r="J977" i="8"/>
  <c r="H902" i="8"/>
  <c r="H915" i="8"/>
  <c r="J827" i="8"/>
  <c r="J951" i="8"/>
  <c r="J961" i="8"/>
  <c r="J879" i="8"/>
  <c r="J952" i="8"/>
  <c r="J880" i="8"/>
  <c r="H1007" i="8"/>
  <c r="H890" i="8"/>
  <c r="H869" i="8"/>
  <c r="H791" i="8"/>
  <c r="H898" i="8"/>
  <c r="H901" i="8"/>
  <c r="H186" i="8"/>
  <c r="H525" i="8"/>
  <c r="H768" i="8"/>
  <c r="H917" i="8"/>
  <c r="H929" i="8"/>
  <c r="H916" i="8"/>
  <c r="H936" i="8"/>
  <c r="H953" i="8"/>
  <c r="H964" i="8"/>
  <c r="H980" i="8"/>
  <c r="H988" i="8"/>
  <c r="H891" i="8"/>
  <c r="H565" i="8"/>
  <c r="H817" i="8"/>
  <c r="H899" i="8"/>
  <c r="H874" i="8"/>
  <c r="J704" i="8"/>
  <c r="J761" i="8"/>
  <c r="J851" i="8"/>
  <c r="H710" i="8"/>
  <c r="H812" i="8"/>
  <c r="H783" i="8"/>
  <c r="J785" i="8"/>
  <c r="J784" i="8"/>
  <c r="J824" i="8"/>
  <c r="H527" i="8"/>
  <c r="J841" i="8"/>
  <c r="J782" i="8"/>
  <c r="J724" i="8"/>
  <c r="J655" i="8"/>
  <c r="J853" i="8"/>
  <c r="H803" i="8"/>
  <c r="J723" i="8"/>
  <c r="J795" i="8"/>
  <c r="J844" i="8"/>
  <c r="H849" i="8"/>
  <c r="J736" i="8"/>
  <c r="J816" i="8"/>
  <c r="J872" i="8"/>
  <c r="J763" i="8"/>
  <c r="J696" i="8"/>
  <c r="H765" i="8"/>
  <c r="H672" i="8"/>
  <c r="H744" i="8"/>
  <c r="H842" i="8"/>
  <c r="H712" i="8"/>
  <c r="J727" i="8"/>
  <c r="H787" i="8"/>
  <c r="H860" i="8"/>
  <c r="J734" i="8"/>
  <c r="J809" i="8"/>
  <c r="H729" i="8"/>
  <c r="H676" i="8"/>
  <c r="H868" i="8"/>
  <c r="H818" i="8"/>
  <c r="J810" i="8"/>
  <c r="H750" i="8"/>
  <c r="H865" i="8"/>
  <c r="J749" i="8"/>
  <c r="J828" i="8"/>
  <c r="J703" i="8"/>
  <c r="J753" i="8"/>
  <c r="H754" i="8"/>
  <c r="H759" i="8"/>
  <c r="J709" i="8"/>
  <c r="J632" i="8"/>
  <c r="J772" i="8"/>
  <c r="J848" i="8"/>
  <c r="H707" i="8"/>
  <c r="H726" i="8"/>
  <c r="H804" i="8"/>
  <c r="H826" i="8"/>
  <c r="H876" i="8"/>
  <c r="J719" i="8"/>
  <c r="J755" i="8"/>
  <c r="H714" i="8"/>
  <c r="H752" i="8"/>
  <c r="H789" i="8"/>
  <c r="H822" i="8"/>
  <c r="J528" i="8"/>
  <c r="J867" i="8"/>
  <c r="H706" i="8"/>
  <c r="H790" i="8"/>
  <c r="H870" i="8"/>
  <c r="H722" i="8"/>
  <c r="H716" i="8"/>
  <c r="J762" i="8"/>
  <c r="J830" i="8"/>
  <c r="H774" i="8"/>
  <c r="H871" i="8"/>
  <c r="H692" i="8"/>
  <c r="H732" i="8"/>
  <c r="H757" i="8"/>
  <c r="H769" i="8"/>
  <c r="H805" i="8"/>
  <c r="H814" i="8"/>
  <c r="H829" i="8"/>
  <c r="H866" i="8"/>
  <c r="H878" i="8"/>
  <c r="H705" i="8"/>
  <c r="H832" i="8"/>
  <c r="J731" i="8"/>
  <c r="J802" i="8"/>
  <c r="H691" i="8"/>
  <c r="J691" i="8"/>
  <c r="H735" i="8"/>
  <c r="J735" i="8"/>
  <c r="H633" i="8"/>
  <c r="J633" i="8"/>
  <c r="H654" i="8"/>
  <c r="J654" i="8"/>
  <c r="H793" i="8"/>
  <c r="J793" i="8"/>
  <c r="H850" i="8"/>
  <c r="J850" i="8"/>
  <c r="H708" i="8"/>
  <c r="J708" i="8"/>
  <c r="H748" i="8"/>
  <c r="J748" i="8"/>
  <c r="H771" i="8"/>
  <c r="J771" i="8"/>
  <c r="H794" i="8"/>
  <c r="J794" i="8"/>
  <c r="H821" i="8"/>
  <c r="J821" i="8"/>
  <c r="H845" i="8"/>
  <c r="J845" i="8"/>
  <c r="H718" i="8"/>
  <c r="J718" i="8"/>
  <c r="H766" i="8"/>
  <c r="J766" i="8"/>
  <c r="H773" i="8"/>
  <c r="J773" i="8"/>
  <c r="H831" i="8"/>
  <c r="J831" i="8"/>
  <c r="H852" i="8"/>
  <c r="J852" i="8"/>
  <c r="J713" i="8"/>
  <c r="J733" i="8"/>
  <c r="J745" i="8"/>
  <c r="J675" i="8"/>
  <c r="J823" i="8"/>
  <c r="J875" i="8"/>
  <c r="J720" i="8"/>
  <c r="J728" i="8"/>
  <c r="J756" i="8"/>
  <c r="J764" i="8"/>
  <c r="J786" i="8"/>
  <c r="J792" i="8"/>
  <c r="J811" i="8"/>
  <c r="J815" i="8"/>
  <c r="J819" i="8"/>
  <c r="J847" i="8"/>
  <c r="J861" i="8"/>
  <c r="J677" i="8"/>
  <c r="J717" i="8"/>
  <c r="J721" i="8"/>
  <c r="J730" i="8"/>
  <c r="J751" i="8"/>
  <c r="J743" i="8"/>
  <c r="J767" i="8"/>
  <c r="J770" i="8"/>
  <c r="J788" i="8"/>
  <c r="J808" i="8"/>
  <c r="J715" i="8"/>
  <c r="J813" i="8"/>
  <c r="J820" i="8"/>
  <c r="J825" i="8"/>
  <c r="J807" i="8"/>
  <c r="J863" i="8"/>
  <c r="J846" i="8"/>
  <c r="J877" i="8"/>
  <c r="I3" i="9"/>
  <c r="I4" i="9"/>
  <c r="I5" i="9"/>
  <c r="I6" i="9"/>
  <c r="I7" i="9"/>
  <c r="I8" i="9"/>
  <c r="I9" i="9"/>
  <c r="I15" i="9"/>
  <c r="I16" i="9"/>
  <c r="I18" i="9"/>
  <c r="I22" i="9"/>
  <c r="I23" i="9"/>
  <c r="I24" i="9"/>
  <c r="I25" i="9"/>
  <c r="I26" i="9"/>
  <c r="I27" i="9"/>
  <c r="I29" i="9"/>
  <c r="I30" i="9"/>
  <c r="I31" i="9"/>
  <c r="I35" i="9"/>
  <c r="I36" i="9"/>
  <c r="I37" i="9"/>
  <c r="I38" i="9"/>
  <c r="I39" i="9"/>
  <c r="I40" i="9"/>
  <c r="I41" i="9"/>
  <c r="I45" i="9"/>
  <c r="I46" i="9"/>
  <c r="I47" i="9"/>
  <c r="I48" i="9"/>
  <c r="I49" i="9"/>
  <c r="I50" i="9"/>
  <c r="I51" i="9"/>
  <c r="I52" i="9"/>
  <c r="I54" i="9"/>
  <c r="I55" i="9"/>
  <c r="I57" i="9"/>
  <c r="I58" i="9"/>
  <c r="I59" i="9"/>
  <c r="I60" i="9"/>
  <c r="I61" i="9"/>
  <c r="I62" i="9"/>
  <c r="I63" i="9"/>
  <c r="J693" i="8"/>
  <c r="J686" i="8"/>
  <c r="J674" i="8"/>
  <c r="H668" i="8"/>
  <c r="J666" i="8"/>
  <c r="J662" i="8"/>
  <c r="J647" i="8"/>
  <c r="J653" i="8"/>
  <c r="J551" i="8"/>
  <c r="H637" i="8"/>
  <c r="J628" i="8"/>
  <c r="H627" i="8"/>
  <c r="J622" i="8"/>
  <c r="H530" i="8"/>
  <c r="J493" i="8"/>
  <c r="H599" i="8"/>
  <c r="J612" i="8"/>
  <c r="J604" i="8"/>
  <c r="J601" i="8"/>
  <c r="H575" i="8"/>
  <c r="J593" i="8"/>
  <c r="J586" i="8"/>
  <c r="J582" i="8"/>
  <c r="J579" i="8"/>
  <c r="J577" i="8"/>
  <c r="H567" i="8"/>
  <c r="J578" i="8"/>
  <c r="J576" i="8"/>
  <c r="J560" i="8"/>
  <c r="J572" i="8"/>
  <c r="J568" i="8"/>
  <c r="J571" i="8"/>
  <c r="J570" i="8"/>
  <c r="H569" i="8"/>
  <c r="J564" i="8"/>
  <c r="J566" i="8"/>
  <c r="J550" i="8"/>
  <c r="J563" i="8"/>
  <c r="J546" i="8"/>
  <c r="J545" i="8"/>
  <c r="J562" i="8"/>
  <c r="H561" i="8"/>
  <c r="J549" i="8"/>
  <c r="J547" i="8"/>
  <c r="J538" i="8"/>
  <c r="J477" i="8"/>
  <c r="J506" i="8"/>
  <c r="J544" i="8"/>
  <c r="J543" i="8"/>
  <c r="H542" i="8"/>
  <c r="J541" i="8"/>
  <c r="J540" i="8"/>
  <c r="J539" i="8"/>
  <c r="J537" i="8"/>
  <c r="J535" i="8"/>
  <c r="J536" i="8"/>
  <c r="J534" i="8"/>
  <c r="H533" i="8"/>
  <c r="J532" i="8"/>
  <c r="J531" i="8"/>
  <c r="J526" i="8"/>
  <c r="J518" i="8"/>
  <c r="J515" i="8"/>
  <c r="J488" i="8"/>
  <c r="J517" i="8"/>
  <c r="H512" i="8"/>
  <c r="J511" i="8"/>
  <c r="J516" i="8"/>
  <c r="J514" i="8"/>
  <c r="J513" i="8"/>
  <c r="J510" i="8"/>
  <c r="J509" i="8"/>
  <c r="J507" i="8"/>
  <c r="J508" i="8"/>
  <c r="J505" i="8"/>
  <c r="J503" i="8"/>
  <c r="J504" i="8"/>
  <c r="J502" i="8"/>
  <c r="J501" i="8"/>
  <c r="J484" i="8"/>
  <c r="J487" i="8"/>
  <c r="H492" i="8"/>
  <c r="J491" i="8"/>
  <c r="J489" i="8"/>
  <c r="J490" i="8"/>
  <c r="J478" i="8"/>
  <c r="J486" i="8"/>
  <c r="J485" i="8"/>
  <c r="J482" i="8"/>
  <c r="H481" i="8"/>
  <c r="J480" i="8"/>
  <c r="J461" i="8"/>
  <c r="J476" i="8"/>
  <c r="J475" i="8"/>
  <c r="J355" i="8"/>
  <c r="J354" i="8"/>
  <c r="J233" i="8"/>
  <c r="J203" i="8"/>
  <c r="J202" i="8"/>
  <c r="J155" i="8"/>
  <c r="J154" i="8"/>
  <c r="J123" i="8"/>
  <c r="J122" i="8"/>
  <c r="H110" i="8"/>
  <c r="J109" i="8"/>
  <c r="J68" i="8"/>
  <c r="J67" i="8"/>
  <c r="J47" i="8"/>
  <c r="J46" i="8"/>
  <c r="J474" i="8"/>
  <c r="J472" i="8"/>
  <c r="H473" i="8"/>
  <c r="J465" i="8"/>
  <c r="J462" i="8"/>
  <c r="J451" i="8"/>
  <c r="J423" i="8"/>
  <c r="J460" i="8"/>
  <c r="J459" i="8"/>
  <c r="J453" i="8"/>
  <c r="H458" i="8"/>
  <c r="J457" i="8"/>
  <c r="J456" i="8"/>
  <c r="J455" i="8"/>
  <c r="J454" i="8"/>
  <c r="J452" i="8"/>
  <c r="J450" i="8"/>
  <c r="J449" i="8"/>
  <c r="H429" i="8"/>
  <c r="J428" i="8"/>
  <c r="J413" i="8"/>
  <c r="J411" i="8"/>
  <c r="J394" i="8"/>
  <c r="J393" i="8"/>
  <c r="J375" i="8"/>
  <c r="J374" i="8"/>
  <c r="J352" i="8"/>
  <c r="J353" i="8"/>
  <c r="J328" i="8"/>
  <c r="J329" i="8"/>
  <c r="J448" i="8"/>
  <c r="J445" i="8"/>
  <c r="J444" i="8"/>
  <c r="J412" i="8"/>
  <c r="H407" i="8"/>
  <c r="J447" i="8"/>
  <c r="J446" i="8"/>
  <c r="J442" i="8"/>
  <c r="J443" i="8"/>
  <c r="J441" i="8"/>
  <c r="J440" i="8"/>
  <c r="J439" i="8"/>
  <c r="H438" i="8"/>
  <c r="J437" i="8"/>
  <c r="J430" i="8"/>
  <c r="J427" i="8"/>
  <c r="J426" i="8"/>
  <c r="J424" i="8"/>
  <c r="J425" i="8"/>
  <c r="J422" i="8"/>
  <c r="H419" i="8"/>
  <c r="J421" i="8"/>
  <c r="J420" i="8"/>
  <c r="J408" i="8"/>
  <c r="J400" i="8"/>
  <c r="J379" i="8"/>
  <c r="J362" i="8"/>
  <c r="J401" i="8"/>
  <c r="H414" i="8"/>
  <c r="J410" i="8"/>
  <c r="J409" i="8"/>
  <c r="J387" i="8"/>
  <c r="J368" i="8"/>
  <c r="J343" i="8"/>
  <c r="J324" i="8"/>
  <c r="J402" i="8"/>
  <c r="H406" i="8"/>
  <c r="J384" i="8"/>
  <c r="J382" i="8"/>
  <c r="J405" i="8"/>
  <c r="J404" i="8"/>
  <c r="J403" i="8"/>
  <c r="J378" i="8"/>
  <c r="J397" i="8"/>
  <c r="H398" i="8"/>
  <c r="J399" i="8"/>
  <c r="J380" i="8"/>
  <c r="J363" i="8"/>
  <c r="J338" i="8"/>
  <c r="J396" i="8"/>
  <c r="J395" i="8"/>
  <c r="J392" i="8"/>
  <c r="H390" i="8"/>
  <c r="J391" i="8"/>
  <c r="J389" i="8"/>
  <c r="J388" i="8"/>
  <c r="J383" i="8"/>
  <c r="J381" i="8"/>
  <c r="J371" i="8"/>
  <c r="J377" i="8"/>
  <c r="J376" i="8"/>
  <c r="J370" i="8"/>
  <c r="J373" i="8"/>
  <c r="J372" i="8"/>
  <c r="J347" i="8"/>
  <c r="J326" i="8"/>
  <c r="J307" i="8"/>
  <c r="J290" i="8"/>
  <c r="H272" i="8"/>
  <c r="J256" i="8"/>
  <c r="J369" i="8"/>
  <c r="J367" i="8"/>
  <c r="J366" i="8"/>
  <c r="J364" i="8"/>
  <c r="J344" i="8"/>
  <c r="J325" i="8"/>
  <c r="H306" i="8"/>
  <c r="J289" i="8"/>
  <c r="J271" i="8"/>
  <c r="J255" i="8"/>
  <c r="J365" i="8"/>
  <c r="J350" i="8"/>
  <c r="J349" i="8"/>
  <c r="J361" i="8"/>
  <c r="H360" i="8"/>
  <c r="J356" i="8"/>
  <c r="J345" i="8"/>
  <c r="J331" i="8"/>
  <c r="J359" i="8"/>
  <c r="J357" i="8"/>
  <c r="J358" i="8"/>
  <c r="J305" i="8"/>
  <c r="H351" i="8"/>
  <c r="J346" i="8"/>
  <c r="J339" i="8"/>
  <c r="J318" i="8"/>
  <c r="J341" i="8"/>
  <c r="J342" i="8"/>
  <c r="J340" i="8"/>
  <c r="J312" i="8"/>
  <c r="H327" i="8"/>
  <c r="J316" i="8"/>
  <c r="J294" i="8"/>
  <c r="J293" i="8"/>
  <c r="J333" i="8"/>
  <c r="J311" i="8"/>
  <c r="J300" i="8"/>
  <c r="J292" i="8"/>
  <c r="H310" i="8"/>
  <c r="J291" i="8"/>
  <c r="J337" i="8"/>
  <c r="J336" i="8"/>
  <c r="J335" i="8"/>
  <c r="J334" i="8"/>
  <c r="J330" i="8"/>
  <c r="J320" i="8"/>
  <c r="H323" i="8"/>
  <c r="J321" i="8"/>
  <c r="J322" i="8"/>
  <c r="J319" i="8"/>
  <c r="J315" i="8"/>
  <c r="J317" i="8"/>
  <c r="J314" i="8"/>
  <c r="J313" i="8"/>
  <c r="J309" i="8"/>
  <c r="J308" i="8"/>
  <c r="J304" i="8"/>
  <c r="J303" i="8"/>
  <c r="J302" i="8"/>
  <c r="J301" i="8"/>
  <c r="J298" i="8"/>
  <c r="J299" i="8"/>
  <c r="H297" i="8"/>
  <c r="J296" i="8"/>
  <c r="J295" i="8"/>
  <c r="J242" i="8"/>
  <c r="J287" i="8"/>
  <c r="J288" i="8"/>
  <c r="J286" i="8"/>
  <c r="J285" i="8"/>
  <c r="H274" i="8"/>
  <c r="J278" i="8"/>
  <c r="J277" i="8"/>
  <c r="J276" i="8"/>
  <c r="J284" i="8"/>
  <c r="J281" i="8"/>
  <c r="J283" i="8"/>
  <c r="J282" i="8"/>
  <c r="H280" i="8"/>
  <c r="J279" i="8"/>
  <c r="J275" i="8"/>
  <c r="J270" i="8"/>
  <c r="J260" i="8"/>
  <c r="J268" i="8"/>
  <c r="J257" i="8"/>
  <c r="J237" i="8"/>
  <c r="H261" i="8"/>
  <c r="J243" i="8"/>
  <c r="J252" i="8"/>
  <c r="J241" i="8"/>
  <c r="J259" i="8"/>
  <c r="J240" i="8"/>
  <c r="J266" i="8"/>
  <c r="J267" i="8"/>
  <c r="H269" i="8"/>
  <c r="J265" i="8"/>
  <c r="J248" i="8"/>
  <c r="J264" i="8"/>
  <c r="J263" i="8"/>
  <c r="J262" i="8"/>
  <c r="J249" i="8"/>
  <c r="J251" i="8"/>
  <c r="H250" i="8"/>
  <c r="J254" i="8"/>
  <c r="J253" i="8"/>
  <c r="J247" i="8"/>
  <c r="J246" i="8"/>
  <c r="J245" i="8"/>
  <c r="J244" i="8"/>
  <c r="J235" i="8"/>
  <c r="H238" i="8"/>
  <c r="J239" i="8"/>
  <c r="J236" i="8"/>
  <c r="J232" i="8"/>
  <c r="J223" i="8"/>
  <c r="J231" i="8"/>
  <c r="J230" i="8"/>
  <c r="J229" i="8"/>
  <c r="J224" i="8"/>
  <c r="J225" i="8"/>
  <c r="J220" i="8"/>
  <c r="J221" i="8"/>
  <c r="J228" i="8"/>
  <c r="J219" i="8"/>
  <c r="J227" i="8"/>
  <c r="J226" i="8"/>
  <c r="H217" i="8"/>
  <c r="J218" i="8"/>
  <c r="J214" i="8"/>
  <c r="J215" i="8"/>
  <c r="J216" i="8"/>
  <c r="J213" i="8"/>
  <c r="J212" i="8"/>
  <c r="J207" i="8"/>
  <c r="H199" i="8"/>
  <c r="J211" i="8"/>
  <c r="J208" i="8"/>
  <c r="J206" i="8"/>
  <c r="J205" i="8"/>
  <c r="J195" i="8"/>
  <c r="J192" i="8"/>
  <c r="J193" i="8"/>
  <c r="H210" i="8"/>
  <c r="J209" i="8"/>
  <c r="J201" i="8"/>
  <c r="J200" i="8"/>
  <c r="J198" i="8"/>
  <c r="J197" i="8"/>
  <c r="J196" i="8"/>
  <c r="J191" i="8"/>
  <c r="H194" i="8"/>
  <c r="J190" i="8"/>
  <c r="J189" i="8"/>
  <c r="J188" i="8"/>
  <c r="J179" i="8"/>
  <c r="J187" i="8"/>
  <c r="J185" i="8"/>
  <c r="J184" i="8"/>
  <c r="H180" i="8"/>
  <c r="J178" i="8"/>
  <c r="J164" i="8"/>
  <c r="J150" i="8"/>
  <c r="J174" i="8"/>
  <c r="J172" i="8"/>
  <c r="J159" i="8"/>
  <c r="J148" i="8"/>
  <c r="H170" i="8"/>
  <c r="J158" i="8"/>
  <c r="J147" i="8"/>
  <c r="J183" i="8"/>
  <c r="J182" i="8"/>
  <c r="J181" i="8"/>
  <c r="J177" i="8"/>
  <c r="J176" i="8"/>
  <c r="H173" i="8"/>
  <c r="J171" i="8"/>
  <c r="J169" i="8"/>
  <c r="J168" i="8"/>
  <c r="J165" i="8"/>
  <c r="J167" i="8"/>
  <c r="J166" i="8"/>
  <c r="J151" i="8"/>
  <c r="J156" i="8"/>
  <c r="J152" i="8"/>
  <c r="J163" i="8"/>
  <c r="J162" i="8"/>
  <c r="J161" i="8"/>
  <c r="J160" i="8"/>
  <c r="J153" i="8"/>
  <c r="J141" i="8"/>
  <c r="H149" i="8"/>
  <c r="J144" i="8"/>
  <c r="J139" i="8"/>
  <c r="J138" i="8"/>
  <c r="J137" i="8"/>
  <c r="J136" i="8"/>
  <c r="J145" i="8"/>
  <c r="J142" i="8"/>
  <c r="H143" i="8"/>
  <c r="J140" i="8"/>
  <c r="J133" i="8"/>
  <c r="J132" i="8"/>
  <c r="J134" i="8"/>
  <c r="J131" i="8"/>
  <c r="J128" i="8"/>
  <c r="J130" i="8"/>
  <c r="H129" i="8"/>
  <c r="J127" i="8"/>
  <c r="J126" i="8"/>
  <c r="J125" i="8"/>
  <c r="J124" i="8"/>
  <c r="J120" i="8"/>
  <c r="J119" i="8"/>
  <c r="J118" i="8"/>
  <c r="H121" i="8"/>
  <c r="J116" i="8"/>
  <c r="J115" i="8"/>
  <c r="J114" i="8"/>
  <c r="J113" i="8"/>
  <c r="J111" i="8"/>
  <c r="J112" i="8"/>
  <c r="J105" i="8"/>
  <c r="H108" i="8"/>
  <c r="J107" i="8"/>
  <c r="J106" i="8"/>
  <c r="J99" i="8"/>
  <c r="J104" i="8"/>
  <c r="J103" i="8"/>
  <c r="J102" i="8"/>
  <c r="J101" i="8"/>
  <c r="H100" i="8"/>
  <c r="J98" i="8"/>
  <c r="J97" i="8"/>
  <c r="J96" i="8"/>
  <c r="J88" i="8"/>
  <c r="J95" i="8"/>
  <c r="J82" i="8"/>
  <c r="J93" i="8"/>
  <c r="H81" i="8"/>
  <c r="J94" i="8"/>
  <c r="J92" i="8"/>
  <c r="J91" i="8"/>
  <c r="J90" i="8"/>
  <c r="J78" i="8"/>
  <c r="J79" i="8"/>
  <c r="J89" i="8"/>
  <c r="J87" i="8"/>
  <c r="J86" i="8"/>
  <c r="J85" i="8"/>
  <c r="J84" i="8"/>
  <c r="J80" i="8"/>
  <c r="J69" i="8"/>
  <c r="J83" i="8"/>
  <c r="J76" i="8"/>
  <c r="H77" i="8"/>
  <c r="J75" i="8"/>
  <c r="J74" i="8"/>
  <c r="J73" i="8"/>
  <c r="J72" i="8"/>
  <c r="J71" i="8"/>
  <c r="J70" i="8"/>
  <c r="J66" i="8"/>
  <c r="H65" i="8"/>
  <c r="J64" i="8"/>
  <c r="J62" i="8"/>
  <c r="J60" i="8"/>
  <c r="J59" i="8"/>
  <c r="J58" i="8"/>
  <c r="J63" i="8"/>
  <c r="J61" i="8"/>
  <c r="H57" i="8"/>
  <c r="J56" i="8"/>
  <c r="J55" i="8"/>
  <c r="J54" i="8"/>
  <c r="J45" i="8"/>
  <c r="J53" i="8"/>
  <c r="J51" i="8"/>
  <c r="J50" i="8"/>
  <c r="H49" i="8"/>
  <c r="J48" i="8"/>
  <c r="J52" i="8"/>
  <c r="J44" i="8"/>
  <c r="J43" i="8"/>
  <c r="J35" i="8"/>
  <c r="J42" i="8"/>
  <c r="J41" i="8"/>
  <c r="H40" i="8"/>
  <c r="J38" i="8"/>
  <c r="J37" i="8"/>
  <c r="J39" i="8"/>
  <c r="J36" i="8"/>
  <c r="H34" i="8"/>
  <c r="J33" i="8"/>
  <c r="J24" i="8"/>
  <c r="H23" i="8"/>
  <c r="J32" i="8"/>
  <c r="J31" i="8"/>
  <c r="J30" i="8"/>
  <c r="J29" i="8"/>
  <c r="J28" i="8"/>
  <c r="J27" i="8"/>
  <c r="J26" i="8"/>
  <c r="H25" i="8"/>
  <c r="J21" i="8"/>
  <c r="J22" i="8"/>
  <c r="J20" i="8"/>
  <c r="J19" i="8"/>
  <c r="J18" i="8"/>
  <c r="J17" i="8"/>
  <c r="J16" i="8"/>
  <c r="H15" i="8"/>
  <c r="J14" i="8"/>
  <c r="J13" i="8"/>
  <c r="J12" i="8"/>
  <c r="J11" i="8"/>
  <c r="J10" i="8"/>
  <c r="J9" i="8"/>
  <c r="J8" i="8"/>
  <c r="H7" i="8"/>
  <c r="J6" i="8"/>
  <c r="J5" i="8"/>
  <c r="J4" i="8"/>
  <c r="J3" i="8"/>
  <c r="B116" i="9"/>
  <c r="C116" i="9"/>
  <c r="C6" i="9"/>
  <c r="C7" i="9"/>
  <c r="C8" i="9"/>
  <c r="C9" i="9"/>
  <c r="C10" i="9"/>
  <c r="C11" i="9"/>
  <c r="C12" i="9"/>
  <c r="C21" i="9"/>
  <c r="C22" i="9"/>
  <c r="C26" i="9"/>
  <c r="C28" i="9"/>
  <c r="C29" i="9"/>
  <c r="C32" i="9"/>
  <c r="C33" i="9"/>
  <c r="C34" i="9"/>
  <c r="C35" i="9"/>
  <c r="C38" i="9"/>
  <c r="C41" i="9"/>
  <c r="C45" i="9"/>
  <c r="C46" i="9"/>
  <c r="C47" i="9"/>
  <c r="C48" i="9"/>
  <c r="C49" i="9"/>
  <c r="C52" i="9"/>
  <c r="C53" i="9"/>
  <c r="C54" i="9"/>
  <c r="C55" i="9"/>
  <c r="C56" i="9"/>
  <c r="C57" i="9"/>
  <c r="C58" i="9"/>
  <c r="C62" i="9"/>
  <c r="C63" i="9"/>
  <c r="C64" i="9"/>
  <c r="C65" i="9"/>
  <c r="C66" i="9"/>
  <c r="C67" i="9"/>
  <c r="C68" i="9"/>
  <c r="C69" i="9"/>
  <c r="C70" i="9"/>
  <c r="C71" i="9"/>
  <c r="C72" i="9"/>
  <c r="C73" i="9"/>
  <c r="C75" i="9"/>
  <c r="C76" i="9"/>
  <c r="C77" i="9"/>
  <c r="C78" i="9"/>
  <c r="C83" i="9"/>
  <c r="C84" i="9"/>
  <c r="C85" i="9"/>
  <c r="C86" i="9"/>
  <c r="C87" i="9"/>
  <c r="C88" i="9"/>
  <c r="C89" i="9"/>
  <c r="C90" i="9"/>
  <c r="C91" i="9"/>
  <c r="C92" i="9"/>
  <c r="C93" i="9"/>
  <c r="C94" i="9"/>
  <c r="C95" i="9"/>
  <c r="C96" i="9"/>
  <c r="C97" i="9"/>
  <c r="C98" i="9"/>
  <c r="C99" i="9"/>
  <c r="C100" i="9"/>
  <c r="C101" i="9"/>
  <c r="C102" i="9"/>
  <c r="C104" i="9"/>
  <c r="C105" i="9"/>
  <c r="C106" i="9"/>
  <c r="C107" i="9"/>
  <c r="C109" i="9"/>
  <c r="C110" i="9"/>
  <c r="C111" i="9"/>
  <c r="C112" i="9"/>
  <c r="C113" i="9"/>
  <c r="C114" i="9"/>
  <c r="C115" i="9"/>
  <c r="C3" i="9"/>
  <c r="B9" i="9"/>
  <c r="B8" i="9"/>
  <c r="B7" i="9"/>
  <c r="B6" i="9"/>
  <c r="B10" i="9"/>
  <c r="B11" i="9"/>
  <c r="B12" i="9"/>
  <c r="B21" i="9"/>
  <c r="B22" i="9"/>
  <c r="B26" i="9"/>
  <c r="B28" i="9"/>
  <c r="B29" i="9"/>
  <c r="B32" i="9"/>
  <c r="B33" i="9"/>
  <c r="B34" i="9"/>
  <c r="B35" i="9"/>
  <c r="B38" i="9"/>
  <c r="B41" i="9"/>
  <c r="B45" i="9"/>
  <c r="B46" i="9"/>
  <c r="B47" i="9"/>
  <c r="B48" i="9"/>
  <c r="B49" i="9"/>
  <c r="B52" i="9"/>
  <c r="B53" i="9"/>
  <c r="B54" i="9"/>
  <c r="B55" i="9"/>
  <c r="B56" i="9"/>
  <c r="B57" i="9"/>
  <c r="B58" i="9"/>
  <c r="B62" i="9"/>
  <c r="B63" i="9"/>
  <c r="B64" i="9"/>
  <c r="B65" i="9"/>
  <c r="B66" i="9"/>
  <c r="B67" i="9"/>
  <c r="B68" i="9"/>
  <c r="B69" i="9"/>
  <c r="B70" i="9"/>
  <c r="B71" i="9"/>
  <c r="B72" i="9"/>
  <c r="B73" i="9"/>
  <c r="B75" i="9"/>
  <c r="B76" i="9"/>
  <c r="B77" i="9"/>
  <c r="B78" i="9"/>
  <c r="B83" i="9"/>
  <c r="B84" i="9"/>
  <c r="B85" i="9"/>
  <c r="B86" i="9"/>
  <c r="B87" i="9"/>
  <c r="B88" i="9"/>
  <c r="B89" i="9"/>
  <c r="B90" i="9"/>
  <c r="B91" i="9"/>
  <c r="B92" i="9"/>
  <c r="B93" i="9"/>
  <c r="B94" i="9"/>
  <c r="B95" i="9"/>
  <c r="B96" i="9"/>
  <c r="B97" i="9"/>
  <c r="B98" i="9"/>
  <c r="B99" i="9"/>
  <c r="B100" i="9"/>
  <c r="B101" i="9"/>
  <c r="B102" i="9"/>
  <c r="B104" i="9"/>
  <c r="B105" i="9"/>
  <c r="B106" i="9"/>
  <c r="B107" i="9"/>
  <c r="B109" i="9"/>
  <c r="B110" i="9"/>
  <c r="B111" i="9"/>
  <c r="B112" i="9"/>
  <c r="B113" i="9"/>
  <c r="B114" i="9"/>
  <c r="B115" i="9"/>
  <c r="B3" i="9"/>
  <c r="C695" i="8" a="1"/>
  <c r="C695" i="8" s="1"/>
  <c r="C694" i="8" a="1"/>
  <c r="C694" i="8" s="1"/>
  <c r="C693" i="8" a="1"/>
  <c r="C693" i="8" s="1"/>
  <c r="C658" i="8" a="1"/>
  <c r="C658" i="8" s="1"/>
  <c r="C689" i="8" a="1"/>
  <c r="C689" i="8" s="1"/>
  <c r="C688" i="8" a="1"/>
  <c r="C688" i="8" s="1"/>
  <c r="C687" i="8" a="1"/>
  <c r="C687" i="8" s="1"/>
  <c r="C686" i="8" a="1"/>
  <c r="C686" i="8" s="1"/>
  <c r="C684" i="8" a="1"/>
  <c r="C684" i="8" s="1"/>
  <c r="C685" i="8" a="1"/>
  <c r="C685" i="8" s="1"/>
  <c r="C674" i="8" a="1"/>
  <c r="C674" i="8" s="1"/>
  <c r="C670" i="8" a="1"/>
  <c r="C670" i="8" s="1"/>
  <c r="C645" i="8" a="1"/>
  <c r="C645" i="8" s="1"/>
  <c r="C607" i="8" a="1"/>
  <c r="C607" i="8" s="1"/>
  <c r="C669" i="8" a="1"/>
  <c r="C669" i="8" s="1"/>
  <c r="C668" i="8" a="1"/>
  <c r="C668" i="8" s="1"/>
  <c r="C671" i="8" a="1"/>
  <c r="C671" i="8" s="1"/>
  <c r="C667" i="8" a="1"/>
  <c r="C667" i="8" s="1"/>
  <c r="C666" i="8" a="1"/>
  <c r="C666" i="8" s="1"/>
  <c r="C665" i="8" a="1"/>
  <c r="C665" i="8" s="1"/>
  <c r="C663" i="8" a="1"/>
  <c r="C663" i="8" s="1"/>
  <c r="C664" i="8" a="1"/>
  <c r="C664" i="8" s="1"/>
  <c r="C657" i="8" a="1"/>
  <c r="C657" i="8" s="1"/>
  <c r="C662" i="8" a="1"/>
  <c r="C662" i="8" s="1"/>
  <c r="C660" i="8" a="1"/>
  <c r="C660" i="8" s="1"/>
  <c r="C659" i="8" a="1"/>
  <c r="C659" i="8" s="1"/>
  <c r="C647" i="8" a="1"/>
  <c r="C647" i="8" s="1"/>
  <c r="C656" i="8" a="1"/>
  <c r="C656" i="8" s="1"/>
  <c r="C600" i="8" a="1"/>
  <c r="C600" i="8" s="1"/>
  <c r="C625" i="8" a="1"/>
  <c r="C625" i="8" s="1"/>
  <c r="C652" i="8" a="1"/>
  <c r="C652" i="8" s="1"/>
  <c r="C653" i="8" a="1"/>
  <c r="C653" i="8" s="1"/>
  <c r="C651" i="8" a="1"/>
  <c r="C651" i="8" s="1"/>
  <c r="C650" i="8" a="1"/>
  <c r="C650" i="8" s="1"/>
  <c r="C551" i="8" a="1"/>
  <c r="C551" i="8" s="1"/>
  <c r="C585" i="8" a="1"/>
  <c r="C585" i="8" s="1"/>
  <c r="C649" i="8" a="1"/>
  <c r="C649" i="8" s="1"/>
  <c r="C648" i="8" a="1"/>
  <c r="C648" i="8" s="1"/>
  <c r="C638" i="8" a="1"/>
  <c r="C638" i="8" s="1"/>
  <c r="C637" i="8" a="1"/>
  <c r="C637" i="8" s="1"/>
  <c r="C636" i="8" a="1"/>
  <c r="C636" i="8" s="1"/>
  <c r="C635" i="8" a="1"/>
  <c r="C635" i="8" s="1"/>
  <c r="C628" i="8" a="1"/>
  <c r="C628" i="8" s="1"/>
  <c r="C634" i="8" a="1"/>
  <c r="C634" i="8" s="1"/>
  <c r="C631" i="8" a="1"/>
  <c r="C631" i="8" s="1"/>
  <c r="C630" i="8" a="1"/>
  <c r="C630" i="8" s="1"/>
  <c r="C629" i="8" a="1"/>
  <c r="C629" i="8" s="1"/>
  <c r="C627" i="8" a="1"/>
  <c r="C627" i="8" s="1"/>
  <c r="C626" i="8" a="1"/>
  <c r="C626" i="8" s="1"/>
  <c r="C624" i="8" a="1"/>
  <c r="C624" i="8" s="1"/>
  <c r="C622" i="8" a="1"/>
  <c r="C622" i="8" s="1"/>
  <c r="C584" i="8" a="1"/>
  <c r="C584" i="8" s="1"/>
  <c r="C583" i="8" a="1"/>
  <c r="C583" i="8" s="1"/>
  <c r="C553" i="8" a="1"/>
  <c r="C553" i="8" s="1"/>
  <c r="C552" i="8" a="1"/>
  <c r="C552" i="8" s="1"/>
  <c r="C530" i="8" a="1"/>
  <c r="C530" i="8" s="1"/>
  <c r="C529" i="8" a="1"/>
  <c r="C529" i="8" s="1"/>
  <c r="C494" i="8" a="1"/>
  <c r="C494" i="8" s="1"/>
  <c r="C493" i="8" a="1"/>
  <c r="C493" i="8" s="1"/>
  <c r="C464" i="8" a="1"/>
  <c r="C464" i="8" s="1"/>
  <c r="C463" i="8" a="1"/>
  <c r="C463" i="8" s="1"/>
  <c r="C621" i="8" a="1"/>
  <c r="C621" i="8" s="1"/>
  <c r="C620" i="8" a="1"/>
  <c r="C620" i="8" s="1"/>
  <c r="C599" i="8" a="1"/>
  <c r="C599" i="8" s="1"/>
  <c r="C605" i="8" a="1"/>
  <c r="C605" i="8" s="1"/>
  <c r="C606" i="8" a="1"/>
  <c r="C606" i="8" s="1"/>
  <c r="C612" i="8" a="1"/>
  <c r="C612" i="8" s="1"/>
  <c r="C611" i="8" a="1"/>
  <c r="C611" i="8" s="1"/>
  <c r="C613" i="8" a="1"/>
  <c r="C613" i="8" s="1"/>
  <c r="C610" i="8" a="1"/>
  <c r="C610" i="8" s="1"/>
  <c r="C609" i="8" a="1"/>
  <c r="C609" i="8" s="1"/>
  <c r="C604" i="8" a="1"/>
  <c r="C604" i="8" s="1"/>
  <c r="C602" i="8" a="1"/>
  <c r="C602" i="8" s="1"/>
  <c r="C603" i="8" a="1"/>
  <c r="C603" i="8" s="1"/>
  <c r="C601" i="8" a="1"/>
  <c r="C601" i="8" s="1"/>
  <c r="C581" i="8" a="1"/>
  <c r="C581" i="8" s="1"/>
  <c r="C597" i="8" a="1"/>
  <c r="C597" i="8" s="1"/>
  <c r="C596" i="8" a="1"/>
  <c r="C596" i="8" s="1"/>
  <c r="C574" i="8" a="1"/>
  <c r="C574" i="8" s="1"/>
  <c r="C575" i="8" a="1"/>
  <c r="C575" i="8" s="1"/>
  <c r="C595" i="8" a="1"/>
  <c r="C595" i="8" s="1"/>
  <c r="C594" i="8" a="1"/>
  <c r="C594" i="8" s="1"/>
  <c r="C593" i="8" a="1"/>
  <c r="C593" i="8" s="1"/>
  <c r="C586" i="8" a="1"/>
  <c r="C586" i="8" s="1"/>
  <c r="C582" i="8" a="1"/>
  <c r="C582" i="8" s="1"/>
  <c r="C579" i="8" a="1"/>
  <c r="C579" i="8" s="1"/>
  <c r="C577" i="8" a="1"/>
  <c r="C577" i="8" s="1"/>
  <c r="C567" i="8" a="1"/>
  <c r="C567" i="8" s="1"/>
  <c r="C578" i="8" a="1"/>
  <c r="C578" i="8" s="1"/>
  <c r="C576" i="8" a="1"/>
  <c r="C576" i="8" s="1"/>
  <c r="C560" i="8" a="1"/>
  <c r="C560" i="8" s="1"/>
  <c r="C572" i="8" a="1"/>
  <c r="C572" i="8" s="1"/>
  <c r="C568" i="8" a="1"/>
  <c r="C568" i="8" s="1"/>
  <c r="C571" i="8" a="1"/>
  <c r="C571" i="8" s="1"/>
  <c r="C570" i="8" a="1"/>
  <c r="C570" i="8" s="1"/>
  <c r="C569" i="8" a="1"/>
  <c r="C569" i="8" s="1"/>
  <c r="C564" i="8" a="1"/>
  <c r="C564" i="8" s="1"/>
  <c r="C566" i="8" a="1"/>
  <c r="C566" i="8" s="1"/>
  <c r="C550" i="8" a="1"/>
  <c r="C550" i="8" s="1"/>
  <c r="C563" i="8" a="1"/>
  <c r="C563" i="8" s="1"/>
  <c r="C546" i="8" a="1"/>
  <c r="C546" i="8" s="1"/>
  <c r="C545" i="8" a="1"/>
  <c r="C545" i="8" s="1"/>
  <c r="C562" i="8" a="1"/>
  <c r="C562" i="8" s="1"/>
  <c r="C561" i="8" a="1"/>
  <c r="C561" i="8" s="1"/>
  <c r="C549" i="8" a="1"/>
  <c r="C549" i="8" s="1"/>
  <c r="C547" i="8" a="1"/>
  <c r="C547" i="8" s="1"/>
  <c r="C538" i="8" a="1"/>
  <c r="C538" i="8" s="1"/>
  <c r="C477" i="8" a="1"/>
  <c r="C477" i="8" s="1"/>
  <c r="C506" i="8" a="1"/>
  <c r="C506" i="8" s="1"/>
  <c r="C544" i="8" a="1"/>
  <c r="C544" i="8" s="1"/>
  <c r="C543" i="8" a="1"/>
  <c r="C543" i="8" s="1"/>
  <c r="C542" i="8" a="1"/>
  <c r="C542" i="8" s="1"/>
  <c r="C541" i="8" a="1"/>
  <c r="C541" i="8" s="1"/>
  <c r="C540" i="8" a="1"/>
  <c r="C540" i="8" s="1"/>
  <c r="C539" i="8" a="1"/>
  <c r="C539" i="8" s="1"/>
  <c r="C537" i="8" a="1"/>
  <c r="C537" i="8" s="1"/>
  <c r="C535" i="8" a="1"/>
  <c r="C535" i="8" s="1"/>
  <c r="C536" i="8" a="1"/>
  <c r="C536" i="8" s="1"/>
  <c r="C534" i="8" a="1"/>
  <c r="C534" i="8" s="1"/>
  <c r="C533" i="8" a="1"/>
  <c r="C533" i="8" s="1"/>
  <c r="C532" i="8" a="1"/>
  <c r="C532" i="8" s="1"/>
  <c r="C531" i="8" a="1"/>
  <c r="C531" i="8" s="1"/>
  <c r="C526" i="8" a="1"/>
  <c r="C526" i="8" s="1"/>
  <c r="C518" i="8" a="1"/>
  <c r="C518" i="8" s="1"/>
  <c r="C515" i="8" a="1"/>
  <c r="C515" i="8" s="1"/>
  <c r="C488" i="8" a="1"/>
  <c r="C488" i="8" s="1"/>
  <c r="C517" i="8" a="1"/>
  <c r="C517" i="8" s="1"/>
  <c r="C512" i="8" a="1"/>
  <c r="C512" i="8" s="1"/>
  <c r="C511" i="8" a="1"/>
  <c r="C511" i="8" s="1"/>
  <c r="C516" i="8" a="1"/>
  <c r="C516" i="8" s="1"/>
  <c r="C514" i="8" a="1"/>
  <c r="C514" i="8" s="1"/>
  <c r="C513" i="8" a="1"/>
  <c r="C513" i="8" s="1"/>
  <c r="C510" i="8" a="1"/>
  <c r="C510" i="8" s="1"/>
  <c r="C509" i="8" a="1"/>
  <c r="C509" i="8" s="1"/>
  <c r="C507" i="8" a="1"/>
  <c r="C507" i="8" s="1"/>
  <c r="C508" i="8" a="1"/>
  <c r="C508" i="8" s="1"/>
  <c r="C505" i="8" a="1"/>
  <c r="C505" i="8" s="1"/>
  <c r="C503" i="8" a="1"/>
  <c r="C503" i="8" s="1"/>
  <c r="C504" i="8" a="1"/>
  <c r="C504" i="8" s="1"/>
  <c r="C502" i="8" a="1"/>
  <c r="C502" i="8" s="1"/>
  <c r="C501" i="8" a="1"/>
  <c r="C501" i="8" s="1"/>
  <c r="C484" i="8" a="1"/>
  <c r="C484" i="8" s="1"/>
  <c r="C487" i="8" a="1"/>
  <c r="C487" i="8" s="1"/>
  <c r="C492" i="8" a="1"/>
  <c r="C492" i="8" s="1"/>
  <c r="C491" i="8" a="1"/>
  <c r="C491" i="8" s="1"/>
  <c r="C489" i="8" a="1"/>
  <c r="C489" i="8" s="1"/>
  <c r="C490" i="8" a="1"/>
  <c r="C490" i="8" s="1"/>
  <c r="C478" i="8" a="1"/>
  <c r="C478" i="8" s="1"/>
  <c r="C486" i="8" a="1"/>
  <c r="C486" i="8" s="1"/>
  <c r="C485" i="8" a="1"/>
  <c r="C485" i="8" s="1"/>
  <c r="C482" i="8" a="1"/>
  <c r="C482" i="8" s="1"/>
  <c r="C481" i="8" a="1"/>
  <c r="C481" i="8" s="1"/>
  <c r="C479" i="8" a="1"/>
  <c r="C479" i="8" s="1"/>
  <c r="C480" i="8" a="1"/>
  <c r="C480" i="8" s="1"/>
  <c r="C461" i="8" a="1"/>
  <c r="C461" i="8" s="1"/>
  <c r="C476" i="8" a="1"/>
  <c r="C476" i="8" s="1"/>
  <c r="C475" i="8" a="1"/>
  <c r="C475" i="8" s="1"/>
  <c r="C355" i="8" a="1"/>
  <c r="C355" i="8" s="1"/>
  <c r="C354" i="8" a="1"/>
  <c r="C354" i="8" s="1"/>
  <c r="C234" i="8" a="1"/>
  <c r="C234" i="8" s="1"/>
  <c r="C233" i="8" a="1"/>
  <c r="C233" i="8" s="1"/>
  <c r="C203" i="8" a="1"/>
  <c r="C203" i="8" s="1"/>
  <c r="C202" i="8" a="1"/>
  <c r="C202" i="8" s="1"/>
  <c r="C155" i="8" a="1"/>
  <c r="C155" i="8" s="1"/>
  <c r="C154" i="8" a="1"/>
  <c r="C154" i="8" s="1"/>
  <c r="C123" i="8" a="1"/>
  <c r="C123" i="8" s="1"/>
  <c r="C122" i="8" a="1"/>
  <c r="C122" i="8" s="1"/>
  <c r="C110" i="8" a="1"/>
  <c r="C110" i="8" s="1"/>
  <c r="C109" i="8" a="1"/>
  <c r="C109" i="8" s="1"/>
  <c r="C68" i="8" a="1"/>
  <c r="C68" i="8" s="1"/>
  <c r="C67" i="8" a="1"/>
  <c r="C67" i="8" s="1"/>
  <c r="C47" i="8" a="1"/>
  <c r="C47" i="8" s="1"/>
  <c r="C46" i="8" a="1"/>
  <c r="C46" i="8" s="1"/>
  <c r="C474" i="8" a="1"/>
  <c r="C474" i="8" s="1"/>
  <c r="C472" i="8" a="1"/>
  <c r="C472" i="8" s="1"/>
  <c r="C473" i="8" a="1"/>
  <c r="C473" i="8" s="1"/>
  <c r="C465" i="8" a="1"/>
  <c r="C465" i="8" s="1"/>
  <c r="C462" i="8" a="1"/>
  <c r="C462" i="8" s="1"/>
  <c r="C451" i="8" a="1"/>
  <c r="C451" i="8" s="1"/>
  <c r="C423" i="8" a="1"/>
  <c r="C423" i="8" s="1"/>
  <c r="C460" i="8" a="1"/>
  <c r="C460" i="8" s="1"/>
  <c r="C459" i="8" a="1"/>
  <c r="C459" i="8" s="1"/>
  <c r="C453" i="8" a="1"/>
  <c r="C453" i="8" s="1"/>
  <c r="C458" i="8" a="1"/>
  <c r="C458" i="8" s="1"/>
  <c r="C457" i="8" a="1"/>
  <c r="C457" i="8" s="1"/>
  <c r="C456" i="8" a="1"/>
  <c r="C456" i="8" s="1"/>
  <c r="C455" i="8" a="1"/>
  <c r="C455" i="8" s="1"/>
  <c r="C454" i="8" a="1"/>
  <c r="C454" i="8" s="1"/>
  <c r="C452" i="8" a="1"/>
  <c r="C452" i="8" s="1"/>
  <c r="C450" i="8" a="1"/>
  <c r="C450" i="8" s="1"/>
  <c r="C449" i="8" a="1"/>
  <c r="C449" i="8" s="1"/>
  <c r="C429" i="8" a="1"/>
  <c r="C429" i="8" s="1"/>
  <c r="C428" i="8" a="1"/>
  <c r="C428" i="8" s="1"/>
  <c r="C413" i="8" a="1"/>
  <c r="C413" i="8" s="1"/>
  <c r="C411" i="8" a="1"/>
  <c r="C411" i="8" s="1"/>
  <c r="C394" i="8" a="1"/>
  <c r="C394" i="8" s="1"/>
  <c r="C393" i="8" a="1"/>
  <c r="C393" i="8" s="1"/>
  <c r="C375" i="8" a="1"/>
  <c r="C375" i="8" s="1"/>
  <c r="C374" i="8" a="1"/>
  <c r="C374" i="8" s="1"/>
  <c r="C352" i="8" a="1"/>
  <c r="C352" i="8" s="1"/>
  <c r="C353" i="8" a="1"/>
  <c r="C353" i="8" s="1"/>
  <c r="C328" i="8" a="1"/>
  <c r="C328" i="8" s="1"/>
  <c r="C329" i="8" a="1"/>
  <c r="C329" i="8" s="1"/>
  <c r="C448" i="8" a="1"/>
  <c r="C448" i="8" s="1"/>
  <c r="C445" i="8" a="1"/>
  <c r="C445" i="8" s="1"/>
  <c r="C444" i="8" a="1"/>
  <c r="C444" i="8" s="1"/>
  <c r="C412" i="8" a="1"/>
  <c r="C412" i="8" s="1"/>
  <c r="C407" i="8" a="1"/>
  <c r="C407" i="8" s="1"/>
  <c r="C447" i="8" a="1"/>
  <c r="C447" i="8" s="1"/>
  <c r="C446" i="8" a="1"/>
  <c r="C446" i="8" s="1"/>
  <c r="C442" i="8" a="1"/>
  <c r="C442" i="8" s="1"/>
  <c r="C443" i="8" a="1"/>
  <c r="C443" i="8" s="1"/>
  <c r="C441" i="8" a="1"/>
  <c r="C441" i="8" s="1"/>
  <c r="C440" i="8" a="1"/>
  <c r="C440" i="8" s="1"/>
  <c r="C439" i="8" a="1"/>
  <c r="C439" i="8" s="1"/>
  <c r="C438" i="8" a="1"/>
  <c r="C438" i="8" s="1"/>
  <c r="C437" i="8" a="1"/>
  <c r="C437" i="8" s="1"/>
  <c r="C430" i="8" a="1"/>
  <c r="C430" i="8" s="1"/>
  <c r="C427" i="8" a="1"/>
  <c r="C427" i="8" s="1"/>
  <c r="C426" i="8" a="1"/>
  <c r="C426" i="8" s="1"/>
  <c r="C424" i="8" a="1"/>
  <c r="C424" i="8" s="1"/>
  <c r="C425" i="8" a="1"/>
  <c r="C425" i="8" s="1"/>
  <c r="C422" i="8" a="1"/>
  <c r="C422" i="8" s="1"/>
  <c r="C419" i="8" a="1"/>
  <c r="C419" i="8" s="1"/>
  <c r="C421" i="8" a="1"/>
  <c r="C421" i="8" s="1"/>
  <c r="C420" i="8" a="1"/>
  <c r="C420" i="8" s="1"/>
  <c r="C408" i="8" a="1"/>
  <c r="C408" i="8" s="1"/>
  <c r="C400" i="8" a="1"/>
  <c r="C400" i="8" s="1"/>
  <c r="C379" i="8" a="1"/>
  <c r="C379" i="8" s="1"/>
  <c r="C362" i="8" a="1"/>
  <c r="C362" i="8" s="1"/>
  <c r="C401" i="8" a="1"/>
  <c r="C401" i="8" s="1"/>
  <c r="C414" i="8" a="1"/>
  <c r="C414" i="8" s="1"/>
  <c r="C410" i="8" a="1"/>
  <c r="C410" i="8" s="1"/>
  <c r="C409" i="8" a="1"/>
  <c r="C409" i="8" s="1"/>
  <c r="C387" i="8" a="1"/>
  <c r="C387" i="8" s="1"/>
  <c r="C368" i="8" a="1"/>
  <c r="C368" i="8" s="1"/>
  <c r="C343" i="8" a="1"/>
  <c r="C343" i="8" s="1"/>
  <c r="C324" i="8" a="1"/>
  <c r="C324" i="8" s="1"/>
  <c r="C402" i="8" a="1"/>
  <c r="C402" i="8" s="1"/>
  <c r="C406" i="8" a="1"/>
  <c r="C406" i="8" s="1"/>
  <c r="C384" i="8" a="1"/>
  <c r="C384" i="8" s="1"/>
  <c r="C382" i="8" a="1"/>
  <c r="C382" i="8" s="1"/>
  <c r="C405" i="8" a="1"/>
  <c r="C405" i="8" s="1"/>
  <c r="C404" i="8" a="1"/>
  <c r="C404" i="8" s="1"/>
  <c r="C403" i="8" a="1"/>
  <c r="C403" i="8" s="1"/>
  <c r="C378" i="8" a="1"/>
  <c r="C378" i="8" s="1"/>
  <c r="C397" i="8" a="1"/>
  <c r="C397" i="8" s="1"/>
  <c r="C398" i="8" a="1"/>
  <c r="C398" i="8" s="1"/>
  <c r="C399" i="8" a="1"/>
  <c r="C399" i="8" s="1"/>
  <c r="C380" i="8" a="1"/>
  <c r="C380" i="8" s="1"/>
  <c r="C363" i="8" a="1"/>
  <c r="C363" i="8" s="1"/>
  <c r="C338" i="8" a="1"/>
  <c r="C338" i="8" s="1"/>
  <c r="C396" i="8" a="1"/>
  <c r="C396" i="8" s="1"/>
  <c r="C395" i="8" a="1"/>
  <c r="C395" i="8" s="1"/>
  <c r="C392" i="8" a="1"/>
  <c r="C392" i="8" s="1"/>
  <c r="C390" i="8" a="1"/>
  <c r="C390" i="8" s="1"/>
  <c r="C391" i="8" a="1"/>
  <c r="C391" i="8" s="1"/>
  <c r="C389" i="8" a="1"/>
  <c r="C389" i="8" s="1"/>
  <c r="C388" i="8" a="1"/>
  <c r="C388" i="8" s="1"/>
  <c r="C383" i="8" a="1"/>
  <c r="C383" i="8" s="1"/>
  <c r="C381" i="8" a="1"/>
  <c r="C381" i="8" s="1"/>
  <c r="C371" i="8" a="1"/>
  <c r="C371" i="8" s="1"/>
  <c r="C377" i="8" a="1"/>
  <c r="C377" i="8" s="1"/>
  <c r="C376" i="8" a="1"/>
  <c r="C376" i="8" s="1"/>
  <c r="C370" i="8" a="1"/>
  <c r="C370" i="8" s="1"/>
  <c r="C373" i="8" a="1"/>
  <c r="C373" i="8" s="1"/>
  <c r="C372" i="8" a="1"/>
  <c r="C372" i="8" s="1"/>
  <c r="C347" i="8" a="1"/>
  <c r="C347" i="8" s="1"/>
  <c r="C326" i="8" a="1"/>
  <c r="C326" i="8" s="1"/>
  <c r="C307" i="8" a="1"/>
  <c r="C307" i="8" s="1"/>
  <c r="C290" i="8" a="1"/>
  <c r="C290" i="8" s="1"/>
  <c r="C272" i="8" a="1"/>
  <c r="C272" i="8" s="1"/>
  <c r="C256" i="8" a="1"/>
  <c r="C256" i="8" s="1"/>
  <c r="C369" i="8" a="1"/>
  <c r="C369" i="8" s="1"/>
  <c r="C367" i="8" a="1"/>
  <c r="C367" i="8" s="1"/>
  <c r="C366" i="8" a="1"/>
  <c r="C366" i="8" s="1"/>
  <c r="C364" i="8" a="1"/>
  <c r="C364" i="8" s="1"/>
  <c r="C344" i="8" a="1"/>
  <c r="C344" i="8" s="1"/>
  <c r="C325" i="8" a="1"/>
  <c r="C325" i="8" s="1"/>
  <c r="C306" i="8" a="1"/>
  <c r="C306" i="8" s="1"/>
  <c r="C289" i="8" a="1"/>
  <c r="C289" i="8" s="1"/>
  <c r="C271" i="8" a="1"/>
  <c r="C271" i="8" s="1"/>
  <c r="C255" i="8" a="1"/>
  <c r="C255" i="8" s="1"/>
  <c r="C365" i="8" a="1"/>
  <c r="C365" i="8" s="1"/>
  <c r="C350" i="8" a="1"/>
  <c r="C350" i="8" s="1"/>
  <c r="C349" i="8" a="1"/>
  <c r="C349" i="8" s="1"/>
  <c r="C361" i="8" a="1"/>
  <c r="C361" i="8" s="1"/>
  <c r="C360" i="8" a="1"/>
  <c r="C360" i="8" s="1"/>
  <c r="C356" i="8" a="1"/>
  <c r="C356" i="8" s="1"/>
  <c r="C345" i="8" a="1"/>
  <c r="C345" i="8" s="1"/>
  <c r="C331" i="8" a="1"/>
  <c r="C331" i="8" s="1"/>
  <c r="C359" i="8" a="1"/>
  <c r="C359" i="8" s="1"/>
  <c r="C357" i="8" a="1"/>
  <c r="C357" i="8" s="1"/>
  <c r="C358" i="8" a="1"/>
  <c r="C358" i="8" s="1"/>
  <c r="C305" i="8" a="1"/>
  <c r="C305" i="8" s="1"/>
  <c r="C351" i="8" a="1"/>
  <c r="C351" i="8" s="1"/>
  <c r="C346" i="8" a="1"/>
  <c r="C346" i="8" s="1"/>
  <c r="C339" i="8" a="1"/>
  <c r="C339" i="8" s="1"/>
  <c r="C318" i="8" a="1"/>
  <c r="C318" i="8" s="1"/>
  <c r="C341" i="8" a="1"/>
  <c r="C341" i="8" s="1"/>
  <c r="C342" i="8" a="1"/>
  <c r="C342" i="8" s="1"/>
  <c r="C340" i="8" a="1"/>
  <c r="C340" i="8" s="1"/>
  <c r="C312" i="8" a="1"/>
  <c r="C312" i="8" s="1"/>
  <c r="C327" i="8" a="1"/>
  <c r="C327" i="8" s="1"/>
  <c r="C316" i="8" a="1"/>
  <c r="C316" i="8" s="1"/>
  <c r="C294" i="8" a="1"/>
  <c r="C294" i="8" s="1"/>
  <c r="C293" i="8" a="1"/>
  <c r="C293" i="8" s="1"/>
  <c r="C333" i="8" a="1"/>
  <c r="C333" i="8" s="1"/>
  <c r="C311" i="8" a="1"/>
  <c r="C311" i="8" s="1"/>
  <c r="C300" i="8" a="1"/>
  <c r="C300" i="8" s="1"/>
  <c r="C292" i="8" a="1"/>
  <c r="C292" i="8" s="1"/>
  <c r="C310" i="8" a="1"/>
  <c r="C310" i="8" s="1"/>
  <c r="C291" i="8" a="1"/>
  <c r="C291" i="8" s="1"/>
  <c r="C337" i="8" a="1"/>
  <c r="C337" i="8" s="1"/>
  <c r="C336" i="8" a="1"/>
  <c r="C336" i="8" s="1"/>
  <c r="C335" i="8" a="1"/>
  <c r="C335" i="8" s="1"/>
  <c r="C334" i="8" a="1"/>
  <c r="C334" i="8" s="1"/>
  <c r="C330" i="8" a="1"/>
  <c r="C330" i="8" s="1"/>
  <c r="C320" i="8" a="1"/>
  <c r="C320" i="8" s="1"/>
  <c r="C323" i="8" a="1"/>
  <c r="C323" i="8" s="1"/>
  <c r="C321" i="8" a="1"/>
  <c r="C321" i="8" s="1"/>
  <c r="C322" i="8" a="1"/>
  <c r="C322" i="8" s="1"/>
  <c r="C319" i="8" a="1"/>
  <c r="C319" i="8" s="1"/>
  <c r="C315" i="8" a="1"/>
  <c r="C315" i="8" s="1"/>
  <c r="C317" i="8" a="1"/>
  <c r="C317" i="8" s="1"/>
  <c r="C314" i="8" a="1"/>
  <c r="C314" i="8" s="1"/>
  <c r="C313" i="8" a="1"/>
  <c r="C313" i="8" s="1"/>
  <c r="C309" i="8" a="1"/>
  <c r="C309" i="8" s="1"/>
  <c r="C308" i="8" a="1"/>
  <c r="C308" i="8" s="1"/>
  <c r="C304" i="8" a="1"/>
  <c r="C304" i="8" s="1"/>
  <c r="C303" i="8" a="1"/>
  <c r="C303" i="8" s="1"/>
  <c r="C302" i="8" a="1"/>
  <c r="C302" i="8" s="1"/>
  <c r="C301" i="8" a="1"/>
  <c r="C301" i="8" s="1"/>
  <c r="C298" i="8" a="1"/>
  <c r="C298" i="8" s="1"/>
  <c r="C299" i="8" a="1"/>
  <c r="C299" i="8" s="1"/>
  <c r="C297" i="8" a="1"/>
  <c r="C297" i="8" s="1"/>
  <c r="C296" i="8" a="1"/>
  <c r="C296" i="8" s="1"/>
  <c r="C295" i="8" a="1"/>
  <c r="C295" i="8" s="1"/>
  <c r="C242" i="8" a="1"/>
  <c r="C242" i="8" s="1"/>
  <c r="C287" i="8" a="1"/>
  <c r="C287" i="8" s="1"/>
  <c r="C288" i="8" a="1"/>
  <c r="C288" i="8" s="1"/>
  <c r="C286" i="8" a="1"/>
  <c r="C286" i="8" s="1"/>
  <c r="C285" i="8" a="1"/>
  <c r="C285" i="8" s="1"/>
  <c r="C274" i="8" a="1"/>
  <c r="C274" i="8" s="1"/>
  <c r="C278" i="8" a="1"/>
  <c r="C278" i="8" s="1"/>
  <c r="C277" i="8" a="1"/>
  <c r="C277" i="8" s="1"/>
  <c r="C276" i="8" a="1"/>
  <c r="C276" i="8" s="1"/>
  <c r="C284" i="8" a="1"/>
  <c r="C284" i="8" s="1"/>
  <c r="C281" i="8" a="1"/>
  <c r="C281" i="8" s="1"/>
  <c r="C283" i="8" a="1"/>
  <c r="C283" i="8" s="1"/>
  <c r="C282" i="8" a="1"/>
  <c r="C282" i="8" s="1"/>
  <c r="C280" i="8" a="1"/>
  <c r="C280" i="8" s="1"/>
  <c r="C279" i="8" a="1"/>
  <c r="C279" i="8" s="1"/>
  <c r="C275" i="8" a="1"/>
  <c r="C275" i="8" s="1"/>
  <c r="C270" i="8" a="1"/>
  <c r="C270" i="8" s="1"/>
  <c r="C260" i="8" a="1"/>
  <c r="C260" i="8" s="1"/>
  <c r="C268" i="8" a="1"/>
  <c r="C268" i="8" s="1"/>
  <c r="C257" i="8" a="1"/>
  <c r="C257" i="8" s="1"/>
  <c r="C237" i="8" a="1"/>
  <c r="C237" i="8" s="1"/>
  <c r="C261" i="8" a="1"/>
  <c r="C261" i="8" s="1"/>
  <c r="C243" i="8" a="1"/>
  <c r="C243" i="8" s="1"/>
  <c r="C252" i="8" a="1"/>
  <c r="C252" i="8" s="1"/>
  <c r="C241" i="8" a="1"/>
  <c r="C241" i="8" s="1"/>
  <c r="C259" i="8" a="1"/>
  <c r="C259" i="8" s="1"/>
  <c r="C240" i="8" a="1"/>
  <c r="C240" i="8" s="1"/>
  <c r="C266" i="8" a="1"/>
  <c r="C266" i="8" s="1"/>
  <c r="C267" i="8" a="1"/>
  <c r="C267" i="8" s="1"/>
  <c r="C269" i="8" a="1"/>
  <c r="C269" i="8" s="1"/>
  <c r="C265" i="8" a="1"/>
  <c r="C265" i="8" s="1"/>
  <c r="C248" i="8" a="1"/>
  <c r="C248" i="8" s="1"/>
  <c r="C264" i="8" a="1"/>
  <c r="C264" i="8" s="1"/>
  <c r="C263" i="8" a="1"/>
  <c r="C263" i="8" s="1"/>
  <c r="C262" i="8" a="1"/>
  <c r="C262" i="8" s="1"/>
  <c r="C249" i="8" a="1"/>
  <c r="C249" i="8" s="1"/>
  <c r="C251" i="8" a="1"/>
  <c r="C251" i="8" s="1"/>
  <c r="C250" i="8" a="1"/>
  <c r="C250" i="8" s="1"/>
  <c r="C254" i="8" a="1"/>
  <c r="C254" i="8" s="1"/>
  <c r="C253" i="8" a="1"/>
  <c r="C253" i="8" s="1"/>
  <c r="C247" i="8" a="1"/>
  <c r="C247" i="8" s="1"/>
  <c r="C246" i="8" a="1"/>
  <c r="C246" i="8" s="1"/>
  <c r="C245" i="8" a="1"/>
  <c r="C245" i="8" s="1"/>
  <c r="C244" i="8" a="1"/>
  <c r="C244" i="8" s="1"/>
  <c r="C235" i="8" a="1"/>
  <c r="C235" i="8" s="1"/>
  <c r="C238" i="8" a="1"/>
  <c r="C238" i="8" s="1"/>
  <c r="C239" i="8" a="1"/>
  <c r="C239" i="8" s="1"/>
  <c r="C236" i="8" a="1"/>
  <c r="C236" i="8" s="1"/>
  <c r="C232" i="8" a="1"/>
  <c r="C232" i="8" s="1"/>
  <c r="C223" i="8" a="1"/>
  <c r="C223" i="8" s="1"/>
  <c r="C231" i="8" a="1"/>
  <c r="C231" i="8" s="1"/>
  <c r="C230" i="8" a="1"/>
  <c r="C230" i="8" s="1"/>
  <c r="C229" i="8" a="1"/>
  <c r="C229" i="8" s="1"/>
  <c r="C224" i="8" a="1"/>
  <c r="C224" i="8" s="1"/>
  <c r="C225" i="8" a="1"/>
  <c r="C225" i="8" s="1"/>
  <c r="C220" i="8" a="1"/>
  <c r="C220" i="8" s="1"/>
  <c r="C221" i="8" a="1"/>
  <c r="C221" i="8" s="1"/>
  <c r="C228" i="8" a="1"/>
  <c r="C228" i="8" s="1"/>
  <c r="C219" i="8" a="1"/>
  <c r="C219" i="8" s="1"/>
  <c r="C227" i="8" a="1"/>
  <c r="C227" i="8" s="1"/>
  <c r="C226" i="8" a="1"/>
  <c r="C226" i="8" s="1"/>
  <c r="C217" i="8" a="1"/>
  <c r="C217" i="8" s="1"/>
  <c r="C218" i="8" a="1"/>
  <c r="C218" i="8" s="1"/>
  <c r="C214" i="8" a="1"/>
  <c r="C214" i="8" s="1"/>
  <c r="C215" i="8" a="1"/>
  <c r="C215" i="8" s="1"/>
  <c r="C216" i="8" a="1"/>
  <c r="C216" i="8" s="1"/>
  <c r="C213" i="8" a="1"/>
  <c r="C213" i="8" s="1"/>
  <c r="C212" i="8" a="1"/>
  <c r="C212" i="8" s="1"/>
  <c r="C207" i="8" a="1"/>
  <c r="C207" i="8" s="1"/>
  <c r="C199" i="8" a="1"/>
  <c r="C199" i="8" s="1"/>
  <c r="C211" i="8" a="1"/>
  <c r="C211" i="8" s="1"/>
  <c r="C208" i="8" a="1"/>
  <c r="C208" i="8" s="1"/>
  <c r="C206" i="8" a="1"/>
  <c r="C206" i="8" s="1"/>
  <c r="C205" i="8" a="1"/>
  <c r="C205" i="8" s="1"/>
  <c r="C195" i="8" a="1"/>
  <c r="C195" i="8" s="1"/>
  <c r="C192" i="8" a="1"/>
  <c r="C192" i="8" s="1"/>
  <c r="C193" i="8" a="1"/>
  <c r="C193" i="8" s="1"/>
  <c r="C210" i="8" a="1"/>
  <c r="C210" i="8" s="1"/>
  <c r="C209" i="8" a="1"/>
  <c r="C209" i="8" s="1"/>
  <c r="C201" i="8" a="1"/>
  <c r="C201" i="8" s="1"/>
  <c r="C200" i="8" a="1"/>
  <c r="C200" i="8" s="1"/>
  <c r="C198" i="8" a="1"/>
  <c r="C198" i="8" s="1"/>
  <c r="C197" i="8" a="1"/>
  <c r="C197" i="8" s="1"/>
  <c r="C196" i="8" a="1"/>
  <c r="C196" i="8" s="1"/>
  <c r="C191" i="8" a="1"/>
  <c r="C191" i="8" s="1"/>
  <c r="C194" i="8" a="1"/>
  <c r="C194" i="8" s="1"/>
  <c r="C190" i="8" a="1"/>
  <c r="C190" i="8" s="1"/>
  <c r="C189" i="8" a="1"/>
  <c r="C189" i="8" s="1"/>
  <c r="C188" i="8" a="1"/>
  <c r="C188" i="8" s="1"/>
  <c r="C179" i="8" a="1"/>
  <c r="C179" i="8" s="1"/>
  <c r="C187" i="8" a="1"/>
  <c r="C187" i="8" s="1"/>
  <c r="C185" i="8" a="1"/>
  <c r="C185" i="8" s="1"/>
  <c r="C184" i="8" a="1"/>
  <c r="C184" i="8" s="1"/>
  <c r="C180" i="8" a="1"/>
  <c r="C180" i="8" s="1"/>
  <c r="C178" i="8" a="1"/>
  <c r="C178" i="8" s="1"/>
  <c r="C164" i="8" a="1"/>
  <c r="C164" i="8" s="1"/>
  <c r="C150" i="8" a="1"/>
  <c r="C150" i="8" s="1"/>
  <c r="C174" i="8" a="1"/>
  <c r="C174" i="8" s="1"/>
  <c r="C172" i="8" a="1"/>
  <c r="C172" i="8" s="1"/>
  <c r="C159" i="8" a="1"/>
  <c r="C159" i="8" s="1"/>
  <c r="C148" i="8" a="1"/>
  <c r="C148" i="8" s="1"/>
  <c r="C170" i="8" a="1"/>
  <c r="C170" i="8" s="1"/>
  <c r="C158" i="8" a="1"/>
  <c r="C158" i="8" s="1"/>
  <c r="C147" i="8" a="1"/>
  <c r="C147" i="8" s="1"/>
  <c r="C183" i="8" a="1"/>
  <c r="C183" i="8" s="1"/>
  <c r="C182" i="8" a="1"/>
  <c r="C182" i="8" s="1"/>
  <c r="C181" i="8" a="1"/>
  <c r="C181" i="8" s="1"/>
  <c r="C177" i="8" a="1"/>
  <c r="C177" i="8" s="1"/>
  <c r="C176" i="8" a="1"/>
  <c r="C176" i="8" s="1"/>
  <c r="C173" i="8" a="1"/>
  <c r="C173" i="8" s="1"/>
  <c r="C171" i="8" a="1"/>
  <c r="C171" i="8" s="1"/>
  <c r="C169" i="8" a="1"/>
  <c r="C169" i="8" s="1"/>
  <c r="C168" i="8" a="1"/>
  <c r="C168" i="8" s="1"/>
  <c r="C165" i="8" a="1"/>
  <c r="C165" i="8" s="1"/>
  <c r="C167" i="8" a="1"/>
  <c r="C167" i="8" s="1"/>
  <c r="C166" i="8" a="1"/>
  <c r="C166" i="8" s="1"/>
  <c r="C151" i="8" a="1"/>
  <c r="C151" i="8" s="1"/>
  <c r="C156" i="8" a="1"/>
  <c r="C156" i="8" s="1"/>
  <c r="C152" i="8" a="1"/>
  <c r="C152" i="8" s="1"/>
  <c r="C163" i="8" a="1"/>
  <c r="C163" i="8" s="1"/>
  <c r="C162" i="8" a="1"/>
  <c r="C162" i="8" s="1"/>
  <c r="C161" i="8" a="1"/>
  <c r="C161" i="8" s="1"/>
  <c r="C160" i="8" a="1"/>
  <c r="C160" i="8" s="1"/>
  <c r="C153" i="8" a="1"/>
  <c r="C153" i="8" s="1"/>
  <c r="C141" i="8" a="1"/>
  <c r="C141" i="8" s="1"/>
  <c r="C149" i="8" a="1"/>
  <c r="C149" i="8" s="1"/>
  <c r="C144" i="8" a="1"/>
  <c r="C144" i="8" s="1"/>
  <c r="C139" i="8" a="1"/>
  <c r="C139" i="8" s="1"/>
  <c r="C138" i="8" a="1"/>
  <c r="C138" i="8" s="1"/>
  <c r="C137" i="8" a="1"/>
  <c r="C137" i="8" s="1"/>
  <c r="C136" i="8" a="1"/>
  <c r="C136" i="8" s="1"/>
  <c r="C145" i="8" a="1"/>
  <c r="C145" i="8" s="1"/>
  <c r="C142" i="8" a="1"/>
  <c r="C142" i="8" s="1"/>
  <c r="C143" i="8" a="1"/>
  <c r="C143" i="8" s="1"/>
  <c r="C140" i="8" a="1"/>
  <c r="C140" i="8" s="1"/>
  <c r="C133" i="8" a="1"/>
  <c r="C133" i="8" s="1"/>
  <c r="C132" i="8" a="1"/>
  <c r="C132" i="8" s="1"/>
  <c r="C134" i="8" a="1"/>
  <c r="C134" i="8" s="1"/>
  <c r="C131" i="8" a="1"/>
  <c r="C131" i="8" s="1"/>
  <c r="C128" i="8" a="1"/>
  <c r="C128" i="8" s="1"/>
  <c r="C130" i="8" a="1"/>
  <c r="C130" i="8" s="1"/>
  <c r="C129" i="8" a="1"/>
  <c r="C129" i="8" s="1"/>
  <c r="C127" i="8" a="1"/>
  <c r="C127" i="8" s="1"/>
  <c r="C126" i="8" a="1"/>
  <c r="C126" i="8" s="1"/>
  <c r="C125" i="8" a="1"/>
  <c r="C125" i="8" s="1"/>
  <c r="C124" i="8" a="1"/>
  <c r="C124" i="8" s="1"/>
  <c r="C120" i="8" a="1"/>
  <c r="C120" i="8" s="1"/>
  <c r="C119" i="8" a="1"/>
  <c r="C119" i="8" s="1"/>
  <c r="C118" i="8" a="1"/>
  <c r="C118" i="8" s="1"/>
  <c r="C121" i="8" a="1"/>
  <c r="C121" i="8" s="1"/>
  <c r="C116" i="8" a="1"/>
  <c r="C116" i="8" s="1"/>
  <c r="C115" i="8" a="1"/>
  <c r="C115" i="8" s="1"/>
  <c r="C114" i="8" a="1"/>
  <c r="C114" i="8" s="1"/>
  <c r="C113" i="8" a="1"/>
  <c r="C113" i="8" s="1"/>
  <c r="C111" i="8" a="1"/>
  <c r="C111" i="8" s="1"/>
  <c r="C112" i="8" a="1"/>
  <c r="C112" i="8" s="1"/>
  <c r="C105" i="8" a="1"/>
  <c r="C105" i="8" s="1"/>
  <c r="C108" i="8" a="1"/>
  <c r="C108" i="8" s="1"/>
  <c r="C107" i="8" a="1"/>
  <c r="C107" i="8" s="1"/>
  <c r="C106" i="8" a="1"/>
  <c r="C106" i="8" s="1"/>
  <c r="C99" i="8" a="1"/>
  <c r="C99" i="8" s="1"/>
  <c r="C104" i="8" a="1"/>
  <c r="C104" i="8" s="1"/>
  <c r="C103" i="8" a="1"/>
  <c r="C103" i="8" s="1"/>
  <c r="C102" i="8" a="1"/>
  <c r="C102" i="8" s="1"/>
  <c r="C101" i="8" a="1"/>
  <c r="C101" i="8" s="1"/>
  <c r="C100" i="8" a="1"/>
  <c r="C100" i="8" s="1"/>
  <c r="C98" i="8" a="1"/>
  <c r="C98" i="8" s="1"/>
  <c r="C97" i="8" a="1"/>
  <c r="C97" i="8" s="1"/>
  <c r="C96" i="8" a="1"/>
  <c r="C96" i="8" s="1"/>
  <c r="C88" i="8" a="1"/>
  <c r="C88" i="8" s="1"/>
  <c r="C95" i="8" a="1"/>
  <c r="C95" i="8" s="1"/>
  <c r="C82" i="8" a="1"/>
  <c r="C82" i="8" s="1"/>
  <c r="C93" i="8" a="1"/>
  <c r="C93" i="8" s="1"/>
  <c r="C81" i="8" a="1"/>
  <c r="C81" i="8" s="1"/>
  <c r="C94" i="8" a="1"/>
  <c r="C94" i="8" s="1"/>
  <c r="C92" i="8" a="1"/>
  <c r="C92" i="8" s="1"/>
  <c r="C91" i="8" a="1"/>
  <c r="C91" i="8" s="1"/>
  <c r="C90" i="8" a="1"/>
  <c r="C90" i="8" s="1"/>
  <c r="C78" i="8" a="1"/>
  <c r="C78" i="8" s="1"/>
  <c r="C79" i="8" a="1"/>
  <c r="C79" i="8" s="1"/>
  <c r="C89" i="8" a="1"/>
  <c r="C89" i="8" s="1"/>
  <c r="C87" i="8" a="1"/>
  <c r="C87" i="8" s="1"/>
  <c r="C86" i="8" a="1"/>
  <c r="C86" i="8" s="1"/>
  <c r="C85" i="8" a="1"/>
  <c r="C85" i="8" s="1"/>
  <c r="C84" i="8" a="1"/>
  <c r="C84" i="8" s="1"/>
  <c r="C80" i="8" a="1"/>
  <c r="C80" i="8" s="1"/>
  <c r="C69" i="8" a="1"/>
  <c r="C69" i="8" s="1"/>
  <c r="C83" i="8" a="1"/>
  <c r="C83" i="8" s="1"/>
  <c r="C76" i="8" a="1"/>
  <c r="C76" i="8" s="1"/>
  <c r="C77" i="8" a="1"/>
  <c r="C77" i="8" s="1"/>
  <c r="C75" i="8" a="1"/>
  <c r="C75" i="8" s="1"/>
  <c r="C74" i="8" a="1"/>
  <c r="C74" i="8" s="1"/>
  <c r="C73" i="8" a="1"/>
  <c r="C73" i="8" s="1"/>
  <c r="C72" i="8" a="1"/>
  <c r="C72" i="8" s="1"/>
  <c r="C71" i="8" a="1"/>
  <c r="C71" i="8" s="1"/>
  <c r="C70" i="8" a="1"/>
  <c r="C70" i="8" s="1"/>
  <c r="C66" i="8" a="1"/>
  <c r="C66" i="8" s="1"/>
  <c r="C65" i="8" a="1"/>
  <c r="C65" i="8" s="1"/>
  <c r="C64" i="8" a="1"/>
  <c r="C64" i="8" s="1"/>
  <c r="C62" i="8" a="1"/>
  <c r="C62" i="8" s="1"/>
  <c r="C60" i="8" a="1"/>
  <c r="C60" i="8" s="1"/>
  <c r="C59" i="8" a="1"/>
  <c r="C59" i="8" s="1"/>
  <c r="C58" i="8" a="1"/>
  <c r="C58" i="8" s="1"/>
  <c r="C63" i="8" a="1"/>
  <c r="C63" i="8" s="1"/>
  <c r="C61" i="8" a="1"/>
  <c r="C61" i="8" s="1"/>
  <c r="C57" i="8" a="1"/>
  <c r="C57" i="8" s="1"/>
  <c r="C56" i="8" a="1"/>
  <c r="C56" i="8" s="1"/>
  <c r="C55" i="8" a="1"/>
  <c r="C55" i="8" s="1"/>
  <c r="C54" i="8" a="1"/>
  <c r="C54" i="8" s="1"/>
  <c r="C45" i="8" a="1"/>
  <c r="C45" i="8" s="1"/>
  <c r="C53" i="8" a="1"/>
  <c r="C53" i="8" s="1"/>
  <c r="C51" i="8" a="1"/>
  <c r="C51" i="8" s="1"/>
  <c r="C50" i="8" a="1"/>
  <c r="C50" i="8" s="1"/>
  <c r="C49" i="8" a="1"/>
  <c r="C49" i="8" s="1"/>
  <c r="C48" i="8" a="1"/>
  <c r="C48" i="8" s="1"/>
  <c r="C52" i="8" a="1"/>
  <c r="C52" i="8" s="1"/>
  <c r="C44" i="8" a="1"/>
  <c r="C44" i="8" s="1"/>
  <c r="C43" i="8" a="1"/>
  <c r="C43" i="8" s="1"/>
  <c r="C35" i="8" a="1"/>
  <c r="C35" i="8" s="1"/>
  <c r="C42" i="8" a="1"/>
  <c r="C42" i="8" s="1"/>
  <c r="C41" i="8" a="1"/>
  <c r="C41" i="8" s="1"/>
  <c r="C40" i="8" a="1"/>
  <c r="C40" i="8" s="1"/>
  <c r="C38" i="8" a="1"/>
  <c r="C38" i="8" s="1"/>
  <c r="C37" i="8" a="1"/>
  <c r="C37" i="8" s="1"/>
  <c r="C39" i="8" a="1"/>
  <c r="C39" i="8" s="1"/>
  <c r="C36" i="8" a="1"/>
  <c r="C36" i="8" s="1"/>
  <c r="C34" i="8" a="1"/>
  <c r="C34" i="8" s="1"/>
  <c r="C33" i="8" a="1"/>
  <c r="C33" i="8" s="1"/>
  <c r="C24" i="8" a="1"/>
  <c r="C24" i="8" s="1"/>
  <c r="C23" i="8" a="1"/>
  <c r="C23" i="8" s="1"/>
  <c r="C32" i="8" a="1"/>
  <c r="C32" i="8" s="1"/>
  <c r="C31" i="8" a="1"/>
  <c r="C31" i="8" s="1"/>
  <c r="C30" i="8" a="1"/>
  <c r="C30" i="8" s="1"/>
  <c r="C29" i="8" a="1"/>
  <c r="C29" i="8" s="1"/>
  <c r="C28" i="8" a="1"/>
  <c r="C28" i="8" s="1"/>
  <c r="C27" i="8" a="1"/>
  <c r="C27" i="8" s="1"/>
  <c r="C26" i="8" a="1"/>
  <c r="C26" i="8" s="1"/>
  <c r="C25" i="8" a="1"/>
  <c r="C25" i="8" s="1"/>
  <c r="C21" i="8" a="1"/>
  <c r="C21" i="8" s="1"/>
  <c r="C22" i="8" a="1"/>
  <c r="C22"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C5" i="8" a="1"/>
  <c r="C5" i="8" s="1"/>
  <c r="C4" i="8" a="1"/>
  <c r="C4" i="8" s="1"/>
  <c r="C3" i="8" a="1"/>
  <c r="C3" i="8" s="1"/>
  <c r="C2" i="8" a="1"/>
  <c r="C2" i="8" s="1"/>
  <c r="F695" i="8"/>
  <c r="F694" i="8"/>
  <c r="F693" i="8"/>
  <c r="F658" i="8"/>
  <c r="F689" i="8"/>
  <c r="F688" i="8"/>
  <c r="F687" i="8"/>
  <c r="F686" i="8"/>
  <c r="F684" i="8"/>
  <c r="F685" i="8"/>
  <c r="F674" i="8"/>
  <c r="F670" i="8"/>
  <c r="F645" i="8"/>
  <c r="F607" i="8"/>
  <c r="F669" i="8"/>
  <c r="F668" i="8"/>
  <c r="F671" i="8"/>
  <c r="F667" i="8"/>
  <c r="F666" i="8"/>
  <c r="F665" i="8"/>
  <c r="F663" i="8"/>
  <c r="F664" i="8"/>
  <c r="F657" i="8"/>
  <c r="F662" i="8"/>
  <c r="F660" i="8"/>
  <c r="F659" i="8"/>
  <c r="F647" i="8"/>
  <c r="F656" i="8"/>
  <c r="F600" i="8"/>
  <c r="F625" i="8"/>
  <c r="F652" i="8"/>
  <c r="F653" i="8"/>
  <c r="F651" i="8"/>
  <c r="F650" i="8"/>
  <c r="F551" i="8"/>
  <c r="F585" i="8"/>
  <c r="F649" i="8"/>
  <c r="F648" i="8"/>
  <c r="F638" i="8"/>
  <c r="F637" i="8"/>
  <c r="F636" i="8"/>
  <c r="F635" i="8"/>
  <c r="F628" i="8"/>
  <c r="F634" i="8"/>
  <c r="F631" i="8"/>
  <c r="F630" i="8"/>
  <c r="F629" i="8"/>
  <c r="F627" i="8"/>
  <c r="F626" i="8"/>
  <c r="F624" i="8"/>
  <c r="F622" i="8"/>
  <c r="F584" i="8"/>
  <c r="F583" i="8"/>
  <c r="F553" i="8"/>
  <c r="F552" i="8"/>
  <c r="F530" i="8"/>
  <c r="F529" i="8"/>
  <c r="F494" i="8"/>
  <c r="F493" i="8"/>
  <c r="F464" i="8"/>
  <c r="F463" i="8"/>
  <c r="F621" i="8"/>
  <c r="F620" i="8"/>
  <c r="F599" i="8"/>
  <c r="F605" i="8"/>
  <c r="F606" i="8"/>
  <c r="F612" i="8"/>
  <c r="F611" i="8"/>
  <c r="F613" i="8"/>
  <c r="F610" i="8"/>
  <c r="F609" i="8"/>
  <c r="F604" i="8"/>
  <c r="F602" i="8"/>
  <c r="F603" i="8"/>
  <c r="F601" i="8"/>
  <c r="F581" i="8"/>
  <c r="F597" i="8"/>
  <c r="F596" i="8"/>
  <c r="F574" i="8"/>
  <c r="F575" i="8"/>
  <c r="F595" i="8"/>
  <c r="F594" i="8"/>
  <c r="F593" i="8"/>
  <c r="F586" i="8"/>
  <c r="F582" i="8"/>
  <c r="F579" i="8"/>
  <c r="F577" i="8"/>
  <c r="F567" i="8"/>
  <c r="F578" i="8"/>
  <c r="F576" i="8"/>
  <c r="F560" i="8"/>
  <c r="F572" i="8"/>
  <c r="F568" i="8"/>
  <c r="F571" i="8"/>
  <c r="F570" i="8"/>
  <c r="F569" i="8"/>
  <c r="F564" i="8"/>
  <c r="F566" i="8"/>
  <c r="F550" i="8"/>
  <c r="F563" i="8"/>
  <c r="F546" i="8"/>
  <c r="F545" i="8"/>
  <c r="F562" i="8"/>
  <c r="F561" i="8"/>
  <c r="F549" i="8"/>
  <c r="F547" i="8"/>
  <c r="F538" i="8"/>
  <c r="F477" i="8"/>
  <c r="F506" i="8"/>
  <c r="F544" i="8"/>
  <c r="F543" i="8"/>
  <c r="F542" i="8"/>
  <c r="F541" i="8"/>
  <c r="F540" i="8"/>
  <c r="F539" i="8"/>
  <c r="F537" i="8"/>
  <c r="F535" i="8"/>
  <c r="F536" i="8"/>
  <c r="F534" i="8"/>
  <c r="F533" i="8"/>
  <c r="F532" i="8"/>
  <c r="F531" i="8"/>
  <c r="F526" i="8"/>
  <c r="F518" i="8"/>
  <c r="F515" i="8"/>
  <c r="F488" i="8"/>
  <c r="F517" i="8"/>
  <c r="F512" i="8"/>
  <c r="F511" i="8"/>
  <c r="F516" i="8"/>
  <c r="F514" i="8"/>
  <c r="F513" i="8"/>
  <c r="F510" i="8"/>
  <c r="F509" i="8"/>
  <c r="F507" i="8"/>
  <c r="F508" i="8"/>
  <c r="F505" i="8"/>
  <c r="F503" i="8"/>
  <c r="F504" i="8"/>
  <c r="F502" i="8"/>
  <c r="F501" i="8"/>
  <c r="F484" i="8"/>
  <c r="F487" i="8"/>
  <c r="F492" i="8"/>
  <c r="F491" i="8"/>
  <c r="F489" i="8"/>
  <c r="F490" i="8"/>
  <c r="F478" i="8"/>
  <c r="F486" i="8"/>
  <c r="F485" i="8"/>
  <c r="F482" i="8"/>
  <c r="F481" i="8"/>
  <c r="F479" i="8"/>
  <c r="F480" i="8"/>
  <c r="F461" i="8"/>
  <c r="F476" i="8"/>
  <c r="F475" i="8"/>
  <c r="F355" i="8"/>
  <c r="F354" i="8"/>
  <c r="F234" i="8"/>
  <c r="F233" i="8"/>
  <c r="F203" i="8"/>
  <c r="F202" i="8"/>
  <c r="F155" i="8"/>
  <c r="F154" i="8"/>
  <c r="F123" i="8"/>
  <c r="F122" i="8"/>
  <c r="F110" i="8"/>
  <c r="F109" i="8"/>
  <c r="F68" i="8"/>
  <c r="F67" i="8"/>
  <c r="F47" i="8"/>
  <c r="F46" i="8"/>
  <c r="F474" i="8"/>
  <c r="F472" i="8"/>
  <c r="F473" i="8"/>
  <c r="F465" i="8"/>
  <c r="F462" i="8"/>
  <c r="F451" i="8"/>
  <c r="F423" i="8"/>
  <c r="F460" i="8"/>
  <c r="F459" i="8"/>
  <c r="F453" i="8"/>
  <c r="F458" i="8"/>
  <c r="F457" i="8"/>
  <c r="F456" i="8"/>
  <c r="F455" i="8"/>
  <c r="F454" i="8"/>
  <c r="F452" i="8"/>
  <c r="F450" i="8"/>
  <c r="F449" i="8"/>
  <c r="F429" i="8"/>
  <c r="F428" i="8"/>
  <c r="F413" i="8"/>
  <c r="F411" i="8"/>
  <c r="F394" i="8"/>
  <c r="F393" i="8"/>
  <c r="F375" i="8"/>
  <c r="F374" i="8"/>
  <c r="F352" i="8"/>
  <c r="F353" i="8"/>
  <c r="F328" i="8"/>
  <c r="F329" i="8"/>
  <c r="F448" i="8"/>
  <c r="F445" i="8"/>
  <c r="F444" i="8"/>
  <c r="F412" i="8"/>
  <c r="F407" i="8"/>
  <c r="F447" i="8"/>
  <c r="F446" i="8"/>
  <c r="F442" i="8"/>
  <c r="F443" i="8"/>
  <c r="F441" i="8"/>
  <c r="F440" i="8"/>
  <c r="F439" i="8"/>
  <c r="F438" i="8"/>
  <c r="F437" i="8"/>
  <c r="F430" i="8"/>
  <c r="F427" i="8"/>
  <c r="F426" i="8"/>
  <c r="F424" i="8"/>
  <c r="F425" i="8"/>
  <c r="F422" i="8"/>
  <c r="F419" i="8"/>
  <c r="F421" i="8"/>
  <c r="F420" i="8"/>
  <c r="F408" i="8"/>
  <c r="F400" i="8"/>
  <c r="F379" i="8"/>
  <c r="F362" i="8"/>
  <c r="F401" i="8"/>
  <c r="F414" i="8"/>
  <c r="F410" i="8"/>
  <c r="F409" i="8"/>
  <c r="F387" i="8"/>
  <c r="F368" i="8"/>
  <c r="F343" i="8"/>
  <c r="F324" i="8"/>
  <c r="F402" i="8"/>
  <c r="F406" i="8"/>
  <c r="F384" i="8"/>
  <c r="F382" i="8"/>
  <c r="F405" i="8"/>
  <c r="F404" i="8"/>
  <c r="F403" i="8"/>
  <c r="F378" i="8"/>
  <c r="F397" i="8"/>
  <c r="F398" i="8"/>
  <c r="F399" i="8"/>
  <c r="F380" i="8"/>
  <c r="F363" i="8"/>
  <c r="F338" i="8"/>
  <c r="F396" i="8"/>
  <c r="F395" i="8"/>
  <c r="F392" i="8"/>
  <c r="F390" i="8"/>
  <c r="F391" i="8"/>
  <c r="F389" i="8"/>
  <c r="F388" i="8"/>
  <c r="F383" i="8"/>
  <c r="F381" i="8"/>
  <c r="F371" i="8"/>
  <c r="F377" i="8"/>
  <c r="F376" i="8"/>
  <c r="F370" i="8"/>
  <c r="F373" i="8"/>
  <c r="F372" i="8"/>
  <c r="F347" i="8"/>
  <c r="F326" i="8"/>
  <c r="F307" i="8"/>
  <c r="F290" i="8"/>
  <c r="F272" i="8"/>
  <c r="F256" i="8"/>
  <c r="F369" i="8"/>
  <c r="F367" i="8"/>
  <c r="F366" i="8"/>
  <c r="F364" i="8"/>
  <c r="F344" i="8"/>
  <c r="F325" i="8"/>
  <c r="F306" i="8"/>
  <c r="F289" i="8"/>
  <c r="F271" i="8"/>
  <c r="F255" i="8"/>
  <c r="F365" i="8"/>
  <c r="F350" i="8"/>
  <c r="F349" i="8"/>
  <c r="F361" i="8"/>
  <c r="F360" i="8"/>
  <c r="F356" i="8"/>
  <c r="F345" i="8"/>
  <c r="F331" i="8"/>
  <c r="F359" i="8"/>
  <c r="F357" i="8"/>
  <c r="F358" i="8"/>
  <c r="F305" i="8"/>
  <c r="F351" i="8"/>
  <c r="F346" i="8"/>
  <c r="F339" i="8"/>
  <c r="F318" i="8"/>
  <c r="F341" i="8"/>
  <c r="F342" i="8"/>
  <c r="F340" i="8"/>
  <c r="F312" i="8"/>
  <c r="F327" i="8"/>
  <c r="F316" i="8"/>
  <c r="F294" i="8"/>
  <c r="F293" i="8"/>
  <c r="F333" i="8"/>
  <c r="F311" i="8"/>
  <c r="F300" i="8"/>
  <c r="F292" i="8"/>
  <c r="F310" i="8"/>
  <c r="F291" i="8"/>
  <c r="F337" i="8"/>
  <c r="F336" i="8"/>
  <c r="F335" i="8"/>
  <c r="F334" i="8"/>
  <c r="F330" i="8"/>
  <c r="F320" i="8"/>
  <c r="F323" i="8"/>
  <c r="F321" i="8"/>
  <c r="F322" i="8"/>
  <c r="F319" i="8"/>
  <c r="F315" i="8"/>
  <c r="F317" i="8"/>
  <c r="F314" i="8"/>
  <c r="F313" i="8"/>
  <c r="F309" i="8"/>
  <c r="F308" i="8"/>
  <c r="F304" i="8"/>
  <c r="F303" i="8"/>
  <c r="F302" i="8"/>
  <c r="F301" i="8"/>
  <c r="F298" i="8"/>
  <c r="F299" i="8"/>
  <c r="F297" i="8"/>
  <c r="F296" i="8"/>
  <c r="F295" i="8"/>
  <c r="F242" i="8"/>
  <c r="F287" i="8"/>
  <c r="F288" i="8"/>
  <c r="F286" i="8"/>
  <c r="F285" i="8"/>
  <c r="F274" i="8"/>
  <c r="F278" i="8"/>
  <c r="F277" i="8"/>
  <c r="F276" i="8"/>
  <c r="F284" i="8"/>
  <c r="F281" i="8"/>
  <c r="F283" i="8"/>
  <c r="F282" i="8"/>
  <c r="F280" i="8"/>
  <c r="F279" i="8"/>
  <c r="F275" i="8"/>
  <c r="F270" i="8"/>
  <c r="F260" i="8"/>
  <c r="F268" i="8"/>
  <c r="F257" i="8"/>
  <c r="F237" i="8"/>
  <c r="F261" i="8"/>
  <c r="F243" i="8"/>
  <c r="F252" i="8"/>
  <c r="F241" i="8"/>
  <c r="F259" i="8"/>
  <c r="F240" i="8"/>
  <c r="F266" i="8"/>
  <c r="F267" i="8"/>
  <c r="F269" i="8"/>
  <c r="F265" i="8"/>
  <c r="F248" i="8"/>
  <c r="F264" i="8"/>
  <c r="F263" i="8"/>
  <c r="F262" i="8"/>
  <c r="F249" i="8"/>
  <c r="F251" i="8"/>
  <c r="F250" i="8"/>
  <c r="F254" i="8"/>
  <c r="F253" i="8"/>
  <c r="F247" i="8"/>
  <c r="F246" i="8"/>
  <c r="F245" i="8"/>
  <c r="F244" i="8"/>
  <c r="F235" i="8"/>
  <c r="F238" i="8"/>
  <c r="F239" i="8"/>
  <c r="F236" i="8"/>
  <c r="F232" i="8"/>
  <c r="F223" i="8"/>
  <c r="F231" i="8"/>
  <c r="F230" i="8"/>
  <c r="F229" i="8"/>
  <c r="F224" i="8"/>
  <c r="F225" i="8"/>
  <c r="F220" i="8"/>
  <c r="F221" i="8"/>
  <c r="F228" i="8"/>
  <c r="F219" i="8"/>
  <c r="F227" i="8"/>
  <c r="F226" i="8"/>
  <c r="F217" i="8"/>
  <c r="F218" i="8"/>
  <c r="F214" i="8"/>
  <c r="F215" i="8"/>
  <c r="F216" i="8"/>
  <c r="F213" i="8"/>
  <c r="F212" i="8"/>
  <c r="F207" i="8"/>
  <c r="F199" i="8"/>
  <c r="F211" i="8"/>
  <c r="F208" i="8"/>
  <c r="F206" i="8"/>
  <c r="F205" i="8"/>
  <c r="F195" i="8"/>
  <c r="F192" i="8"/>
  <c r="F193" i="8"/>
  <c r="F210" i="8"/>
  <c r="F209" i="8"/>
  <c r="F201" i="8"/>
  <c r="F200" i="8"/>
  <c r="F198" i="8"/>
  <c r="F197" i="8"/>
  <c r="F196" i="8"/>
  <c r="F191" i="8"/>
  <c r="F194" i="8"/>
  <c r="F190" i="8"/>
  <c r="F189" i="8"/>
  <c r="F188" i="8"/>
  <c r="F179" i="8"/>
  <c r="F187" i="8"/>
  <c r="F185" i="8"/>
  <c r="F184" i="8"/>
  <c r="F180" i="8"/>
  <c r="F178" i="8"/>
  <c r="F164" i="8"/>
  <c r="F150" i="8"/>
  <c r="F174" i="8"/>
  <c r="F172" i="8"/>
  <c r="F159" i="8"/>
  <c r="F148" i="8"/>
  <c r="F170" i="8"/>
  <c r="F158" i="8"/>
  <c r="F147" i="8"/>
  <c r="F183" i="8"/>
  <c r="F182" i="8"/>
  <c r="F181" i="8"/>
  <c r="F177" i="8"/>
  <c r="F176" i="8"/>
  <c r="F173" i="8"/>
  <c r="F171" i="8"/>
  <c r="F169" i="8"/>
  <c r="F168" i="8"/>
  <c r="F165" i="8"/>
  <c r="F167" i="8"/>
  <c r="F166" i="8"/>
  <c r="F151" i="8"/>
  <c r="F156" i="8"/>
  <c r="F152" i="8"/>
  <c r="F163" i="8"/>
  <c r="F162" i="8"/>
  <c r="F161" i="8"/>
  <c r="F160" i="8"/>
  <c r="F153" i="8"/>
  <c r="F141" i="8"/>
  <c r="F149" i="8"/>
  <c r="F144" i="8"/>
  <c r="F139" i="8"/>
  <c r="F138" i="8"/>
  <c r="F137" i="8"/>
  <c r="F136" i="8"/>
  <c r="F145" i="8"/>
  <c r="F142" i="8"/>
  <c r="F143" i="8"/>
  <c r="F140" i="8"/>
  <c r="F133" i="8"/>
  <c r="F132" i="8"/>
  <c r="F134" i="8"/>
  <c r="F131" i="8"/>
  <c r="F128" i="8"/>
  <c r="F130" i="8"/>
  <c r="F129" i="8"/>
  <c r="F127" i="8"/>
  <c r="F126" i="8"/>
  <c r="F125" i="8"/>
  <c r="F124" i="8"/>
  <c r="F120" i="8"/>
  <c r="F119" i="8"/>
  <c r="F118" i="8"/>
  <c r="F121" i="8"/>
  <c r="F116" i="8"/>
  <c r="F115" i="8"/>
  <c r="F114" i="8"/>
  <c r="F113" i="8"/>
  <c r="F111" i="8"/>
  <c r="F112" i="8"/>
  <c r="F105" i="8"/>
  <c r="F108" i="8"/>
  <c r="F107" i="8"/>
  <c r="F106" i="8"/>
  <c r="F99" i="8"/>
  <c r="F104" i="8"/>
  <c r="F103" i="8"/>
  <c r="F102" i="8"/>
  <c r="F101" i="8"/>
  <c r="F100" i="8"/>
  <c r="F98" i="8"/>
  <c r="F97" i="8"/>
  <c r="F96" i="8"/>
  <c r="F88" i="8"/>
  <c r="F95" i="8"/>
  <c r="F82" i="8"/>
  <c r="F93" i="8"/>
  <c r="F81" i="8"/>
  <c r="F94" i="8"/>
  <c r="F92" i="8"/>
  <c r="F91" i="8"/>
  <c r="F90" i="8"/>
  <c r="F78" i="8"/>
  <c r="F79" i="8"/>
  <c r="F89" i="8"/>
  <c r="F87" i="8"/>
  <c r="F86" i="8"/>
  <c r="F85" i="8"/>
  <c r="F84" i="8"/>
  <c r="F80" i="8"/>
  <c r="F69" i="8"/>
  <c r="F83" i="8"/>
  <c r="F76" i="8"/>
  <c r="F77" i="8"/>
  <c r="F75" i="8"/>
  <c r="F74" i="8"/>
  <c r="F73" i="8"/>
  <c r="F72" i="8"/>
  <c r="F71" i="8"/>
  <c r="F70" i="8"/>
  <c r="F66" i="8"/>
  <c r="F65" i="8"/>
  <c r="F64" i="8"/>
  <c r="F62" i="8"/>
  <c r="F60" i="8"/>
  <c r="F59" i="8"/>
  <c r="F58" i="8"/>
  <c r="F63" i="8"/>
  <c r="F61" i="8"/>
  <c r="F57" i="8"/>
  <c r="F56" i="8"/>
  <c r="F55" i="8"/>
  <c r="F54" i="8"/>
  <c r="F45" i="8"/>
  <c r="F53" i="8"/>
  <c r="F51" i="8"/>
  <c r="F50" i="8"/>
  <c r="F49" i="8"/>
  <c r="F48" i="8"/>
  <c r="F52" i="8"/>
  <c r="F44" i="8"/>
  <c r="F43" i="8"/>
  <c r="F35" i="8"/>
  <c r="F42" i="8"/>
  <c r="F41" i="8"/>
  <c r="F40" i="8"/>
  <c r="F38" i="8"/>
  <c r="F37" i="8"/>
  <c r="F39" i="8"/>
  <c r="F36" i="8"/>
  <c r="F34" i="8"/>
  <c r="F33" i="8"/>
  <c r="F24" i="8"/>
  <c r="F23" i="8"/>
  <c r="F32" i="8"/>
  <c r="F31" i="8"/>
  <c r="F30" i="8"/>
  <c r="F29" i="8"/>
  <c r="F28" i="8"/>
  <c r="F27" i="8"/>
  <c r="F26" i="8"/>
  <c r="F25" i="8"/>
  <c r="F21" i="8"/>
  <c r="F22" i="8"/>
  <c r="F20" i="8"/>
  <c r="F19" i="8"/>
  <c r="F18" i="8"/>
  <c r="F17" i="8"/>
  <c r="F16" i="8"/>
  <c r="F15" i="8"/>
  <c r="F14" i="8"/>
  <c r="F13" i="8"/>
  <c r="F12" i="8"/>
  <c r="F11" i="8"/>
  <c r="F10" i="8"/>
  <c r="F9" i="8"/>
  <c r="F8" i="8"/>
  <c r="F7" i="8"/>
  <c r="F6" i="8"/>
  <c r="F5" i="8"/>
  <c r="F4" i="8"/>
  <c r="F3" i="8"/>
  <c r="F2" i="8"/>
  <c r="D2" i="8"/>
  <c r="J1153" i="8" l="1"/>
  <c r="I1153" i="8"/>
  <c r="J1231" i="8"/>
  <c r="I1231" i="8"/>
  <c r="J1189" i="8"/>
  <c r="I1189" i="8"/>
  <c r="J1119" i="8"/>
  <c r="I1119" i="8"/>
  <c r="J1152" i="8"/>
  <c r="I1152" i="8"/>
  <c r="J1232" i="8"/>
  <c r="I1232" i="8"/>
  <c r="J1128" i="8"/>
  <c r="I1128" i="8"/>
  <c r="H1161" i="8"/>
  <c r="I1161" i="8"/>
  <c r="H1211" i="8"/>
  <c r="I1211" i="8"/>
  <c r="H1205" i="8"/>
  <c r="I1205" i="8"/>
  <c r="H1187" i="8"/>
  <c r="I1187" i="8"/>
  <c r="H1210" i="8"/>
  <c r="I1210" i="8"/>
  <c r="H1230" i="8"/>
  <c r="I1230" i="8"/>
  <c r="H1238" i="8"/>
  <c r="I1238" i="8"/>
  <c r="H1157" i="8"/>
  <c r="I1157" i="8"/>
  <c r="H1127" i="8"/>
  <c r="I1127" i="8"/>
  <c r="J1206" i="8"/>
  <c r="I1206" i="8"/>
  <c r="J1230" i="8"/>
  <c r="J1238" i="8"/>
  <c r="J1210" i="8"/>
  <c r="J1211" i="8"/>
  <c r="J1187" i="8"/>
  <c r="H1232" i="8"/>
  <c r="H1152" i="8"/>
  <c r="H1119" i="8"/>
  <c r="H1189" i="8"/>
  <c r="H1128" i="8"/>
  <c r="J1161" i="8"/>
  <c r="J1127" i="8"/>
  <c r="H1206" i="8"/>
  <c r="J1205" i="8"/>
  <c r="H1153" i="8"/>
  <c r="J1157" i="8"/>
  <c r="J1221" i="8"/>
  <c r="H1221" i="8"/>
  <c r="H1231" i="8"/>
  <c r="AI107" i="10"/>
  <c r="Y107" i="10"/>
  <c r="AD107" i="10"/>
  <c r="O107" i="10"/>
  <c r="O79" i="10"/>
  <c r="S4" i="13" s="1"/>
  <c r="AI79" i="10"/>
  <c r="S8" i="13" s="1"/>
  <c r="T107" i="10"/>
  <c r="AD79" i="10"/>
  <c r="S7" i="13" s="1"/>
  <c r="T79" i="10"/>
  <c r="S5" i="13" s="1"/>
  <c r="Y79" i="10"/>
  <c r="S6" i="13" s="1"/>
  <c r="J479" i="8"/>
  <c r="H234" i="8"/>
  <c r="H2" i="8"/>
  <c r="L79" i="10" a="1"/>
  <c r="L79" i="10" s="1"/>
  <c r="L107" i="10" a="1"/>
  <c r="L107" i="10" s="1"/>
  <c r="K79" i="10" a="1"/>
  <c r="K79" i="10" s="1"/>
  <c r="H628" i="8"/>
  <c r="H551" i="8"/>
  <c r="J297" i="8"/>
  <c r="H239" i="8"/>
  <c r="H32" i="8"/>
  <c r="H98" i="8"/>
  <c r="H158" i="8"/>
  <c r="H254" i="8"/>
  <c r="H291" i="8"/>
  <c r="H399" i="8"/>
  <c r="H457" i="8"/>
  <c r="H532" i="8"/>
  <c r="J272" i="8"/>
  <c r="H38" i="8"/>
  <c r="H107" i="8"/>
  <c r="H178" i="8"/>
  <c r="H265" i="8"/>
  <c r="H316" i="8"/>
  <c r="H384" i="8"/>
  <c r="H465" i="8"/>
  <c r="H541" i="8"/>
  <c r="H674" i="8"/>
  <c r="J407" i="8"/>
  <c r="H171" i="8"/>
  <c r="H428" i="8"/>
  <c r="H48" i="8"/>
  <c r="H116" i="8"/>
  <c r="H190" i="8"/>
  <c r="H243" i="8"/>
  <c r="H346" i="8"/>
  <c r="H410" i="8"/>
  <c r="H109" i="8"/>
  <c r="H549" i="8"/>
  <c r="H693" i="8"/>
  <c r="J492" i="8"/>
  <c r="H21" i="8"/>
  <c r="H511" i="8"/>
  <c r="H56" i="8"/>
  <c r="H127" i="8"/>
  <c r="H209" i="8"/>
  <c r="H279" i="8"/>
  <c r="H356" i="8"/>
  <c r="H421" i="8"/>
  <c r="H233" i="8"/>
  <c r="H564" i="8"/>
  <c r="J25" i="8"/>
  <c r="J512" i="8"/>
  <c r="H321" i="8"/>
  <c r="H64" i="8"/>
  <c r="H140" i="8"/>
  <c r="H211" i="8"/>
  <c r="H278" i="8"/>
  <c r="H289" i="8"/>
  <c r="H437" i="8"/>
  <c r="H479" i="8"/>
  <c r="H578" i="8"/>
  <c r="J77" i="8"/>
  <c r="J575" i="8"/>
  <c r="H94" i="8"/>
  <c r="H391" i="8"/>
  <c r="H6" i="8"/>
  <c r="H75" i="8"/>
  <c r="H144" i="8"/>
  <c r="H218" i="8"/>
  <c r="H296" i="8"/>
  <c r="H256" i="8"/>
  <c r="H447" i="8"/>
  <c r="H491" i="8"/>
  <c r="H601" i="8"/>
  <c r="J149" i="8"/>
  <c r="J599" i="8"/>
  <c r="H14" i="8"/>
  <c r="H86" i="8"/>
  <c r="H152" i="8"/>
  <c r="H225" i="8"/>
  <c r="H308" i="8"/>
  <c r="H370" i="8"/>
  <c r="H353" i="8"/>
  <c r="H505" i="8"/>
  <c r="H612" i="8"/>
  <c r="J217" i="8"/>
  <c r="J668" i="8"/>
  <c r="H574" i="8"/>
  <c r="J574" i="8"/>
  <c r="H620" i="8"/>
  <c r="J620" i="8"/>
  <c r="H629" i="8"/>
  <c r="J629" i="8"/>
  <c r="H652" i="8"/>
  <c r="J652" i="8"/>
  <c r="H669" i="8"/>
  <c r="J669" i="8"/>
  <c r="H597" i="8"/>
  <c r="J597" i="8"/>
  <c r="H613" i="8"/>
  <c r="J613" i="8"/>
  <c r="H463" i="8"/>
  <c r="J463" i="8"/>
  <c r="H583" i="8"/>
  <c r="J583" i="8"/>
  <c r="H631" i="8"/>
  <c r="J631" i="8"/>
  <c r="H649" i="8"/>
  <c r="J649" i="8"/>
  <c r="H600" i="8"/>
  <c r="J600" i="8"/>
  <c r="H663" i="8"/>
  <c r="J663" i="8"/>
  <c r="H645" i="8"/>
  <c r="J645" i="8"/>
  <c r="H689" i="8"/>
  <c r="J689" i="8"/>
  <c r="H8" i="8"/>
  <c r="H16" i="8"/>
  <c r="H26" i="8"/>
  <c r="H24" i="8"/>
  <c r="H41" i="8"/>
  <c r="H50" i="8"/>
  <c r="H61" i="8"/>
  <c r="H66" i="8"/>
  <c r="H76" i="8"/>
  <c r="H89" i="8"/>
  <c r="H93" i="8"/>
  <c r="H101" i="8"/>
  <c r="H105" i="8"/>
  <c r="H118" i="8"/>
  <c r="H130" i="8"/>
  <c r="H142" i="8"/>
  <c r="H141" i="8"/>
  <c r="H151" i="8"/>
  <c r="H176" i="8"/>
  <c r="H148" i="8"/>
  <c r="H184" i="8"/>
  <c r="H191" i="8"/>
  <c r="H193" i="8"/>
  <c r="H207" i="8"/>
  <c r="H226" i="8"/>
  <c r="H229" i="8"/>
  <c r="H235" i="8"/>
  <c r="H251" i="8"/>
  <c r="H267" i="8"/>
  <c r="H237" i="8"/>
  <c r="H282" i="8"/>
  <c r="H285" i="8"/>
  <c r="H299" i="8"/>
  <c r="H313" i="8"/>
  <c r="H320" i="8"/>
  <c r="H292" i="8"/>
  <c r="H312" i="8"/>
  <c r="H305" i="8"/>
  <c r="H361" i="8"/>
  <c r="H325" i="8"/>
  <c r="H290" i="8"/>
  <c r="H377" i="8"/>
  <c r="H392" i="8"/>
  <c r="H397" i="8"/>
  <c r="H402" i="8"/>
  <c r="H401" i="8"/>
  <c r="H422" i="8"/>
  <c r="H439" i="8"/>
  <c r="H412" i="8"/>
  <c r="H374" i="8"/>
  <c r="H449" i="8"/>
  <c r="H453" i="8"/>
  <c r="H472" i="8"/>
  <c r="H122" i="8"/>
  <c r="H354" i="8"/>
  <c r="H482" i="8"/>
  <c r="H487" i="8"/>
  <c r="H507" i="8"/>
  <c r="H517" i="8"/>
  <c r="H534" i="8"/>
  <c r="H543" i="8"/>
  <c r="H562" i="8"/>
  <c r="H570" i="8"/>
  <c r="H577" i="8"/>
  <c r="J23" i="8"/>
  <c r="J81" i="8"/>
  <c r="J173" i="8"/>
  <c r="J238" i="8"/>
  <c r="J323" i="8"/>
  <c r="J390" i="8"/>
  <c r="J429" i="8"/>
  <c r="H581" i="8"/>
  <c r="J581" i="8"/>
  <c r="H611" i="8"/>
  <c r="J611" i="8"/>
  <c r="H464" i="8"/>
  <c r="J464" i="8"/>
  <c r="H584" i="8"/>
  <c r="J584" i="8"/>
  <c r="H634" i="8"/>
  <c r="J634" i="8"/>
  <c r="H585" i="8"/>
  <c r="J585" i="8"/>
  <c r="H656" i="8"/>
  <c r="J656" i="8"/>
  <c r="H665" i="8"/>
  <c r="J665" i="8"/>
  <c r="H670" i="8"/>
  <c r="J670" i="8"/>
  <c r="H658" i="8"/>
  <c r="J658" i="8"/>
  <c r="H9" i="8"/>
  <c r="H17" i="8"/>
  <c r="H27" i="8"/>
  <c r="H33" i="8"/>
  <c r="H42" i="8"/>
  <c r="H51" i="8"/>
  <c r="H63" i="8"/>
  <c r="H70" i="8"/>
  <c r="H83" i="8"/>
  <c r="H79" i="8"/>
  <c r="H82" i="8"/>
  <c r="H102" i="8"/>
  <c r="H112" i="8"/>
  <c r="H119" i="8"/>
  <c r="H128" i="8"/>
  <c r="H145" i="8"/>
  <c r="H153" i="8"/>
  <c r="H166" i="8"/>
  <c r="H177" i="8"/>
  <c r="H159" i="8"/>
  <c r="H185" i="8"/>
  <c r="H196" i="8"/>
  <c r="H192" i="8"/>
  <c r="H212" i="8"/>
  <c r="H227" i="8"/>
  <c r="H230" i="8"/>
  <c r="H244" i="8"/>
  <c r="H249" i="8"/>
  <c r="H266" i="8"/>
  <c r="H257" i="8"/>
  <c r="H283" i="8"/>
  <c r="H286" i="8"/>
  <c r="H298" i="8"/>
  <c r="H314" i="8"/>
  <c r="H330" i="8"/>
  <c r="H300" i="8"/>
  <c r="H340" i="8"/>
  <c r="H358" i="8"/>
  <c r="H349" i="8"/>
  <c r="H344" i="8"/>
  <c r="H307" i="8"/>
  <c r="H371" i="8"/>
  <c r="H395" i="8"/>
  <c r="H378" i="8"/>
  <c r="H324" i="8"/>
  <c r="H362" i="8"/>
  <c r="H425" i="8"/>
  <c r="H440" i="8"/>
  <c r="H444" i="8"/>
  <c r="H375" i="8"/>
  <c r="H450" i="8"/>
  <c r="H459" i="8"/>
  <c r="H474" i="8"/>
  <c r="H123" i="8"/>
  <c r="H355" i="8"/>
  <c r="H485" i="8"/>
  <c r="H484" i="8"/>
  <c r="H509" i="8"/>
  <c r="H488" i="8"/>
  <c r="H536" i="8"/>
  <c r="H544" i="8"/>
  <c r="H545" i="8"/>
  <c r="H571" i="8"/>
  <c r="H579" i="8"/>
  <c r="H653" i="8"/>
  <c r="J2" i="8"/>
  <c r="J34" i="8"/>
  <c r="J100" i="8"/>
  <c r="J170" i="8"/>
  <c r="J250" i="8"/>
  <c r="J310" i="8"/>
  <c r="J398" i="8"/>
  <c r="J458" i="8"/>
  <c r="J533" i="8"/>
  <c r="J530" i="8"/>
  <c r="H10" i="8"/>
  <c r="H18" i="8"/>
  <c r="H28" i="8"/>
  <c r="H35" i="8"/>
  <c r="H53" i="8"/>
  <c r="H58" i="8"/>
  <c r="H71" i="8"/>
  <c r="H69" i="8"/>
  <c r="H78" i="8"/>
  <c r="H95" i="8"/>
  <c r="H103" i="8"/>
  <c r="H111" i="8"/>
  <c r="H120" i="8"/>
  <c r="H131" i="8"/>
  <c r="H136" i="8"/>
  <c r="H160" i="8"/>
  <c r="H167" i="8"/>
  <c r="H181" i="8"/>
  <c r="H172" i="8"/>
  <c r="H187" i="8"/>
  <c r="H197" i="8"/>
  <c r="H195" i="8"/>
  <c r="H213" i="8"/>
  <c r="H219" i="8"/>
  <c r="H231" i="8"/>
  <c r="H245" i="8"/>
  <c r="H262" i="8"/>
  <c r="H240" i="8"/>
  <c r="H268" i="8"/>
  <c r="H281" i="8"/>
  <c r="H288" i="8"/>
  <c r="H301" i="8"/>
  <c r="H317" i="8"/>
  <c r="H334" i="8"/>
  <c r="H311" i="8"/>
  <c r="H342" i="8"/>
  <c r="H357" i="8"/>
  <c r="H350" i="8"/>
  <c r="H364" i="8"/>
  <c r="H326" i="8"/>
  <c r="H381" i="8"/>
  <c r="H396" i="8"/>
  <c r="H403" i="8"/>
  <c r="H343" i="8"/>
  <c r="H379" i="8"/>
  <c r="H424" i="8"/>
  <c r="H441" i="8"/>
  <c r="H445" i="8"/>
  <c r="H393" i="8"/>
  <c r="H452" i="8"/>
  <c r="H460" i="8"/>
  <c r="H46" i="8"/>
  <c r="H154" i="8"/>
  <c r="H475" i="8"/>
  <c r="H486" i="8"/>
  <c r="H501" i="8"/>
  <c r="H510" i="8"/>
  <c r="H515" i="8"/>
  <c r="H535" i="8"/>
  <c r="H506" i="8"/>
  <c r="H546" i="8"/>
  <c r="H568" i="8"/>
  <c r="H582" i="8"/>
  <c r="H493" i="8"/>
  <c r="H647" i="8"/>
  <c r="J7" i="8"/>
  <c r="J40" i="8"/>
  <c r="J108" i="8"/>
  <c r="J180" i="8"/>
  <c r="J269" i="8"/>
  <c r="J327" i="8"/>
  <c r="J406" i="8"/>
  <c r="J473" i="8"/>
  <c r="J542" i="8"/>
  <c r="J627" i="8"/>
  <c r="J594" i="8"/>
  <c r="H594" i="8"/>
  <c r="J603" i="8"/>
  <c r="H603" i="8"/>
  <c r="J606" i="8"/>
  <c r="H606" i="8"/>
  <c r="J494" i="8"/>
  <c r="H494" i="8"/>
  <c r="J624" i="8"/>
  <c r="H624" i="8"/>
  <c r="J635" i="8"/>
  <c r="H635" i="8"/>
  <c r="J650" i="8"/>
  <c r="H650" i="8"/>
  <c r="J659" i="8"/>
  <c r="H659" i="8"/>
  <c r="J667" i="8"/>
  <c r="H667" i="8"/>
  <c r="J685" i="8"/>
  <c r="H685" i="8"/>
  <c r="J694" i="8"/>
  <c r="H694" i="8"/>
  <c r="H3" i="8"/>
  <c r="H11" i="8"/>
  <c r="H19" i="8"/>
  <c r="H29" i="8"/>
  <c r="H36" i="8"/>
  <c r="H43" i="8"/>
  <c r="H45" i="8"/>
  <c r="H59" i="8"/>
  <c r="H72" i="8"/>
  <c r="H80" i="8"/>
  <c r="H90" i="8"/>
  <c r="H88" i="8"/>
  <c r="H104" i="8"/>
  <c r="H113" i="8"/>
  <c r="H124" i="8"/>
  <c r="H134" i="8"/>
  <c r="H137" i="8"/>
  <c r="H161" i="8"/>
  <c r="H165" i="8"/>
  <c r="H182" i="8"/>
  <c r="H174" i="8"/>
  <c r="H179" i="8"/>
  <c r="H198" i="8"/>
  <c r="H205" i="8"/>
  <c r="H216" i="8"/>
  <c r="H228" i="8"/>
  <c r="H223" i="8"/>
  <c r="H246" i="8"/>
  <c r="H263" i="8"/>
  <c r="H259" i="8"/>
  <c r="H260" i="8"/>
  <c r="H284" i="8"/>
  <c r="H287" i="8"/>
  <c r="H302" i="8"/>
  <c r="H315" i="8"/>
  <c r="H335" i="8"/>
  <c r="H333" i="8"/>
  <c r="H341" i="8"/>
  <c r="H359" i="8"/>
  <c r="H365" i="8"/>
  <c r="H366" i="8"/>
  <c r="H347" i="8"/>
  <c r="H383" i="8"/>
  <c r="H338" i="8"/>
  <c r="H404" i="8"/>
  <c r="H368" i="8"/>
  <c r="H400" i="8"/>
  <c r="H426" i="8"/>
  <c r="H443" i="8"/>
  <c r="H448" i="8"/>
  <c r="H394" i="8"/>
  <c r="H454" i="8"/>
  <c r="H423" i="8"/>
  <c r="H47" i="8"/>
  <c r="H155" i="8"/>
  <c r="H476" i="8"/>
  <c r="H478" i="8"/>
  <c r="H502" i="8"/>
  <c r="H513" i="8"/>
  <c r="H518" i="8"/>
  <c r="H537" i="8"/>
  <c r="H477" i="8"/>
  <c r="H563" i="8"/>
  <c r="H572" i="8"/>
  <c r="H586" i="8"/>
  <c r="H662" i="8"/>
  <c r="J49" i="8"/>
  <c r="J121" i="8"/>
  <c r="J194" i="8"/>
  <c r="J261" i="8"/>
  <c r="J351" i="8"/>
  <c r="J414" i="8"/>
  <c r="J110" i="8"/>
  <c r="J561" i="8"/>
  <c r="J637" i="8"/>
  <c r="J595" i="8"/>
  <c r="H595" i="8"/>
  <c r="J602" i="8"/>
  <c r="H602" i="8"/>
  <c r="J605" i="8"/>
  <c r="H605" i="8"/>
  <c r="J529" i="8"/>
  <c r="H529" i="8"/>
  <c r="J626" i="8"/>
  <c r="H626" i="8"/>
  <c r="J636" i="8"/>
  <c r="H636" i="8"/>
  <c r="J651" i="8"/>
  <c r="H651" i="8"/>
  <c r="J660" i="8"/>
  <c r="H660" i="8"/>
  <c r="J671" i="8"/>
  <c r="H671" i="8"/>
  <c r="J684" i="8"/>
  <c r="H684" i="8"/>
  <c r="J695" i="8"/>
  <c r="H695" i="8"/>
  <c r="H4" i="8"/>
  <c r="H12" i="8"/>
  <c r="H20" i="8"/>
  <c r="H30" i="8"/>
  <c r="H39" i="8"/>
  <c r="H44" i="8"/>
  <c r="H54" i="8"/>
  <c r="H60" i="8"/>
  <c r="H73" i="8"/>
  <c r="H84" i="8"/>
  <c r="H91" i="8"/>
  <c r="H96" i="8"/>
  <c r="H99" i="8"/>
  <c r="H114" i="8"/>
  <c r="H125" i="8"/>
  <c r="H132" i="8"/>
  <c r="H138" i="8"/>
  <c r="H162" i="8"/>
  <c r="H168" i="8"/>
  <c r="H183" i="8"/>
  <c r="H150" i="8"/>
  <c r="H188" i="8"/>
  <c r="H200" i="8"/>
  <c r="H206" i="8"/>
  <c r="H215" i="8"/>
  <c r="H221" i="8"/>
  <c r="H232" i="8"/>
  <c r="H247" i="8"/>
  <c r="H264" i="8"/>
  <c r="H241" i="8"/>
  <c r="H270" i="8"/>
  <c r="H276" i="8"/>
  <c r="H242" i="8"/>
  <c r="H303" i="8"/>
  <c r="H319" i="8"/>
  <c r="H336" i="8"/>
  <c r="H293" i="8"/>
  <c r="H318" i="8"/>
  <c r="H331" i="8"/>
  <c r="H255" i="8"/>
  <c r="H367" i="8"/>
  <c r="H372" i="8"/>
  <c r="H388" i="8"/>
  <c r="H363" i="8"/>
  <c r="H405" i="8"/>
  <c r="H387" i="8"/>
  <c r="H408" i="8"/>
  <c r="H427" i="8"/>
  <c r="H442" i="8"/>
  <c r="H329" i="8"/>
  <c r="H411" i="8"/>
  <c r="H455" i="8"/>
  <c r="H451" i="8"/>
  <c r="H67" i="8"/>
  <c r="H202" i="8"/>
  <c r="H461" i="8"/>
  <c r="H490" i="8"/>
  <c r="H504" i="8"/>
  <c r="H514" i="8"/>
  <c r="H526" i="8"/>
  <c r="H539" i="8"/>
  <c r="H538" i="8"/>
  <c r="H550" i="8"/>
  <c r="H560" i="8"/>
  <c r="H593" i="8"/>
  <c r="H622" i="8"/>
  <c r="H666" i="8"/>
  <c r="J15" i="8"/>
  <c r="J57" i="8"/>
  <c r="J129" i="8"/>
  <c r="J210" i="8"/>
  <c r="J280" i="8"/>
  <c r="J360" i="8"/>
  <c r="J419" i="8"/>
  <c r="J234" i="8"/>
  <c r="J569" i="8"/>
  <c r="H5" i="8"/>
  <c r="H13" i="8"/>
  <c r="H22" i="8"/>
  <c r="H31" i="8"/>
  <c r="H37" i="8"/>
  <c r="H52" i="8"/>
  <c r="H55" i="8"/>
  <c r="H62" i="8"/>
  <c r="H74" i="8"/>
  <c r="H85" i="8"/>
  <c r="H92" i="8"/>
  <c r="H97" i="8"/>
  <c r="H106" i="8"/>
  <c r="H115" i="8"/>
  <c r="H126" i="8"/>
  <c r="H133" i="8"/>
  <c r="H139" i="8"/>
  <c r="H163" i="8"/>
  <c r="H169" i="8"/>
  <c r="H147" i="8"/>
  <c r="H164" i="8"/>
  <c r="H189" i="8"/>
  <c r="H201" i="8"/>
  <c r="H208" i="8"/>
  <c r="H214" i="8"/>
  <c r="H220" i="8"/>
  <c r="H236" i="8"/>
  <c r="H253" i="8"/>
  <c r="H248" i="8"/>
  <c r="H252" i="8"/>
  <c r="H275" i="8"/>
  <c r="H277" i="8"/>
  <c r="H295" i="8"/>
  <c r="H304" i="8"/>
  <c r="H322" i="8"/>
  <c r="H337" i="8"/>
  <c r="H294" i="8"/>
  <c r="H339" i="8"/>
  <c r="H345" i="8"/>
  <c r="H271" i="8"/>
  <c r="H369" i="8"/>
  <c r="H373" i="8"/>
  <c r="H389" i="8"/>
  <c r="H380" i="8"/>
  <c r="H382" i="8"/>
  <c r="H409" i="8"/>
  <c r="H420" i="8"/>
  <c r="H430" i="8"/>
  <c r="H446" i="8"/>
  <c r="H328" i="8"/>
  <c r="H413" i="8"/>
  <c r="H456" i="8"/>
  <c r="H462" i="8"/>
  <c r="H68" i="8"/>
  <c r="H203" i="8"/>
  <c r="H480" i="8"/>
  <c r="H489" i="8"/>
  <c r="H503" i="8"/>
  <c r="H516" i="8"/>
  <c r="H531" i="8"/>
  <c r="H540" i="8"/>
  <c r="H547" i="8"/>
  <c r="H566" i="8"/>
  <c r="H576" i="8"/>
  <c r="J65" i="8"/>
  <c r="J143" i="8"/>
  <c r="J199" i="8"/>
  <c r="J274" i="8"/>
  <c r="J306" i="8"/>
  <c r="J438" i="8"/>
  <c r="J481" i="8"/>
  <c r="J567" i="8"/>
  <c r="H609" i="8"/>
  <c r="J609" i="8"/>
  <c r="H552" i="8"/>
  <c r="J552" i="8"/>
  <c r="H638" i="8"/>
  <c r="J638" i="8"/>
  <c r="H657" i="8"/>
  <c r="J657" i="8"/>
  <c r="H687" i="8"/>
  <c r="J687" i="8"/>
  <c r="H596" i="8"/>
  <c r="J596" i="8"/>
  <c r="H610" i="8"/>
  <c r="J610" i="8"/>
  <c r="H621" i="8"/>
  <c r="J621" i="8"/>
  <c r="H553" i="8"/>
  <c r="J553" i="8"/>
  <c r="H630" i="8"/>
  <c r="J630" i="8"/>
  <c r="H648" i="8"/>
  <c r="J648" i="8"/>
  <c r="H625" i="8"/>
  <c r="J625" i="8"/>
  <c r="H664" i="8"/>
  <c r="J664" i="8"/>
  <c r="H607" i="8"/>
  <c r="J607" i="8"/>
  <c r="H688" i="8"/>
  <c r="J688" i="8"/>
  <c r="H87" i="8"/>
  <c r="H156" i="8"/>
  <c r="H224" i="8"/>
  <c r="H309" i="8"/>
  <c r="H376" i="8"/>
  <c r="H352" i="8"/>
  <c r="H508" i="8"/>
  <c r="H604" i="8"/>
  <c r="H686" i="8"/>
  <c r="S9" i="13" l="1"/>
  <c r="G498" i="8"/>
  <c r="G588" i="8"/>
  <c r="G640" i="8"/>
  <c r="G740" i="8"/>
  <c r="G698" i="8"/>
  <c r="G970" i="8"/>
  <c r="G619" i="8"/>
  <c r="G947" i="8"/>
  <c r="G557" i="8"/>
  <c r="G1081" i="8"/>
  <c r="G919" i="8"/>
  <c r="G679" i="8"/>
  <c r="G467" i="8"/>
  <c r="G945" i="8"/>
  <c r="G617" i="8"/>
  <c r="G840" i="8"/>
  <c r="G1001" i="8"/>
  <c r="I1001" i="8" s="1"/>
  <c r="G882" i="8"/>
  <c r="I882" i="8" s="1"/>
  <c r="G999" i="8"/>
  <c r="G644" i="8"/>
  <c r="G642" i="8"/>
  <c r="I642" i="8" s="1"/>
  <c r="G520" i="8"/>
  <c r="G838" i="8"/>
  <c r="I838" i="8" s="1"/>
  <c r="G496" i="8"/>
  <c r="I496" i="8" s="1"/>
  <c r="G615" i="8"/>
  <c r="G886" i="8"/>
  <c r="G471" i="8"/>
  <c r="G997" i="8"/>
  <c r="G592" i="8"/>
  <c r="G500" i="8"/>
  <c r="G702" i="8"/>
  <c r="G1026" i="8"/>
  <c r="G780" i="8"/>
  <c r="I780" i="8" s="1"/>
  <c r="G968" i="8"/>
  <c r="G681" i="8"/>
  <c r="G469" i="8"/>
  <c r="G522" i="8"/>
  <c r="G418" i="8"/>
  <c r="G1077" i="8"/>
  <c r="G590" i="8"/>
  <c r="G776" i="8"/>
  <c r="G801" i="8"/>
  <c r="G559" i="8"/>
  <c r="G855" i="8"/>
  <c r="G434" i="8"/>
  <c r="G386" i="8"/>
  <c r="G797" i="8"/>
  <c r="I797" i="8" s="1"/>
  <c r="G738" i="8"/>
  <c r="G799" i="8"/>
  <c r="G700" i="8"/>
  <c r="G972" i="8"/>
  <c r="G857" i="8"/>
  <c r="G949" i="8"/>
  <c r="G923" i="8"/>
  <c r="G436" i="8"/>
  <c r="G432" i="8"/>
  <c r="G884" i="8"/>
  <c r="G921" i="8"/>
  <c r="G836" i="8"/>
  <c r="G555" i="8"/>
  <c r="G778" i="8"/>
  <c r="G416" i="8"/>
  <c r="G524" i="8"/>
  <c r="G1079" i="8"/>
  <c r="G1024" i="8"/>
  <c r="G683" i="8"/>
  <c r="G859" i="8"/>
  <c r="G1028" i="8"/>
  <c r="I1028" i="8" s="1"/>
  <c r="G742" i="8"/>
  <c r="I386" i="8" l="1"/>
  <c r="K12" i="10" a="1"/>
  <c r="K12" i="10" s="1"/>
  <c r="J557" i="8"/>
  <c r="I557" i="8"/>
  <c r="J1079" i="8"/>
  <c r="I1079" i="8"/>
  <c r="H432" i="8"/>
  <c r="I432" i="8"/>
  <c r="J738" i="8"/>
  <c r="I738" i="8"/>
  <c r="H590" i="8"/>
  <c r="I590" i="8"/>
  <c r="H1026" i="8"/>
  <c r="I1026" i="8"/>
  <c r="H840" i="8"/>
  <c r="I840" i="8"/>
  <c r="H947" i="8"/>
  <c r="I947" i="8"/>
  <c r="J776" i="8"/>
  <c r="I776" i="8"/>
  <c r="J436" i="8"/>
  <c r="I436" i="8"/>
  <c r="H1077" i="8"/>
  <c r="I1077" i="8"/>
  <c r="H702" i="8"/>
  <c r="I702" i="8"/>
  <c r="H617" i="8"/>
  <c r="I617" i="8"/>
  <c r="H619" i="8"/>
  <c r="I619" i="8"/>
  <c r="H970" i="8"/>
  <c r="I970" i="8"/>
  <c r="J799" i="8"/>
  <c r="I799" i="8"/>
  <c r="J416" i="8"/>
  <c r="I416" i="8"/>
  <c r="J500" i="8"/>
  <c r="I500" i="8"/>
  <c r="J742" i="8"/>
  <c r="I742" i="8"/>
  <c r="J949" i="8"/>
  <c r="I949" i="8"/>
  <c r="H434" i="8"/>
  <c r="I434" i="8"/>
  <c r="H522" i="8"/>
  <c r="I522" i="8"/>
  <c r="J592" i="8"/>
  <c r="I592" i="8"/>
  <c r="H467" i="8"/>
  <c r="I467" i="8"/>
  <c r="H698" i="8"/>
  <c r="I698" i="8"/>
  <c r="J1024" i="8"/>
  <c r="I1024" i="8"/>
  <c r="J520" i="8"/>
  <c r="I520" i="8"/>
  <c r="H555" i="8"/>
  <c r="I555" i="8"/>
  <c r="J857" i="8"/>
  <c r="I857" i="8"/>
  <c r="H855" i="8"/>
  <c r="I855" i="8"/>
  <c r="H469" i="8"/>
  <c r="I469" i="8"/>
  <c r="J997" i="8"/>
  <c r="I997" i="8"/>
  <c r="J644" i="8"/>
  <c r="I644" i="8"/>
  <c r="J679" i="8"/>
  <c r="I679" i="8"/>
  <c r="J740" i="8"/>
  <c r="I740" i="8"/>
  <c r="J524" i="8"/>
  <c r="I524" i="8"/>
  <c r="J418" i="8"/>
  <c r="I418" i="8"/>
  <c r="H945" i="8"/>
  <c r="I945" i="8"/>
  <c r="J778" i="8"/>
  <c r="I778" i="8"/>
  <c r="H859" i="8"/>
  <c r="I859" i="8"/>
  <c r="J836" i="8"/>
  <c r="I836" i="8"/>
  <c r="H972" i="8"/>
  <c r="I972" i="8"/>
  <c r="H559" i="8"/>
  <c r="I559" i="8"/>
  <c r="H681" i="8"/>
  <c r="I681" i="8"/>
  <c r="H471" i="8"/>
  <c r="I471" i="8"/>
  <c r="H999" i="8"/>
  <c r="I999" i="8"/>
  <c r="H919" i="8"/>
  <c r="I919" i="8"/>
  <c r="J640" i="8"/>
  <c r="I640" i="8"/>
  <c r="H884" i="8"/>
  <c r="I884" i="8"/>
  <c r="H923" i="8"/>
  <c r="I923" i="8"/>
  <c r="J683" i="8"/>
  <c r="I683" i="8"/>
  <c r="H921" i="8"/>
  <c r="I921" i="8"/>
  <c r="J700" i="8"/>
  <c r="I700" i="8"/>
  <c r="H801" i="8"/>
  <c r="I801" i="8"/>
  <c r="J968" i="8"/>
  <c r="I968" i="8"/>
  <c r="H886" i="8"/>
  <c r="I886" i="8"/>
  <c r="H1081" i="8"/>
  <c r="I1081" i="8"/>
  <c r="J588" i="8"/>
  <c r="I588" i="8"/>
  <c r="H615" i="8"/>
  <c r="I615" i="8"/>
  <c r="J498" i="8"/>
  <c r="I498" i="8"/>
  <c r="U55" i="10"/>
  <c r="T51" i="10"/>
  <c r="W72" i="10"/>
  <c r="U72" i="10"/>
  <c r="O72" i="10"/>
  <c r="R72" i="10"/>
  <c r="T72" i="10"/>
  <c r="U51" i="10"/>
  <c r="P72" i="10"/>
  <c r="AI72" i="10"/>
  <c r="AM72" i="10"/>
  <c r="AM51" i="10"/>
  <c r="AO51" i="10" s="1"/>
  <c r="AJ72" i="10"/>
  <c r="AJ51" i="10"/>
  <c r="AL51" i="10" s="1"/>
  <c r="AI51" i="10"/>
  <c r="AE72" i="10"/>
  <c r="AD72" i="10"/>
  <c r="AG72" i="10"/>
  <c r="AD51" i="10"/>
  <c r="AE51" i="10"/>
  <c r="AG51" i="10"/>
  <c r="AI73" i="10"/>
  <c r="W73" i="10"/>
  <c r="C73" i="10"/>
  <c r="C50" i="10"/>
  <c r="L583" i="20" s="1"/>
  <c r="D46" i="10"/>
  <c r="K73" i="10" a="1"/>
  <c r="K73" i="10" s="1"/>
  <c r="C49" i="10"/>
  <c r="D45" i="10"/>
  <c r="AB52" i="10"/>
  <c r="Z76" i="10"/>
  <c r="C67" i="10"/>
  <c r="L41" i="10" a="1"/>
  <c r="L41" i="10" s="1"/>
  <c r="C32" i="10"/>
  <c r="H72" i="10"/>
  <c r="AD74" i="10"/>
  <c r="D72" i="10"/>
  <c r="C63" i="10"/>
  <c r="D59" i="10"/>
  <c r="K74" i="10" a="1"/>
  <c r="K74" i="10" s="1"/>
  <c r="AI53" i="10"/>
  <c r="C54" i="10"/>
  <c r="D50" i="10"/>
  <c r="M583" i="20" s="1"/>
  <c r="AM73" i="10"/>
  <c r="AI74" i="10"/>
  <c r="C45" i="10"/>
  <c r="D41" i="10"/>
  <c r="M1066" i="20" s="1"/>
  <c r="AG76" i="10"/>
  <c r="C59" i="10"/>
  <c r="AJ43" i="10"/>
  <c r="D12" i="10"/>
  <c r="K52" i="10" a="1"/>
  <c r="K52" i="10" s="1"/>
  <c r="D76" i="10"/>
  <c r="M1071" i="20" s="1"/>
  <c r="W75" i="10"/>
  <c r="C42" i="10"/>
  <c r="L1068" i="20" s="1"/>
  <c r="D38" i="10"/>
  <c r="AE52" i="10"/>
  <c r="AB76" i="10"/>
  <c r="AG73" i="10"/>
  <c r="C41" i="10"/>
  <c r="L1066" i="20" s="1"/>
  <c r="D37" i="10"/>
  <c r="AE53" i="10"/>
  <c r="R75" i="10"/>
  <c r="C19" i="10"/>
  <c r="L1034" i="20" s="1"/>
  <c r="T41" i="10"/>
  <c r="C24" i="10"/>
  <c r="D20" i="10"/>
  <c r="P74" i="10"/>
  <c r="AD76" i="10"/>
  <c r="C55" i="10"/>
  <c r="D51" i="10"/>
  <c r="AJ76" i="10"/>
  <c r="L75" i="10" a="1"/>
  <c r="L75" i="10" s="1"/>
  <c r="C46" i="10"/>
  <c r="D42" i="10"/>
  <c r="M1068" i="20" s="1"/>
  <c r="AG53" i="10"/>
  <c r="AI76" i="10"/>
  <c r="Z73" i="10"/>
  <c r="H41" i="10"/>
  <c r="C37" i="10"/>
  <c r="D33" i="10"/>
  <c r="AM53" i="10"/>
  <c r="AO53" i="10" s="1"/>
  <c r="T76" i="10"/>
  <c r="D55" i="10"/>
  <c r="C68" i="10"/>
  <c r="L104" i="20" s="1"/>
  <c r="D64" i="10"/>
  <c r="D73" i="10"/>
  <c r="AJ74" i="10"/>
  <c r="D67" i="10"/>
  <c r="D49" i="10"/>
  <c r="D16" i="10"/>
  <c r="T73" i="10"/>
  <c r="L42" i="10" a="1"/>
  <c r="L42" i="10" s="1"/>
  <c r="C34" i="10"/>
  <c r="D30" i="10"/>
  <c r="O76" i="10"/>
  <c r="K42" i="10" a="1"/>
  <c r="K42" i="10" s="1"/>
  <c r="C33" i="10"/>
  <c r="D29" i="10"/>
  <c r="AJ52" i="10"/>
  <c r="AL52" i="10" s="1"/>
  <c r="AE74" i="10"/>
  <c r="D23" i="10"/>
  <c r="M983" i="20" s="1"/>
  <c r="AI42" i="10"/>
  <c r="C16" i="10"/>
  <c r="H51" i="10"/>
  <c r="U75" i="10"/>
  <c r="C47" i="10"/>
  <c r="D43" i="10"/>
  <c r="M1067" i="20" s="1"/>
  <c r="AG52" i="10"/>
  <c r="W76" i="10"/>
  <c r="AB73" i="10"/>
  <c r="U74" i="10"/>
  <c r="C38" i="10"/>
  <c r="D34" i="10"/>
  <c r="AM52" i="10"/>
  <c r="AO52" i="10" s="1"/>
  <c r="U76" i="10"/>
  <c r="C51" i="10"/>
  <c r="O43" i="10"/>
  <c r="C29" i="10"/>
  <c r="AI75" i="10"/>
  <c r="D31" i="10"/>
  <c r="C60" i="10"/>
  <c r="D56" i="10"/>
  <c r="Z53" i="10"/>
  <c r="H75" i="10"/>
  <c r="W74" i="10"/>
  <c r="O51" i="10"/>
  <c r="C53" i="10"/>
  <c r="L76" i="10" a="1"/>
  <c r="L76" i="10" s="1"/>
  <c r="U73" i="10"/>
  <c r="T43" i="10"/>
  <c r="C26" i="10"/>
  <c r="D22" i="10"/>
  <c r="AD75" i="10"/>
  <c r="T42" i="10"/>
  <c r="D21" i="10"/>
  <c r="M1119" i="20" s="1"/>
  <c r="R74" i="10"/>
  <c r="D15" i="10"/>
  <c r="C12" i="10"/>
  <c r="D68" i="10"/>
  <c r="M104" i="20" s="1"/>
  <c r="O52" i="10"/>
  <c r="D74" i="10"/>
  <c r="M1072" i="20" s="1"/>
  <c r="H43" i="10"/>
  <c r="C39" i="10"/>
  <c r="D35" i="10"/>
  <c r="AM75" i="10"/>
  <c r="O73" i="10"/>
  <c r="H42" i="10"/>
  <c r="C30" i="10"/>
  <c r="D26" i="10"/>
  <c r="L72" i="10" a="1"/>
  <c r="L72" i="10" s="1"/>
  <c r="AJ75" i="10"/>
  <c r="C27" i="10"/>
  <c r="Y41" i="10"/>
  <c r="C21" i="10"/>
  <c r="L1119" i="20" s="1"/>
  <c r="D17" i="10"/>
  <c r="AM74" i="10"/>
  <c r="C52" i="10"/>
  <c r="D48" i="10"/>
  <c r="AD53" i="10"/>
  <c r="K76" i="10" a="1"/>
  <c r="K76" i="10" s="1"/>
  <c r="C57" i="10"/>
  <c r="C40" i="10"/>
  <c r="P75" i="10"/>
  <c r="O74" i="10"/>
  <c r="P76" i="10"/>
  <c r="O41" i="10"/>
  <c r="AD42" i="10"/>
  <c r="AD41" i="10"/>
  <c r="C18" i="10"/>
  <c r="D14" i="10"/>
  <c r="T75" i="10"/>
  <c r="AI43" i="10"/>
  <c r="C17" i="10"/>
  <c r="D13" i="10"/>
  <c r="C64" i="10"/>
  <c r="D60" i="10"/>
  <c r="Y52" i="10"/>
  <c r="L74" i="10" a="1"/>
  <c r="L74" i="10" s="1"/>
  <c r="AD73" i="10"/>
  <c r="K41" i="10" a="1"/>
  <c r="K41" i="10" s="1"/>
  <c r="C31" i="10"/>
  <c r="D27" i="10"/>
  <c r="K72" i="10" a="1"/>
  <c r="K72" i="10" s="1"/>
  <c r="Z75" i="10"/>
  <c r="K43" i="10" a="1"/>
  <c r="K43" i="10" s="1"/>
  <c r="Y42" i="10"/>
  <c r="C22" i="10"/>
  <c r="D18" i="10"/>
  <c r="Y75" i="10"/>
  <c r="D63" i="10"/>
  <c r="AJ42" i="10"/>
  <c r="C13" i="10"/>
  <c r="L52" i="10" a="1"/>
  <c r="L52" i="10" s="1"/>
  <c r="C77" i="10"/>
  <c r="L1205" i="20" s="1"/>
  <c r="Y74" i="10"/>
  <c r="L73" i="10" a="1"/>
  <c r="L73" i="10" s="1"/>
  <c r="C44" i="10"/>
  <c r="D40" i="10"/>
  <c r="AI52" i="10"/>
  <c r="D54" i="10"/>
  <c r="K75" i="10" a="1"/>
  <c r="K75" i="10" s="1"/>
  <c r="AM76" i="10"/>
  <c r="D36" i="10"/>
  <c r="L51" i="10" a="1"/>
  <c r="L51" i="10" s="1"/>
  <c r="D58" i="10"/>
  <c r="C20" i="10"/>
  <c r="AG75" i="10"/>
  <c r="C35" i="10"/>
  <c r="AM42" i="10"/>
  <c r="AO42" i="10" s="1"/>
  <c r="H53" i="10"/>
  <c r="D75" i="10"/>
  <c r="M1069" i="20" s="1"/>
  <c r="AG74" i="10"/>
  <c r="AM43" i="10"/>
  <c r="AO43" i="10" s="1"/>
  <c r="D69" i="10"/>
  <c r="H52" i="10"/>
  <c r="C75" i="10"/>
  <c r="L1069" i="20" s="1"/>
  <c r="C76" i="10"/>
  <c r="L1071" i="20" s="1"/>
  <c r="C56" i="10"/>
  <c r="D52" i="10"/>
  <c r="AB53" i="10"/>
  <c r="Y76" i="10"/>
  <c r="P73" i="10"/>
  <c r="Y43" i="10"/>
  <c r="C23" i="10"/>
  <c r="L983" i="20" s="1"/>
  <c r="D19" i="10"/>
  <c r="M1034" i="20" s="1"/>
  <c r="O75" i="10"/>
  <c r="C43" i="10"/>
  <c r="L1067" i="20" s="1"/>
  <c r="AJ41" i="10"/>
  <c r="C14" i="10"/>
  <c r="K53" i="10" a="1"/>
  <c r="K53" i="10" s="1"/>
  <c r="D77" i="10"/>
  <c r="M1205" i="20" s="1"/>
  <c r="Z74" i="10"/>
  <c r="D39" i="10"/>
  <c r="C69" i="10"/>
  <c r="D65" i="10"/>
  <c r="M905" i="20" s="1"/>
  <c r="T52" i="10"/>
  <c r="L43" i="10" a="1"/>
  <c r="L43" i="10" s="1"/>
  <c r="C36" i="10"/>
  <c r="D32" i="10"/>
  <c r="C72" i="10"/>
  <c r="AE76" i="10"/>
  <c r="AJ73" i="10"/>
  <c r="C58" i="10"/>
  <c r="D53" i="10"/>
  <c r="R73" i="10"/>
  <c r="AJ53" i="10"/>
  <c r="AL53" i="10" s="1"/>
  <c r="C74" i="10"/>
  <c r="L1072" i="20" s="1"/>
  <c r="C62" i="10"/>
  <c r="L909" i="20" s="1"/>
  <c r="Z51" i="10"/>
  <c r="AD43" i="10"/>
  <c r="C66" i="10"/>
  <c r="L61" i="20" s="1"/>
  <c r="D62" i="10"/>
  <c r="M909" i="20" s="1"/>
  <c r="K51" i="10" a="1"/>
  <c r="K51" i="10" s="1"/>
  <c r="T74" i="10"/>
  <c r="C65" i="10"/>
  <c r="L905" i="20" s="1"/>
  <c r="D61" i="10"/>
  <c r="O53" i="10"/>
  <c r="H73" i="10"/>
  <c r="AE73" i="10"/>
  <c r="H74" i="10"/>
  <c r="C48" i="10"/>
  <c r="D44" i="10"/>
  <c r="AB75" i="10"/>
  <c r="AM41" i="10"/>
  <c r="AO41" i="10" s="1"/>
  <c r="AI41" i="10"/>
  <c r="C15" i="10"/>
  <c r="L53" i="10" a="1"/>
  <c r="L53" i="10" s="1"/>
  <c r="AB74" i="10"/>
  <c r="D71" i="10"/>
  <c r="D66" i="10"/>
  <c r="M61" i="20" s="1"/>
  <c r="T53" i="10"/>
  <c r="Z54" i="10"/>
  <c r="C61" i="10"/>
  <c r="D57" i="10"/>
  <c r="Z52" i="10"/>
  <c r="H76" i="10"/>
  <c r="Y73" i="10"/>
  <c r="O42" i="10"/>
  <c r="D24" i="10"/>
  <c r="R76" i="10"/>
  <c r="W51" i="10"/>
  <c r="Y53" i="10"/>
  <c r="AE75" i="10"/>
  <c r="C71" i="10"/>
  <c r="D47" i="10"/>
  <c r="H77" i="10"/>
  <c r="AD52" i="10"/>
  <c r="AB51" i="10"/>
  <c r="AB72" i="10"/>
  <c r="Y51" i="10"/>
  <c r="Z72" i="10"/>
  <c r="Y72" i="10"/>
  <c r="T29" i="10"/>
  <c r="T30" i="10"/>
  <c r="T28" i="10"/>
  <c r="O28" i="10"/>
  <c r="O29" i="10"/>
  <c r="O30" i="10"/>
  <c r="H496" i="8"/>
  <c r="AD28" i="10"/>
  <c r="AD29" i="10"/>
  <c r="AD30" i="10"/>
  <c r="Y29" i="10"/>
  <c r="Y28" i="10"/>
  <c r="H28" i="10"/>
  <c r="L28" i="10" a="1"/>
  <c r="L28" i="10" s="1"/>
  <c r="H30" i="10"/>
  <c r="K30" i="10" a="1"/>
  <c r="K30" i="10" s="1"/>
  <c r="Y30" i="10"/>
  <c r="H29" i="10"/>
  <c r="K28" i="10" a="1"/>
  <c r="K28" i="10" s="1"/>
  <c r="L30" i="10" a="1"/>
  <c r="L30" i="10" s="1"/>
  <c r="K29" i="10" a="1"/>
  <c r="K29" i="10" s="1"/>
  <c r="L29" i="10" a="1"/>
  <c r="L29" i="10" s="1"/>
  <c r="H882" i="8"/>
  <c r="AJ29" i="10"/>
  <c r="AM29" i="10"/>
  <c r="AO29" i="10" s="1"/>
  <c r="AJ28" i="10"/>
  <c r="AI30" i="10"/>
  <c r="AI29" i="10"/>
  <c r="AJ30" i="10"/>
  <c r="AI28" i="10"/>
  <c r="AM28" i="10"/>
  <c r="AO28" i="10" s="1"/>
  <c r="AM30" i="10"/>
  <c r="AO30" i="10" s="1"/>
  <c r="AD26" i="10"/>
  <c r="AJ26" i="10"/>
  <c r="O26" i="10"/>
  <c r="K26" i="10" a="1"/>
  <c r="K26" i="10" s="1"/>
  <c r="L26" i="10" a="1"/>
  <c r="L26" i="10" s="1"/>
  <c r="T26" i="10"/>
  <c r="AM26" i="10"/>
  <c r="AO26" i="10" s="1"/>
  <c r="Y26" i="10"/>
  <c r="AI26" i="10"/>
  <c r="H26" i="10"/>
  <c r="T21" i="10"/>
  <c r="T20" i="10"/>
  <c r="AI20" i="10"/>
  <c r="O21" i="10"/>
  <c r="AD21" i="10"/>
  <c r="K21" i="10" a="1"/>
  <c r="K21" i="10" s="1"/>
  <c r="L20" i="10" a="1"/>
  <c r="L20" i="10" s="1"/>
  <c r="H20" i="10"/>
  <c r="Y20" i="10"/>
  <c r="AJ20" i="10"/>
  <c r="O20" i="10"/>
  <c r="AI21" i="10"/>
  <c r="L21" i="10" a="1"/>
  <c r="L21" i="10" s="1"/>
  <c r="AD20" i="10"/>
  <c r="AM21" i="10"/>
  <c r="AO21" i="10" s="1"/>
  <c r="Y21" i="10"/>
  <c r="H21" i="10"/>
  <c r="K20" i="10" a="1"/>
  <c r="K20" i="10" s="1"/>
  <c r="AJ21" i="10"/>
  <c r="AM20" i="10"/>
  <c r="AO20" i="10" s="1"/>
  <c r="O19" i="10"/>
  <c r="Y19" i="10"/>
  <c r="T19" i="10"/>
  <c r="O70" i="10"/>
  <c r="W64" i="10"/>
  <c r="R32" i="10"/>
  <c r="R39" i="10"/>
  <c r="P48" i="10"/>
  <c r="P59" i="10"/>
  <c r="T71" i="10"/>
  <c r="P27" i="10"/>
  <c r="O54" i="10"/>
  <c r="U65" i="10"/>
  <c r="R18" i="10"/>
  <c r="P37" i="10"/>
  <c r="O62" i="10"/>
  <c r="U12" i="10"/>
  <c r="T23" i="10"/>
  <c r="P66" i="10"/>
  <c r="T34" i="10"/>
  <c r="R50" i="10"/>
  <c r="P67" i="10"/>
  <c r="U70" i="10"/>
  <c r="U22" i="10"/>
  <c r="T44" i="10"/>
  <c r="R61" i="10"/>
  <c r="O22" i="10"/>
  <c r="R47" i="10"/>
  <c r="O67" i="10"/>
  <c r="T55" i="10"/>
  <c r="R69" i="10"/>
  <c r="O33" i="10"/>
  <c r="P64" i="10"/>
  <c r="W59" i="10"/>
  <c r="T63" i="10"/>
  <c r="P16" i="10"/>
  <c r="O40" i="10"/>
  <c r="P58" i="10"/>
  <c r="P45" i="10"/>
  <c r="U25" i="10"/>
  <c r="P12" i="10"/>
  <c r="W27" i="10"/>
  <c r="U46" i="10"/>
  <c r="O18" i="10"/>
  <c r="W37" i="10"/>
  <c r="U57" i="10"/>
  <c r="U35" i="10"/>
  <c r="O69" i="10"/>
  <c r="W48" i="10"/>
  <c r="U77" i="10"/>
  <c r="R38" i="10"/>
  <c r="T17" i="10"/>
  <c r="W67" i="10"/>
  <c r="R60" i="10"/>
  <c r="R15" i="10"/>
  <c r="U14" i="10"/>
  <c r="W66" i="10"/>
  <c r="R17" i="10"/>
  <c r="U24" i="10"/>
  <c r="R31" i="10"/>
  <c r="T18" i="10"/>
  <c r="T22" i="10"/>
  <c r="R68" i="10"/>
  <c r="O32" i="10"/>
  <c r="R67" i="10"/>
  <c r="T40" i="10"/>
  <c r="P15" i="10"/>
  <c r="O39" i="10"/>
  <c r="O68" i="10"/>
  <c r="T54" i="10"/>
  <c r="P36" i="10"/>
  <c r="O50" i="10"/>
  <c r="W16" i="10"/>
  <c r="P77" i="10"/>
  <c r="T62" i="10"/>
  <c r="P47" i="10"/>
  <c r="O61" i="10"/>
  <c r="R37" i="10"/>
  <c r="T38" i="10"/>
  <c r="P57" i="10"/>
  <c r="W15" i="10"/>
  <c r="U45" i="10"/>
  <c r="P65" i="10"/>
  <c r="W36" i="10"/>
  <c r="U56" i="10"/>
  <c r="T70" i="10"/>
  <c r="W57" i="10"/>
  <c r="P13" i="10"/>
  <c r="W47" i="10"/>
  <c r="U64" i="10"/>
  <c r="U34" i="10"/>
  <c r="O17" i="10"/>
  <c r="W58" i="10"/>
  <c r="T50" i="10"/>
  <c r="W45" i="10"/>
  <c r="U13" i="10"/>
  <c r="T33" i="10"/>
  <c r="R49" i="10"/>
  <c r="J386" i="8"/>
  <c r="O16" i="10"/>
  <c r="W65" i="10"/>
  <c r="T32" i="10"/>
  <c r="R48" i="10"/>
  <c r="W13" i="10"/>
  <c r="U23" i="10"/>
  <c r="T39" i="10"/>
  <c r="R59" i="10"/>
  <c r="W35" i="10"/>
  <c r="U54" i="10"/>
  <c r="U44" i="10"/>
  <c r="T61" i="10"/>
  <c r="P14" i="10"/>
  <c r="O31" i="10"/>
  <c r="O59" i="10"/>
  <c r="R46" i="10"/>
  <c r="W25" i="10"/>
  <c r="T69" i="10"/>
  <c r="P25" i="10"/>
  <c r="O38" i="10"/>
  <c r="P71" i="10"/>
  <c r="U63" i="10"/>
  <c r="R16" i="10"/>
  <c r="O49" i="10"/>
  <c r="O15" i="10"/>
  <c r="W46" i="10"/>
  <c r="U71" i="10"/>
  <c r="R27" i="10"/>
  <c r="P46" i="10"/>
  <c r="O60" i="10"/>
  <c r="O58" i="10"/>
  <c r="T27" i="10"/>
  <c r="O36" i="10"/>
  <c r="W24" i="10"/>
  <c r="O47" i="10"/>
  <c r="R57" i="10"/>
  <c r="O66" i="10"/>
  <c r="T68" i="10"/>
  <c r="W12" i="10"/>
  <c r="P62" i="10"/>
  <c r="R65" i="10"/>
  <c r="T60" i="10"/>
  <c r="P35" i="10"/>
  <c r="P63" i="10"/>
  <c r="R66" i="10"/>
  <c r="W14" i="10"/>
  <c r="U69" i="10"/>
  <c r="T16" i="10"/>
  <c r="W44" i="10"/>
  <c r="T67" i="10"/>
  <c r="P34" i="10"/>
  <c r="W55" i="10"/>
  <c r="R14" i="10"/>
  <c r="P44" i="10"/>
  <c r="W63" i="10"/>
  <c r="R25" i="10"/>
  <c r="P55" i="10"/>
  <c r="U33" i="10"/>
  <c r="U50" i="10"/>
  <c r="O65" i="10"/>
  <c r="W23" i="10"/>
  <c r="T48" i="10"/>
  <c r="P23" i="10"/>
  <c r="P70" i="10"/>
  <c r="W34" i="10"/>
  <c r="U61" i="10"/>
  <c r="O14" i="10"/>
  <c r="W33" i="10"/>
  <c r="O13" i="10"/>
  <c r="U18" i="10"/>
  <c r="T37" i="10"/>
  <c r="U31" i="10"/>
  <c r="R58" i="10"/>
  <c r="U32" i="10"/>
  <c r="R45" i="10"/>
  <c r="P56" i="10"/>
  <c r="U39" i="10"/>
  <c r="T59" i="10"/>
  <c r="R56" i="10"/>
  <c r="R64" i="10"/>
  <c r="W77" i="10"/>
  <c r="P22" i="10"/>
  <c r="T31" i="10"/>
  <c r="W71" i="10"/>
  <c r="U60" i="10"/>
  <c r="T66" i="10"/>
  <c r="T47" i="10"/>
  <c r="R77" i="10"/>
  <c r="O25" i="10"/>
  <c r="R13" i="10"/>
  <c r="P33" i="10"/>
  <c r="O46" i="10"/>
  <c r="O48" i="10"/>
  <c r="R24" i="10"/>
  <c r="P40" i="10"/>
  <c r="O57" i="10"/>
  <c r="W18" i="10"/>
  <c r="R35" i="10"/>
  <c r="P54" i="10"/>
  <c r="U40" i="10"/>
  <c r="T49" i="10"/>
  <c r="T15" i="10"/>
  <c r="O37" i="10"/>
  <c r="W22" i="10"/>
  <c r="W49" i="10"/>
  <c r="P32" i="10"/>
  <c r="U38" i="10"/>
  <c r="P50" i="10"/>
  <c r="U49" i="10"/>
  <c r="P61" i="10"/>
  <c r="P24" i="10"/>
  <c r="R55" i="10"/>
  <c r="U67" i="10"/>
  <c r="O35" i="10"/>
  <c r="W40" i="10"/>
  <c r="T36" i="10"/>
  <c r="T14" i="10"/>
  <c r="O56" i="10"/>
  <c r="W62" i="10"/>
  <c r="T25" i="10"/>
  <c r="O64" i="10"/>
  <c r="W70" i="10"/>
  <c r="T58" i="10"/>
  <c r="AB48" i="10"/>
  <c r="R63" i="10"/>
  <c r="P17" i="10"/>
  <c r="W39" i="10"/>
  <c r="T57" i="10"/>
  <c r="P39" i="10"/>
  <c r="O77" i="10"/>
  <c r="W54" i="10"/>
  <c r="U68" i="10"/>
  <c r="P31" i="10"/>
  <c r="W50" i="10"/>
  <c r="T12" i="10"/>
  <c r="P49" i="10"/>
  <c r="U27" i="10"/>
  <c r="R23" i="10"/>
  <c r="P68" i="10"/>
  <c r="U37" i="10"/>
  <c r="R34" i="10"/>
  <c r="P69" i="10"/>
  <c r="R12" i="10"/>
  <c r="U17" i="10"/>
  <c r="Y67" i="10"/>
  <c r="O63" i="10"/>
  <c r="U59" i="10"/>
  <c r="R44" i="10"/>
  <c r="O24" i="10"/>
  <c r="Y77" i="10"/>
  <c r="O27" i="10"/>
  <c r="U36" i="10"/>
  <c r="O71" i="10"/>
  <c r="W61" i="10"/>
  <c r="T56" i="10"/>
  <c r="W56" i="10"/>
  <c r="W69" i="10"/>
  <c r="T64" i="10"/>
  <c r="U62" i="10"/>
  <c r="U16" i="10"/>
  <c r="T46" i="10"/>
  <c r="R71" i="10"/>
  <c r="O45" i="10"/>
  <c r="Z68" i="10"/>
  <c r="T77" i="10"/>
  <c r="O34" i="10"/>
  <c r="W31" i="10"/>
  <c r="R22" i="10"/>
  <c r="O44" i="10"/>
  <c r="W38" i="10"/>
  <c r="R70" i="10"/>
  <c r="O55" i="10"/>
  <c r="W32" i="10"/>
  <c r="U48" i="10"/>
  <c r="T65" i="10"/>
  <c r="P18" i="10"/>
  <c r="Z31" i="10"/>
  <c r="T24" i="10"/>
  <c r="P38" i="10"/>
  <c r="Y24" i="10"/>
  <c r="U58" i="10"/>
  <c r="R33" i="10"/>
  <c r="P60" i="10"/>
  <c r="Z14" i="10"/>
  <c r="U66" i="10"/>
  <c r="R40" i="10"/>
  <c r="Z45" i="10"/>
  <c r="T13" i="10"/>
  <c r="R54" i="10"/>
  <c r="O23" i="10"/>
  <c r="R36" i="10"/>
  <c r="AB16" i="10"/>
  <c r="Y23" i="10"/>
  <c r="W60" i="10"/>
  <c r="T35" i="10"/>
  <c r="AB70" i="10"/>
  <c r="Y36" i="10"/>
  <c r="W68" i="10"/>
  <c r="T45" i="10"/>
  <c r="R62" i="10"/>
  <c r="Z65" i="10"/>
  <c r="Y49" i="10"/>
  <c r="U15" i="10"/>
  <c r="AB45" i="10"/>
  <c r="AB27" i="10"/>
  <c r="Y54" i="10"/>
  <c r="Y31" i="10"/>
  <c r="Y22" i="10"/>
  <c r="Z64" i="10"/>
  <c r="Y64" i="10"/>
  <c r="Y63" i="10"/>
  <c r="Z60" i="10"/>
  <c r="Y16" i="10"/>
  <c r="AB54" i="10"/>
  <c r="AB58" i="10"/>
  <c r="Y59" i="10"/>
  <c r="AB22" i="10"/>
  <c r="Z77" i="10"/>
  <c r="Y35" i="10"/>
  <c r="Y48" i="10"/>
  <c r="Z66" i="10"/>
  <c r="W17" i="10"/>
  <c r="U47" i="10"/>
  <c r="Y66" i="10"/>
  <c r="AB15" i="10"/>
  <c r="Y62" i="10"/>
  <c r="Y34" i="10"/>
  <c r="Z38" i="10"/>
  <c r="AB67" i="10"/>
  <c r="Z46" i="10"/>
  <c r="Y47" i="10"/>
  <c r="Z17" i="10"/>
  <c r="Z35" i="10"/>
  <c r="Y37" i="10"/>
  <c r="Y60" i="10"/>
  <c r="AB31" i="10"/>
  <c r="AB66" i="10"/>
  <c r="Y15" i="10"/>
  <c r="Y25" i="10"/>
  <c r="Z70" i="10"/>
  <c r="Z25" i="10"/>
  <c r="Y44" i="10"/>
  <c r="Z63" i="10"/>
  <c r="Y27" i="10"/>
  <c r="Y58" i="10"/>
  <c r="Y33" i="10"/>
  <c r="AB50" i="10"/>
  <c r="Y18" i="10"/>
  <c r="Y40" i="10"/>
  <c r="Z13" i="10"/>
  <c r="Y45" i="10"/>
  <c r="AB47" i="10"/>
  <c r="Y71" i="10"/>
  <c r="Y39" i="10"/>
  <c r="Y56" i="10"/>
  <c r="Z50" i="10"/>
  <c r="Y61" i="10"/>
  <c r="Z56" i="10"/>
  <c r="Z57" i="10"/>
  <c r="AB40" i="10"/>
  <c r="Y70" i="10"/>
  <c r="Z61" i="10"/>
  <c r="AB59" i="10"/>
  <c r="Z12" i="10"/>
  <c r="Y13" i="10"/>
  <c r="AB46" i="10"/>
  <c r="AB77" i="10"/>
  <c r="Y38" i="10"/>
  <c r="Z67" i="10"/>
  <c r="Z22" i="10"/>
  <c r="Y69" i="10"/>
  <c r="Y14" i="10"/>
  <c r="AB33" i="10"/>
  <c r="AB36" i="10"/>
  <c r="AB37" i="10"/>
  <c r="Y68" i="10"/>
  <c r="AB55" i="10"/>
  <c r="Y17" i="10"/>
  <c r="Z24" i="10"/>
  <c r="H640" i="8"/>
  <c r="J434" i="8"/>
  <c r="J590" i="8"/>
  <c r="J1081" i="8"/>
  <c r="AB56" i="10"/>
  <c r="AB17" i="10"/>
  <c r="AB44" i="10"/>
  <c r="AB64" i="10"/>
  <c r="Z71" i="10"/>
  <c r="AB61" i="10"/>
  <c r="AB68" i="10"/>
  <c r="AB63" i="10"/>
  <c r="Z16" i="10"/>
  <c r="Z58" i="10"/>
  <c r="Z39" i="10"/>
  <c r="Z33" i="10"/>
  <c r="Y50" i="10"/>
  <c r="Y55" i="10"/>
  <c r="H524" i="8"/>
  <c r="J921" i="8"/>
  <c r="H700" i="8"/>
  <c r="H557" i="8"/>
  <c r="H588" i="8"/>
  <c r="H778" i="8"/>
  <c r="J801" i="8"/>
  <c r="H644" i="8"/>
  <c r="H1024" i="8"/>
  <c r="J681" i="8"/>
  <c r="J555" i="8"/>
  <c r="J923" i="8"/>
  <c r="J702" i="8"/>
  <c r="J886" i="8"/>
  <c r="H57" i="10"/>
  <c r="H968" i="8"/>
  <c r="J615" i="8"/>
  <c r="AB57" i="10"/>
  <c r="Z15" i="10"/>
  <c r="Y46" i="10"/>
  <c r="AB12" i="10"/>
  <c r="Z36" i="10"/>
  <c r="AB23" i="10"/>
  <c r="Z69" i="10"/>
  <c r="AB39" i="10"/>
  <c r="Z55" i="10"/>
  <c r="Z47" i="10"/>
  <c r="AB34" i="10"/>
  <c r="AB13" i="10"/>
  <c r="Z62" i="10"/>
  <c r="J859" i="8"/>
  <c r="AI55" i="10"/>
  <c r="J496" i="8"/>
  <c r="J999" i="8"/>
  <c r="L55" i="10" a="1"/>
  <c r="L55" i="10" s="1"/>
  <c r="J471" i="8"/>
  <c r="J970" i="8"/>
  <c r="K22" i="10" a="1"/>
  <c r="K22" i="10" s="1"/>
  <c r="AI61" i="10"/>
  <c r="L56" i="10" a="1"/>
  <c r="L56" i="10" s="1"/>
  <c r="K37" i="10" a="1"/>
  <c r="K37" i="10" s="1"/>
  <c r="L32" i="10" a="1"/>
  <c r="L32" i="10" s="1"/>
  <c r="AD27" i="10"/>
  <c r="AD33" i="10"/>
  <c r="J1026" i="8"/>
  <c r="J840" i="8"/>
  <c r="J467" i="8"/>
  <c r="J619" i="8"/>
  <c r="L68" i="10" a="1"/>
  <c r="L68" i="10" s="1"/>
  <c r="L61" i="10" a="1"/>
  <c r="L61" i="10" s="1"/>
  <c r="L25" i="10" a="1"/>
  <c r="L25" i="10" s="1"/>
  <c r="AI32" i="10"/>
  <c r="AI12" i="10"/>
  <c r="H416" i="8"/>
  <c r="H836" i="8"/>
  <c r="H436" i="8"/>
  <c r="H386" i="8"/>
  <c r="Z49" i="10"/>
  <c r="AB62" i="10"/>
  <c r="Z48" i="10"/>
  <c r="Y65" i="10"/>
  <c r="Z18" i="10"/>
  <c r="AB35" i="10"/>
  <c r="Z44" i="10"/>
  <c r="AB60" i="10"/>
  <c r="Z59" i="10"/>
  <c r="Y12" i="10"/>
  <c r="Z32" i="10"/>
  <c r="J617" i="8"/>
  <c r="H679" i="8"/>
  <c r="L47" i="10" a="1"/>
  <c r="L47" i="10" s="1"/>
  <c r="H15" i="10"/>
  <c r="H16" i="10"/>
  <c r="J1077" i="8"/>
  <c r="H498" i="8"/>
  <c r="K57" i="10" a="1"/>
  <c r="K57" i="10" s="1"/>
  <c r="L67" i="10" a="1"/>
  <c r="L67" i="10" s="1"/>
  <c r="L31" i="10" a="1"/>
  <c r="L31" i="10" s="1"/>
  <c r="AI17" i="10"/>
  <c r="AI37" i="10"/>
  <c r="J882" i="8"/>
  <c r="J945" i="8"/>
  <c r="J919" i="8"/>
  <c r="J698" i="8"/>
  <c r="AI34" i="10"/>
  <c r="L62" i="10" a="1"/>
  <c r="L62" i="10" s="1"/>
  <c r="K50" i="10" a="1"/>
  <c r="K50" i="10" s="1"/>
  <c r="L49" i="10" a="1"/>
  <c r="L49" i="10" s="1"/>
  <c r="H776" i="8"/>
  <c r="H997" i="8"/>
  <c r="AD50" i="10"/>
  <c r="J947" i="8"/>
  <c r="AI59" i="10"/>
  <c r="AB69" i="10"/>
  <c r="AB65" i="10"/>
  <c r="Z27" i="10"/>
  <c r="Z23" i="10"/>
  <c r="AB38" i="10"/>
  <c r="Z37" i="10"/>
  <c r="Y57" i="10"/>
  <c r="AB71" i="10"/>
  <c r="AB24" i="10"/>
  <c r="Z40" i="10"/>
  <c r="Y32" i="10"/>
  <c r="O12" i="10"/>
  <c r="AB18" i="10"/>
  <c r="AB14" i="10"/>
  <c r="Z34" i="10"/>
  <c r="AB49" i="10"/>
  <c r="AB32" i="10"/>
  <c r="AB25" i="10"/>
  <c r="L13" i="10" a="1"/>
  <c r="L13" i="10" s="1"/>
  <c r="K31" i="10" a="1"/>
  <c r="K31" i="10" s="1"/>
  <c r="H24" i="10"/>
  <c r="H949" i="8"/>
  <c r="H797" i="8"/>
  <c r="J469" i="8"/>
  <c r="AI38" i="10"/>
  <c r="K25" i="10" a="1"/>
  <c r="K25" i="10" s="1"/>
  <c r="AI48" i="10"/>
  <c r="AD37" i="10"/>
  <c r="AD57" i="10"/>
  <c r="AD66" i="10"/>
  <c r="AD64" i="10"/>
  <c r="AD67" i="10"/>
  <c r="AD56" i="10"/>
  <c r="H780" i="8"/>
  <c r="J1001" i="8"/>
  <c r="H1001" i="8"/>
  <c r="AM48" i="10"/>
  <c r="L71" i="10" a="1"/>
  <c r="L71" i="10" s="1"/>
  <c r="H33" i="10"/>
  <c r="L46" i="10" a="1"/>
  <c r="L46" i="10" s="1"/>
  <c r="L22" i="10" a="1"/>
  <c r="L22" i="10" s="1"/>
  <c r="L63" i="10" a="1"/>
  <c r="L63" i="10" s="1"/>
  <c r="K67" i="10" a="1"/>
  <c r="K67" i="10" s="1"/>
  <c r="AI63" i="10"/>
  <c r="AI66" i="10"/>
  <c r="AI77" i="10"/>
  <c r="AI54" i="10"/>
  <c r="AD18" i="10"/>
  <c r="AD25" i="10"/>
  <c r="AD12" i="10"/>
  <c r="AD59" i="10"/>
  <c r="AD14" i="10"/>
  <c r="J884" i="8"/>
  <c r="J432" i="8"/>
  <c r="AM71" i="10"/>
  <c r="AJ25" i="10"/>
  <c r="L45" i="10" a="1"/>
  <c r="L45" i="10" s="1"/>
  <c r="AI71" i="10"/>
  <c r="AI56" i="10"/>
  <c r="K13" i="10" a="1"/>
  <c r="K13" i="10" s="1"/>
  <c r="K70" i="10" a="1"/>
  <c r="K70" i="10" s="1"/>
  <c r="L38" i="10" a="1"/>
  <c r="L38" i="10" s="1"/>
  <c r="L44" i="10" a="1"/>
  <c r="L44" i="10" s="1"/>
  <c r="K24" i="10" a="1"/>
  <c r="K24" i="10" s="1"/>
  <c r="K63" i="10" a="1"/>
  <c r="K63" i="10" s="1"/>
  <c r="H65" i="10"/>
  <c r="H61" i="10"/>
  <c r="H60" i="10"/>
  <c r="H27" i="10"/>
  <c r="H46" i="10"/>
  <c r="H13" i="10"/>
  <c r="L37" i="10" a="1"/>
  <c r="L37" i="10" s="1"/>
  <c r="AD63" i="10"/>
  <c r="AD48" i="10"/>
  <c r="AD23" i="10"/>
  <c r="AD69" i="10"/>
  <c r="AD15" i="10"/>
  <c r="AD58" i="10"/>
  <c r="J797" i="8"/>
  <c r="J780" i="8"/>
  <c r="H592" i="8"/>
  <c r="J838" i="8"/>
  <c r="H838" i="8"/>
  <c r="AI45" i="10"/>
  <c r="L33" i="10" a="1"/>
  <c r="L33" i="10" s="1"/>
  <c r="L70" i="10" a="1"/>
  <c r="L70" i="10" s="1"/>
  <c r="AI36" i="10"/>
  <c r="H64" i="10"/>
  <c r="AI13" i="10"/>
  <c r="K62" i="10" a="1"/>
  <c r="K62" i="10" s="1"/>
  <c r="K64" i="10" a="1"/>
  <c r="K64" i="10" s="1"/>
  <c r="L14" i="10" a="1"/>
  <c r="L14" i="10" s="1"/>
  <c r="H18" i="10"/>
  <c r="H62" i="10"/>
  <c r="AI40" i="10"/>
  <c r="AI69" i="10"/>
  <c r="K44" i="10" a="1"/>
  <c r="K44" i="10" s="1"/>
  <c r="AI67" i="10"/>
  <c r="AI33" i="10"/>
  <c r="K27" i="10" a="1"/>
  <c r="K27" i="10" s="1"/>
  <c r="H54" i="10"/>
  <c r="L50" i="10" a="1"/>
  <c r="L50" i="10" s="1"/>
  <c r="AI23" i="10"/>
  <c r="K59" i="10" a="1"/>
  <c r="K59" i="10" s="1"/>
  <c r="H55" i="10"/>
  <c r="AI18" i="10"/>
  <c r="K54" i="10" a="1"/>
  <c r="K54" i="10" s="1"/>
  <c r="H32" i="10"/>
  <c r="AI16" i="10"/>
  <c r="K46" i="10" a="1"/>
  <c r="K46" i="10" s="1"/>
  <c r="K16" i="10" a="1"/>
  <c r="K16" i="10" s="1"/>
  <c r="L15" i="10" a="1"/>
  <c r="L15" i="10" s="1"/>
  <c r="AI57" i="10"/>
  <c r="L57" i="10" a="1"/>
  <c r="L57" i="10" s="1"/>
  <c r="AI44" i="10"/>
  <c r="AI46" i="10"/>
  <c r="AG47" i="10"/>
  <c r="AG69" i="10"/>
  <c r="AE59" i="10"/>
  <c r="AG49" i="10"/>
  <c r="AE54" i="10"/>
  <c r="AE65" i="10"/>
  <c r="AE39" i="10"/>
  <c r="AG14" i="10"/>
  <c r="AG39" i="10"/>
  <c r="AE27" i="10"/>
  <c r="AG48" i="10"/>
  <c r="AE46" i="10"/>
  <c r="AE60" i="10"/>
  <c r="AE15" i="10"/>
  <c r="AG77" i="10"/>
  <c r="AE48" i="10"/>
  <c r="AE50" i="10"/>
  <c r="AG59" i="10"/>
  <c r="AG37" i="10"/>
  <c r="AE58" i="10"/>
  <c r="AG13" i="10"/>
  <c r="AE67" i="10"/>
  <c r="AE56" i="10"/>
  <c r="AE49" i="10"/>
  <c r="AE68" i="10"/>
  <c r="AE32" i="10"/>
  <c r="AE13" i="10"/>
  <c r="AG36" i="10"/>
  <c r="AE22" i="10"/>
  <c r="AG56" i="10"/>
  <c r="AE17" i="10"/>
  <c r="AG12" i="10"/>
  <c r="AE23" i="10"/>
  <c r="AG60" i="10"/>
  <c r="AG34" i="10"/>
  <c r="AE24" i="10"/>
  <c r="AG65" i="10"/>
  <c r="AG50" i="10"/>
  <c r="AG46" i="10"/>
  <c r="AE38" i="10"/>
  <c r="AE62" i="10"/>
  <c r="AG63" i="10"/>
  <c r="AG38" i="10"/>
  <c r="AG16" i="10"/>
  <c r="AE34" i="10"/>
  <c r="AE55" i="10"/>
  <c r="AG31" i="10"/>
  <c r="AE18" i="10"/>
  <c r="AG25" i="10"/>
  <c r="AG57" i="10"/>
  <c r="AG61" i="10"/>
  <c r="AG64" i="10"/>
  <c r="AE69" i="10"/>
  <c r="AG35" i="10"/>
  <c r="AE16" i="10"/>
  <c r="AE36" i="10"/>
  <c r="AE37" i="10"/>
  <c r="AG22" i="10"/>
  <c r="AG18" i="10"/>
  <c r="AG55" i="10"/>
  <c r="AE63" i="10"/>
  <c r="AE44" i="10"/>
  <c r="AE14" i="10"/>
  <c r="AG70" i="10"/>
  <c r="AG15" i="10"/>
  <c r="AD55" i="10"/>
  <c r="AD47" i="10"/>
  <c r="AD49" i="10"/>
  <c r="AD60" i="10"/>
  <c r="AE70" i="10"/>
  <c r="AE77" i="10"/>
  <c r="AE25" i="10"/>
  <c r="AG32" i="10"/>
  <c r="AE33" i="10"/>
  <c r="AE66" i="10"/>
  <c r="AE71" i="10"/>
  <c r="AE31" i="10"/>
  <c r="AE35" i="10"/>
  <c r="AG68" i="10"/>
  <c r="AG44" i="10"/>
  <c r="AG62" i="10"/>
  <c r="AE47" i="10"/>
  <c r="AG45" i="10"/>
  <c r="AG71" i="10"/>
  <c r="AE64" i="10"/>
  <c r="H683" i="8"/>
  <c r="AE57" i="10"/>
  <c r="AG54" i="10"/>
  <c r="AG23" i="10"/>
  <c r="AG33" i="10"/>
  <c r="AE12" i="10"/>
  <c r="AE40" i="10"/>
  <c r="AG66" i="10"/>
  <c r="AG40" i="10"/>
  <c r="AG67" i="10"/>
  <c r="AG24" i="10"/>
  <c r="AG27" i="10"/>
  <c r="AG17" i="10"/>
  <c r="H1079" i="8"/>
  <c r="AD45" i="10"/>
  <c r="AD40" i="10"/>
  <c r="AD24" i="10"/>
  <c r="AD65" i="10"/>
  <c r="AD35" i="10"/>
  <c r="AD34" i="10"/>
  <c r="H857" i="8"/>
  <c r="H799" i="8"/>
  <c r="J855" i="8"/>
  <c r="K36" i="10" a="1"/>
  <c r="K36" i="10" s="1"/>
  <c r="AI50" i="10"/>
  <c r="K33" i="10" a="1"/>
  <c r="K33" i="10" s="1"/>
  <c r="H35" i="10"/>
  <c r="K77" i="10" a="1"/>
  <c r="K77" i="10" s="1"/>
  <c r="H40" i="10"/>
  <c r="L40" i="10" a="1"/>
  <c r="L40" i="10" s="1"/>
  <c r="AD19" i="10"/>
  <c r="K15" i="10" a="1"/>
  <c r="K15" i="10" s="1"/>
  <c r="L59" i="10" a="1"/>
  <c r="L59" i="10" s="1"/>
  <c r="L69" i="10" a="1"/>
  <c r="L69" i="10" s="1"/>
  <c r="AI14" i="10"/>
  <c r="AI60" i="10"/>
  <c r="AI62" i="10"/>
  <c r="L54" i="10" a="1"/>
  <c r="L54" i="10" s="1"/>
  <c r="K48" i="10" a="1"/>
  <c r="K48" i="10" s="1"/>
  <c r="K61" i="10" a="1"/>
  <c r="K61" i="10" s="1"/>
  <c r="K45" i="10" a="1"/>
  <c r="K45" i="10" s="1"/>
  <c r="AI64" i="10"/>
  <c r="K58" i="10" a="1"/>
  <c r="K58" i="10" s="1"/>
  <c r="AI39" i="10"/>
  <c r="L36" i="10" a="1"/>
  <c r="L36" i="10" s="1"/>
  <c r="H23" i="10"/>
  <c r="AI58" i="10"/>
  <c r="K18" i="10" a="1"/>
  <c r="K18" i="10" s="1"/>
  <c r="K66" i="10" a="1"/>
  <c r="K66" i="10" s="1"/>
  <c r="K23" i="10" a="1"/>
  <c r="K23" i="10" s="1"/>
  <c r="K47" i="10" a="1"/>
  <c r="K47" i="10" s="1"/>
  <c r="L77" i="10" a="1"/>
  <c r="L77" i="10" s="1"/>
  <c r="AD46" i="10"/>
  <c r="AD68" i="10"/>
  <c r="AD77" i="10"/>
  <c r="AD32" i="10"/>
  <c r="AD39" i="10"/>
  <c r="H642" i="8"/>
  <c r="J642" i="8"/>
  <c r="AJ23" i="10"/>
  <c r="AM17" i="10"/>
  <c r="AI25" i="10"/>
  <c r="H31" i="10"/>
  <c r="J1028" i="8"/>
  <c r="H49" i="10"/>
  <c r="AI49" i="10"/>
  <c r="H742" i="8"/>
  <c r="K38" i="10" a="1"/>
  <c r="K38" i="10" s="1"/>
  <c r="AI15" i="10"/>
  <c r="H66" i="10"/>
  <c r="AI70" i="10"/>
  <c r="H47" i="10"/>
  <c r="H50" i="10"/>
  <c r="L48" i="10" a="1"/>
  <c r="L48" i="10" s="1"/>
  <c r="AI47" i="10"/>
  <c r="H63" i="10"/>
  <c r="L12" i="10" a="1"/>
  <c r="L12" i="10" s="1"/>
  <c r="AI24" i="10"/>
  <c r="H48" i="10"/>
  <c r="H36" i="10"/>
  <c r="K40" i="10" a="1"/>
  <c r="K40" i="10" s="1"/>
  <c r="L27" i="10" a="1"/>
  <c r="L27" i="10" s="1"/>
  <c r="H25" i="10"/>
  <c r="K55" i="10" a="1"/>
  <c r="K55" i="10" s="1"/>
  <c r="L66" i="10" a="1"/>
  <c r="L66" i="10" s="1"/>
  <c r="K68" i="10" a="1"/>
  <c r="K68" i="10" s="1"/>
  <c r="K71" i="10" a="1"/>
  <c r="K71" i="10" s="1"/>
  <c r="AI31" i="10"/>
  <c r="L23" i="10" a="1"/>
  <c r="L23" i="10" s="1"/>
  <c r="AD31" i="10"/>
  <c r="AD44" i="10"/>
  <c r="AD62" i="10"/>
  <c r="AD36" i="10"/>
  <c r="AD38" i="10"/>
  <c r="H738" i="8"/>
  <c r="J559" i="8"/>
  <c r="H418" i="8"/>
  <c r="AG58" i="10"/>
  <c r="AM49" i="10"/>
  <c r="AM37" i="10"/>
  <c r="AE61" i="10"/>
  <c r="AM77" i="10"/>
  <c r="AM27" i="10"/>
  <c r="AJ40" i="10"/>
  <c r="AM70" i="10"/>
  <c r="AJ44" i="10"/>
  <c r="AM16" i="10"/>
  <c r="AM40" i="10"/>
  <c r="AJ34" i="10"/>
  <c r="AM68" i="10"/>
  <c r="AM25" i="10"/>
  <c r="AJ22" i="10"/>
  <c r="AJ31" i="10"/>
  <c r="AJ15" i="10"/>
  <c r="AM22" i="10"/>
  <c r="AJ14" i="10"/>
  <c r="AM14" i="10"/>
  <c r="AJ49" i="10"/>
  <c r="AJ64" i="10"/>
  <c r="AM65" i="10"/>
  <c r="AJ77" i="10"/>
  <c r="AM38" i="10"/>
  <c r="AM69" i="10"/>
  <c r="AM60" i="10"/>
  <c r="AJ39" i="10"/>
  <c r="AM24" i="10"/>
  <c r="AM19" i="10"/>
  <c r="AJ70" i="10"/>
  <c r="AJ16" i="10"/>
  <c r="AJ67" i="10"/>
  <c r="AJ27" i="10"/>
  <c r="AM62" i="10"/>
  <c r="AM34" i="10"/>
  <c r="AM44" i="10"/>
  <c r="AJ66" i="10"/>
  <c r="AJ71" i="10"/>
  <c r="AJ45" i="10"/>
  <c r="AJ59" i="10"/>
  <c r="AM39" i="10"/>
  <c r="AJ47" i="10"/>
  <c r="AJ60" i="10"/>
  <c r="AM63" i="10"/>
  <c r="AM55" i="10"/>
  <c r="AJ33" i="10"/>
  <c r="AJ38" i="10"/>
  <c r="AJ19" i="10"/>
  <c r="AJ13" i="10"/>
  <c r="AM15" i="10"/>
  <c r="AM47" i="10"/>
  <c r="AM23" i="10"/>
  <c r="AJ61" i="10"/>
  <c r="AJ35" i="10"/>
  <c r="AM50" i="10"/>
  <c r="AM64" i="10"/>
  <c r="AM35" i="10"/>
  <c r="AJ54" i="10"/>
  <c r="AM31" i="10"/>
  <c r="AM18" i="10"/>
  <c r="AM36" i="10"/>
  <c r="H12" i="10"/>
  <c r="AJ17" i="10"/>
  <c r="AJ65" i="10"/>
  <c r="AJ48" i="10"/>
  <c r="AJ50" i="10"/>
  <c r="AM54" i="10"/>
  <c r="AJ36" i="10"/>
  <c r="AM67" i="10"/>
  <c r="AM13" i="10"/>
  <c r="AJ46" i="10"/>
  <c r="AJ18" i="10"/>
  <c r="AJ55" i="10"/>
  <c r="AJ58" i="10"/>
  <c r="AM58" i="10"/>
  <c r="AJ12" i="10"/>
  <c r="AM57" i="10"/>
  <c r="AJ57" i="10"/>
  <c r="AM66" i="10"/>
  <c r="AM46" i="10"/>
  <c r="AM61" i="10"/>
  <c r="AM32" i="10"/>
  <c r="AM56" i="10"/>
  <c r="AM12" i="10"/>
  <c r="AJ56" i="10"/>
  <c r="AM45" i="10"/>
  <c r="AJ69" i="10"/>
  <c r="AJ68" i="10"/>
  <c r="AJ32" i="10"/>
  <c r="AJ62" i="10"/>
  <c r="AJ63" i="10"/>
  <c r="AJ24" i="10"/>
  <c r="AJ37" i="10"/>
  <c r="AM59" i="10"/>
  <c r="L60" i="10" a="1"/>
  <c r="L60" i="10" s="1"/>
  <c r="K69" i="10" a="1"/>
  <c r="K69" i="10" s="1"/>
  <c r="H19" i="10"/>
  <c r="H58" i="10"/>
  <c r="K34" i="10" a="1"/>
  <c r="K34" i="10" s="1"/>
  <c r="AI68" i="10"/>
  <c r="L65" i="10" a="1"/>
  <c r="L65" i="10" s="1"/>
  <c r="AI65" i="10"/>
  <c r="L16" i="10" a="1"/>
  <c r="L16" i="10" s="1"/>
  <c r="K56" i="10" a="1"/>
  <c r="K56" i="10" s="1"/>
  <c r="K60" i="10" a="1"/>
  <c r="K60" i="10" s="1"/>
  <c r="K65" i="10" a="1"/>
  <c r="K65" i="10" s="1"/>
  <c r="H38" i="10"/>
  <c r="K32" i="10" a="1"/>
  <c r="K32" i="10" s="1"/>
  <c r="H22" i="10"/>
  <c r="H34" i="10"/>
  <c r="K19" i="10" a="1"/>
  <c r="K19" i="10" s="1"/>
  <c r="H68" i="10"/>
  <c r="AD22" i="10"/>
  <c r="AD71" i="10"/>
  <c r="AD70" i="10"/>
  <c r="AM33" i="10"/>
  <c r="AI22" i="10"/>
  <c r="L19" i="10" a="1"/>
  <c r="L19" i="10" s="1"/>
  <c r="L17" i="10" a="1"/>
  <c r="L17" i="10" s="1"/>
  <c r="H45" i="10"/>
  <c r="H67" i="10"/>
  <c r="H17" i="10"/>
  <c r="K35" i="10" a="1"/>
  <c r="K35" i="10" s="1"/>
  <c r="H71" i="10"/>
  <c r="H69" i="10"/>
  <c r="AI19" i="10"/>
  <c r="L34" i="10" a="1"/>
  <c r="L34" i="10" s="1"/>
  <c r="H37" i="10"/>
  <c r="H70" i="10"/>
  <c r="K39" i="10" a="1"/>
  <c r="K39" i="10" s="1"/>
  <c r="L39" i="10" a="1"/>
  <c r="L39" i="10" s="1"/>
  <c r="AI35" i="10"/>
  <c r="H56" i="10"/>
  <c r="L24" i="10" a="1"/>
  <c r="L24" i="10" s="1"/>
  <c r="L64" i="10" a="1"/>
  <c r="L64" i="10" s="1"/>
  <c r="H14" i="10"/>
  <c r="AI27" i="10"/>
  <c r="L18" i="10" a="1"/>
  <c r="L18" i="10" s="1"/>
  <c r="H44" i="10"/>
  <c r="K17" i="10" a="1"/>
  <c r="K17" i="10" s="1"/>
  <c r="K49" i="10" a="1"/>
  <c r="K49" i="10" s="1"/>
  <c r="L58" i="10" a="1"/>
  <c r="L58" i="10" s="1"/>
  <c r="H39" i="10"/>
  <c r="L35" i="10" a="1"/>
  <c r="L35" i="10" s="1"/>
  <c r="H59" i="10"/>
  <c r="K14" i="10" a="1"/>
  <c r="K14" i="10" s="1"/>
  <c r="AD54" i="10"/>
  <c r="AD16" i="10"/>
  <c r="AD17" i="10"/>
  <c r="AD61" i="10"/>
  <c r="AD13" i="10"/>
  <c r="J972" i="8"/>
  <c r="H1028" i="8"/>
  <c r="H500" i="8"/>
  <c r="AE45" i="10"/>
  <c r="H740" i="8"/>
  <c r="J522" i="8"/>
  <c r="H520" i="8"/>
  <c r="I21" i="13" l="1"/>
  <c r="J4" i="13"/>
  <c r="J9" i="13"/>
  <c r="J5" i="13"/>
  <c r="J6" i="13"/>
  <c r="J7" i="13"/>
  <c r="L165" i="20"/>
  <c r="L600" i="20"/>
  <c r="L201" i="20"/>
  <c r="L108" i="20"/>
  <c r="L320" i="20"/>
  <c r="L36" i="20"/>
  <c r="L1146" i="20"/>
  <c r="L1099" i="20"/>
  <c r="L1009" i="20"/>
  <c r="L902" i="20"/>
  <c r="L66" i="20"/>
  <c r="L152" i="20"/>
  <c r="L142" i="20"/>
  <c r="L44" i="20"/>
  <c r="L99" i="20"/>
  <c r="L315" i="20"/>
  <c r="L114" i="20"/>
  <c r="L180" i="20"/>
  <c r="L76" i="20"/>
  <c r="L978" i="20"/>
  <c r="L128" i="20"/>
  <c r="L402" i="20"/>
  <c r="L727" i="20"/>
  <c r="L844" i="20"/>
  <c r="L249" i="20"/>
  <c r="L53" i="20"/>
  <c r="L430" i="20"/>
  <c r="L543" i="20"/>
  <c r="L364" i="20"/>
  <c r="L792" i="20"/>
  <c r="L297" i="20"/>
  <c r="L32" i="20"/>
  <c r="L872" i="20"/>
  <c r="L625" i="20"/>
  <c r="L232" i="20"/>
  <c r="L270" i="20"/>
  <c r="L378" i="20"/>
  <c r="L478" i="20"/>
  <c r="L692" i="20"/>
  <c r="L341" i="20"/>
  <c r="L936" i="20"/>
  <c r="L1197" i="20"/>
  <c r="L1040" i="20"/>
  <c r="L657" i="20"/>
  <c r="L568" i="20"/>
  <c r="L453" i="20"/>
  <c r="L214" i="20"/>
  <c r="L286" i="20"/>
  <c r="L514" i="20"/>
  <c r="L1173" i="20"/>
  <c r="L761" i="20"/>
  <c r="L1063" i="20"/>
  <c r="L822" i="20"/>
  <c r="L958" i="20"/>
  <c r="L1189" i="20"/>
  <c r="L500" i="20"/>
  <c r="L1211" i="20"/>
  <c r="L1081" i="20"/>
  <c r="L779" i="20"/>
  <c r="L801" i="20"/>
  <c r="L1027" i="20"/>
  <c r="L523" i="20"/>
  <c r="L558" i="20"/>
  <c r="L1001" i="20"/>
  <c r="L683" i="20"/>
  <c r="L922" i="20"/>
  <c r="L591" i="20"/>
  <c r="L742" i="20"/>
  <c r="L644" i="20"/>
  <c r="L619" i="20"/>
  <c r="L1157" i="20"/>
  <c r="L780" i="20"/>
  <c r="L592" i="20"/>
  <c r="L885" i="20"/>
  <c r="L923" i="20"/>
  <c r="L701" i="20"/>
  <c r="L436" i="20"/>
  <c r="L499" i="20"/>
  <c r="L435" i="20"/>
  <c r="L839" i="20"/>
  <c r="L971" i="20"/>
  <c r="L524" i="20"/>
  <c r="L618" i="20"/>
  <c r="L741" i="20"/>
  <c r="L682" i="20"/>
  <c r="L1128" i="20"/>
  <c r="L1232" i="20"/>
  <c r="L417" i="20"/>
  <c r="L470" i="20"/>
  <c r="L559" i="20"/>
  <c r="L886" i="20"/>
  <c r="L858" i="20"/>
  <c r="L800" i="20"/>
  <c r="L859" i="20"/>
  <c r="L840" i="20"/>
  <c r="L471" i="20"/>
  <c r="L643" i="20"/>
  <c r="L418" i="20"/>
  <c r="L972" i="20"/>
  <c r="L1000" i="20"/>
  <c r="L948" i="20"/>
  <c r="L949" i="20"/>
  <c r="L1080" i="20"/>
  <c r="L702" i="20"/>
  <c r="L1028" i="20"/>
  <c r="L30" i="20"/>
  <c r="L64" i="20"/>
  <c r="L125" i="20"/>
  <c r="L41" i="20"/>
  <c r="L224" i="20"/>
  <c r="L97" i="20"/>
  <c r="L20" i="20"/>
  <c r="L13" i="20"/>
  <c r="L257" i="20"/>
  <c r="L274" i="20"/>
  <c r="L237" i="20"/>
  <c r="L294" i="20"/>
  <c r="L316" i="20"/>
  <c r="L1070" i="20"/>
  <c r="L1206" i="20"/>
  <c r="M511" i="20"/>
  <c r="M455" i="20"/>
  <c r="M426" i="20"/>
  <c r="M573" i="20"/>
  <c r="M481" i="20"/>
  <c r="M540" i="20"/>
  <c r="M382" i="20"/>
  <c r="M404" i="20"/>
  <c r="M8" i="20"/>
  <c r="M50" i="20"/>
  <c r="M138" i="20"/>
  <c r="M120" i="20"/>
  <c r="M40" i="20"/>
  <c r="M29" i="20"/>
  <c r="M190" i="20"/>
  <c r="M174" i="20"/>
  <c r="M243" i="20"/>
  <c r="M96" i="20"/>
  <c r="M278" i="20"/>
  <c r="M60" i="20"/>
  <c r="M225" i="20"/>
  <c r="M73" i="20"/>
  <c r="M88" i="20"/>
  <c r="M261" i="20"/>
  <c r="M19" i="20"/>
  <c r="M208" i="20"/>
  <c r="M14" i="20"/>
  <c r="L510" i="20"/>
  <c r="L301" i="20"/>
  <c r="L425" i="20"/>
  <c r="L1181" i="20"/>
  <c r="L65" i="20"/>
  <c r="L143" i="20"/>
  <c r="L107" i="20"/>
  <c r="L101" i="20"/>
  <c r="L728" i="20"/>
  <c r="L845" i="20"/>
  <c r="L129" i="20"/>
  <c r="L153" i="20"/>
  <c r="L253" i="20"/>
  <c r="L166" i="20"/>
  <c r="L87" i="20"/>
  <c r="L829" i="20"/>
  <c r="L569" i="20"/>
  <c r="L77" i="20"/>
  <c r="L228" i="20"/>
  <c r="L323" i="20"/>
  <c r="L1123" i="20"/>
  <c r="L115" i="20"/>
  <c r="L365" i="20"/>
  <c r="L604" i="20"/>
  <c r="L693" i="20"/>
  <c r="L534" i="20"/>
  <c r="L198" i="20"/>
  <c r="L636" i="20"/>
  <c r="L874" i="20"/>
  <c r="L403" i="20"/>
  <c r="L662" i="20"/>
  <c r="L794" i="20"/>
  <c r="L457" i="20"/>
  <c r="L1075" i="20"/>
  <c r="L1208" i="20"/>
  <c r="L181" i="20"/>
  <c r="L762" i="20"/>
  <c r="L1159" i="20"/>
  <c r="L1013" i="20"/>
  <c r="L480" i="20"/>
  <c r="L903" i="20"/>
  <c r="L1105" i="20"/>
  <c r="L1178" i="20"/>
  <c r="L1203" i="20"/>
  <c r="L937" i="20"/>
  <c r="L802" i="20"/>
  <c r="L985" i="20"/>
  <c r="L545" i="20"/>
  <c r="L879" i="20"/>
  <c r="L576" i="20"/>
  <c r="L601" i="20"/>
  <c r="L517" i="20"/>
  <c r="L764" i="20"/>
  <c r="L824" i="20"/>
  <c r="L668" i="20"/>
  <c r="L1064" i="20"/>
  <c r="L912" i="20"/>
  <c r="L634" i="20"/>
  <c r="L1015" i="20"/>
  <c r="L1150" i="20"/>
  <c r="L1045" i="20"/>
  <c r="L734" i="20"/>
  <c r="L1124" i="20"/>
  <c r="L485" i="20"/>
  <c r="L849" i="20"/>
  <c r="L960" i="20"/>
  <c r="L709" i="20"/>
  <c r="M532" i="20"/>
  <c r="M335" i="20"/>
  <c r="M1143" i="20"/>
  <c r="M892" i="20"/>
  <c r="M1093" i="20"/>
  <c r="M264" i="20"/>
  <c r="M562" i="20"/>
  <c r="M594" i="20"/>
  <c r="M280" i="20"/>
  <c r="M421" i="20"/>
  <c r="M245" i="20"/>
  <c r="M925" i="20"/>
  <c r="M210" i="20"/>
  <c r="M689" i="20"/>
  <c r="M192" i="20"/>
  <c r="M447" i="20"/>
  <c r="M227" i="20"/>
  <c r="M720" i="20"/>
  <c r="M621" i="20"/>
  <c r="M783" i="20"/>
  <c r="M1030" i="20"/>
  <c r="M752" i="20"/>
  <c r="M473" i="20"/>
  <c r="M377" i="20"/>
  <c r="M651" i="20"/>
  <c r="M810" i="20"/>
  <c r="M314" i="20"/>
  <c r="M396" i="20"/>
  <c r="M1190" i="20"/>
  <c r="M995" i="20"/>
  <c r="M868" i="20"/>
  <c r="M359" i="20"/>
  <c r="M502" i="20"/>
  <c r="M951" i="20"/>
  <c r="L1016" i="20"/>
  <c r="L516" i="20"/>
  <c r="L850" i="20"/>
  <c r="L1065" i="20"/>
  <c r="L1179" i="20"/>
  <c r="L735" i="20"/>
  <c r="L578" i="20"/>
  <c r="L669" i="20"/>
  <c r="L1046" i="20"/>
  <c r="L826" i="20"/>
  <c r="L961" i="20"/>
  <c r="L486" i="20"/>
  <c r="L1204" i="20"/>
  <c r="L635" i="20"/>
  <c r="L546" i="20"/>
  <c r="L765" i="20"/>
  <c r="L1125" i="20"/>
  <c r="L1151" i="20"/>
  <c r="L880" i="20"/>
  <c r="L1107" i="20"/>
  <c r="L603" i="20"/>
  <c r="L986" i="20"/>
  <c r="L938" i="20"/>
  <c r="L703" i="20"/>
  <c r="L910" i="20"/>
  <c r="L803" i="20"/>
  <c r="L140" i="20"/>
  <c r="L306" i="20"/>
  <c r="L149" i="20"/>
  <c r="L173" i="20"/>
  <c r="L223" i="20"/>
  <c r="L160" i="20"/>
  <c r="L582" i="20"/>
  <c r="L255" i="20"/>
  <c r="L392" i="20"/>
  <c r="L271" i="20"/>
  <c r="L409" i="20"/>
  <c r="L242" i="20"/>
  <c r="L373" i="20"/>
  <c r="L344" i="20"/>
  <c r="L191" i="20"/>
  <c r="L712" i="20"/>
  <c r="L325" i="20"/>
  <c r="L289" i="20"/>
  <c r="L492" i="20"/>
  <c r="L647" i="20"/>
  <c r="L807" i="20"/>
  <c r="L613" i="20"/>
  <c r="L771" i="20"/>
  <c r="L474" i="20"/>
  <c r="L832" i="20"/>
  <c r="L526" i="20"/>
  <c r="L438" i="20"/>
  <c r="L207" i="20"/>
  <c r="L748" i="20"/>
  <c r="L550" i="20"/>
  <c r="L1186" i="20"/>
  <c r="L584" i="20"/>
  <c r="L530" i="20"/>
  <c r="L375" i="20"/>
  <c r="L553" i="20"/>
  <c r="L413" i="20"/>
  <c r="L834" i="20"/>
  <c r="L1019" i="20"/>
  <c r="L494" i="20"/>
  <c r="L991" i="20"/>
  <c r="L676" i="20"/>
  <c r="L966" i="20"/>
  <c r="L812" i="20"/>
  <c r="L352" i="20"/>
  <c r="L429" i="20"/>
  <c r="L394" i="20"/>
  <c r="L464" i="20"/>
  <c r="L624" i="20"/>
  <c r="L772" i="20"/>
  <c r="L328" i="20"/>
  <c r="L888" i="20"/>
  <c r="L1111" i="20"/>
  <c r="L1084" i="20"/>
  <c r="L916" i="20"/>
  <c r="L750" i="20"/>
  <c r="L655" i="20"/>
  <c r="L864" i="20"/>
  <c r="L716" i="20"/>
  <c r="L1134" i="20"/>
  <c r="L1050" i="20"/>
  <c r="L1168" i="20"/>
  <c r="L933" i="20"/>
  <c r="L1213" i="20"/>
  <c r="L947" i="20"/>
  <c r="L590" i="20"/>
  <c r="L1025" i="20"/>
  <c r="L699" i="20"/>
  <c r="L946" i="20"/>
  <c r="L1127" i="20"/>
  <c r="L969" i="20"/>
  <c r="L1153" i="20"/>
  <c r="L883" i="20"/>
  <c r="L1210" i="20"/>
  <c r="L433" i="20"/>
  <c r="L641" i="20"/>
  <c r="L642" i="20"/>
  <c r="L778" i="20"/>
  <c r="L739" i="20"/>
  <c r="L556" i="20"/>
  <c r="L740" i="20"/>
  <c r="L522" i="20"/>
  <c r="L498" i="20"/>
  <c r="L557" i="20"/>
  <c r="L617" i="20"/>
  <c r="L798" i="20"/>
  <c r="L681" i="20"/>
  <c r="L970" i="20"/>
  <c r="L857" i="20"/>
  <c r="L799" i="20"/>
  <c r="L777" i="20"/>
  <c r="L468" i="20"/>
  <c r="L700" i="20"/>
  <c r="L589" i="20"/>
  <c r="L521" i="20"/>
  <c r="L497" i="20"/>
  <c r="L680" i="20"/>
  <c r="L469" i="20"/>
  <c r="L856" i="20"/>
  <c r="L1079" i="20"/>
  <c r="L998" i="20"/>
  <c r="L999" i="20"/>
  <c r="L1078" i="20"/>
  <c r="L434" i="20"/>
  <c r="L385" i="20"/>
  <c r="L616" i="20"/>
  <c r="L884" i="20"/>
  <c r="L921" i="20"/>
  <c r="L386" i="20"/>
  <c r="L1026" i="20"/>
  <c r="L1231" i="20"/>
  <c r="L920" i="20"/>
  <c r="L838" i="20"/>
  <c r="L837" i="20"/>
  <c r="M1144" i="20"/>
  <c r="M1199" i="20"/>
  <c r="M894" i="20"/>
  <c r="L350" i="20"/>
  <c r="L137" i="20"/>
  <c r="L292" i="20"/>
  <c r="L252" i="20"/>
  <c r="L7" i="20"/>
  <c r="L148" i="20"/>
  <c r="L172" i="20"/>
  <c r="L220" i="20"/>
  <c r="L49" i="20"/>
  <c r="L206" i="20"/>
  <c r="L18" i="20"/>
  <c r="L241" i="20"/>
  <c r="L82" i="20"/>
  <c r="L189" i="20"/>
  <c r="L277" i="20"/>
  <c r="L119" i="20"/>
  <c r="L300" i="20"/>
  <c r="L38" i="20"/>
  <c r="L95" i="20"/>
  <c r="L12" i="20"/>
  <c r="L59" i="20"/>
  <c r="L72" i="20"/>
  <c r="L333" i="20"/>
  <c r="L311" i="20"/>
  <c r="L159" i="20"/>
  <c r="L28" i="20"/>
  <c r="M201" i="20"/>
  <c r="M1063" i="20"/>
  <c r="M108" i="20"/>
  <c r="M1173" i="20"/>
  <c r="M1146" i="20"/>
  <c r="M320" i="20"/>
  <c r="M36" i="20"/>
  <c r="M958" i="20"/>
  <c r="M936" i="20"/>
  <c r="M165" i="20"/>
  <c r="M44" i="20"/>
  <c r="M99" i="20"/>
  <c r="M315" i="20"/>
  <c r="M142" i="20"/>
  <c r="M114" i="20"/>
  <c r="M180" i="20"/>
  <c r="M128" i="20"/>
  <c r="M600" i="20"/>
  <c r="M402" i="20"/>
  <c r="M727" i="20"/>
  <c r="M844" i="20"/>
  <c r="M249" i="20"/>
  <c r="M53" i="20"/>
  <c r="M430" i="20"/>
  <c r="M543" i="20"/>
  <c r="M478" i="20"/>
  <c r="M692" i="20"/>
  <c r="M902" i="20"/>
  <c r="M364" i="20"/>
  <c r="M66" i="20"/>
  <c r="M378" i="20"/>
  <c r="M761" i="20"/>
  <c r="M32" i="20"/>
  <c r="M872" i="20"/>
  <c r="M625" i="20"/>
  <c r="M232" i="20"/>
  <c r="M270" i="20"/>
  <c r="M76" i="20"/>
  <c r="M1040" i="20"/>
  <c r="M657" i="20"/>
  <c r="M453" i="20"/>
  <c r="M214" i="20"/>
  <c r="M792" i="20"/>
  <c r="M1099" i="20"/>
  <c r="M286" i="20"/>
  <c r="M514" i="20"/>
  <c r="M822" i="20"/>
  <c r="M152" i="20"/>
  <c r="M341" i="20"/>
  <c r="M568" i="20"/>
  <c r="M978" i="20"/>
  <c r="M1197" i="20"/>
  <c r="M1009" i="20"/>
  <c r="M297" i="20"/>
  <c r="L183" i="20"/>
  <c r="L437" i="20"/>
  <c r="L823" i="20"/>
  <c r="L54" i="20"/>
  <c r="L388" i="20"/>
  <c r="L79" i="20"/>
  <c r="L33" i="20"/>
  <c r="L666" i="20"/>
  <c r="L102" i="20"/>
  <c r="L1154" i="20"/>
  <c r="L90" i="20"/>
  <c r="L217" i="20"/>
  <c r="L168" i="20"/>
  <c r="L1073" i="20"/>
  <c r="L185" i="20"/>
  <c r="L234" i="20"/>
  <c r="L123" i="20"/>
  <c r="L309" i="20"/>
  <c r="L23" i="20"/>
  <c r="L911" i="20"/>
  <c r="L68" i="20"/>
  <c r="L633" i="20"/>
  <c r="L155" i="20"/>
  <c r="L203" i="20"/>
  <c r="L110" i="20"/>
  <c r="L250" i="20"/>
  <c r="L528" i="20"/>
  <c r="L1214" i="20"/>
  <c r="L47" i="20"/>
  <c r="L745" i="20"/>
  <c r="L987" i="20"/>
  <c r="L770" i="20"/>
  <c r="L853" i="20"/>
  <c r="L1104" i="20"/>
  <c r="L22" i="20"/>
  <c r="L131" i="20"/>
  <c r="L355" i="20"/>
  <c r="L609" i="20"/>
  <c r="L490" i="20"/>
  <c r="L847" i="20"/>
  <c r="L397" i="20"/>
  <c r="L267" i="20"/>
  <c r="L177" i="20"/>
  <c r="L215" i="20"/>
  <c r="L357" i="20"/>
  <c r="L381" i="20"/>
  <c r="L1038" i="20"/>
  <c r="L955" i="20"/>
  <c r="L296" i="20"/>
  <c r="L322" i="20"/>
  <c r="L302" i="20"/>
  <c r="L1227" i="20"/>
  <c r="L536" i="20"/>
  <c r="L564" i="20"/>
  <c r="L197" i="20"/>
  <c r="L816" i="20"/>
  <c r="L596" i="20"/>
  <c r="L336" i="20"/>
  <c r="L785" i="20"/>
  <c r="L686" i="20"/>
  <c r="L247" i="20"/>
  <c r="L239" i="20"/>
  <c r="L449" i="20"/>
  <c r="L652" i="20"/>
  <c r="L161" i="20"/>
  <c r="L627" i="20"/>
  <c r="L476" i="20"/>
  <c r="L1118" i="20"/>
  <c r="L1010" i="20"/>
  <c r="L503" i="20"/>
  <c r="L282" i="20"/>
  <c r="L722" i="20"/>
  <c r="L930" i="20"/>
  <c r="L871" i="20"/>
  <c r="L900" i="20"/>
  <c r="L1096" i="20"/>
  <c r="L974" i="20"/>
  <c r="L1148" i="20"/>
  <c r="L419" i="20"/>
  <c r="L754" i="20"/>
  <c r="L1172" i="20"/>
  <c r="L60" i="20"/>
  <c r="L174" i="20"/>
  <c r="L8" i="20"/>
  <c r="L138" i="20"/>
  <c r="L40" i="20"/>
  <c r="L88" i="20"/>
  <c r="L29" i="20"/>
  <c r="L190" i="20"/>
  <c r="L50" i="20"/>
  <c r="L19" i="20"/>
  <c r="L120" i="20"/>
  <c r="L96" i="20"/>
  <c r="L278" i="20"/>
  <c r="L261" i="20"/>
  <c r="L208" i="20"/>
  <c r="L73" i="20"/>
  <c r="L225" i="20"/>
  <c r="L243" i="20"/>
  <c r="L14" i="20"/>
  <c r="M1027" i="20"/>
  <c r="M948" i="20"/>
  <c r="M523" i="20"/>
  <c r="M1080" i="20"/>
  <c r="M558" i="20"/>
  <c r="M801" i="20"/>
  <c r="M923" i="20"/>
  <c r="M500" i="20"/>
  <c r="M922" i="20"/>
  <c r="M972" i="20"/>
  <c r="M1081" i="20"/>
  <c r="M971" i="20"/>
  <c r="M780" i="20"/>
  <c r="M436" i="20"/>
  <c r="M742" i="20"/>
  <c r="M886" i="20"/>
  <c r="M471" i="20"/>
  <c r="M859" i="20"/>
  <c r="M470" i="20"/>
  <c r="M1157" i="20"/>
  <c r="M592" i="20"/>
  <c r="M1028" i="20"/>
  <c r="M618" i="20"/>
  <c r="M499" i="20"/>
  <c r="M435" i="20"/>
  <c r="M839" i="20"/>
  <c r="M524" i="20"/>
  <c r="M741" i="20"/>
  <c r="M682" i="20"/>
  <c r="M701" i="20"/>
  <c r="M702" i="20"/>
  <c r="M840" i="20"/>
  <c r="M858" i="20"/>
  <c r="M885" i="20"/>
  <c r="M417" i="20"/>
  <c r="M644" i="20"/>
  <c r="M1232" i="20"/>
  <c r="M1001" i="20"/>
  <c r="M1189" i="20"/>
  <c r="M619" i="20"/>
  <c r="M559" i="20"/>
  <c r="M591" i="20"/>
  <c r="M800" i="20"/>
  <c r="M683" i="20"/>
  <c r="M779" i="20"/>
  <c r="M949" i="20"/>
  <c r="M643" i="20"/>
  <c r="M418" i="20"/>
  <c r="M1211" i="20"/>
  <c r="M1000" i="20"/>
  <c r="M1128" i="20"/>
  <c r="M1163" i="20"/>
  <c r="M1087" i="20"/>
  <c r="M993" i="20"/>
  <c r="M571" i="20"/>
  <c r="M1176" i="20"/>
  <c r="M369" i="20"/>
  <c r="M1216" i="20"/>
  <c r="M907" i="20"/>
  <c r="M674" i="20"/>
  <c r="M1051" i="20"/>
  <c r="M439" i="20"/>
  <c r="M491" i="20"/>
  <c r="M351" i="20"/>
  <c r="M544" i="20"/>
  <c r="M1022" i="20"/>
  <c r="M612" i="20"/>
  <c r="M410" i="20"/>
  <c r="M890" i="20"/>
  <c r="M808" i="20"/>
  <c r="M736" i="20"/>
  <c r="M766" i="20"/>
  <c r="M866" i="20"/>
  <c r="M518" i="20"/>
  <c r="M638" i="20"/>
  <c r="M717" i="20"/>
  <c r="M830" i="20"/>
  <c r="M943" i="20"/>
  <c r="M963" i="20"/>
  <c r="M1130" i="20"/>
  <c r="M458" i="20"/>
  <c r="M1109" i="20"/>
  <c r="M391" i="20"/>
  <c r="L1193" i="20"/>
  <c r="L1194" i="20"/>
  <c r="L1235" i="20"/>
  <c r="L1223" i="20"/>
  <c r="L1219" i="20"/>
  <c r="L1237" i="20"/>
  <c r="L1215" i="20"/>
  <c r="L1192" i="20"/>
  <c r="L1236" i="20"/>
  <c r="L1220" i="20"/>
  <c r="M982" i="20"/>
  <c r="M1195" i="20"/>
  <c r="M1222" i="20"/>
  <c r="M1062" i="20"/>
  <c r="M1102" i="20"/>
  <c r="M1014" i="20"/>
  <c r="M1140" i="20"/>
  <c r="M1161" i="20"/>
  <c r="M1044" i="20"/>
  <c r="L918" i="20"/>
  <c r="L116" i="20"/>
  <c r="L919" i="20"/>
  <c r="L614" i="20"/>
  <c r="L835" i="20"/>
  <c r="L881" i="20"/>
  <c r="L520" i="20"/>
  <c r="L432" i="20"/>
  <c r="L1209" i="20"/>
  <c r="L697" i="20"/>
  <c r="L738" i="20"/>
  <c r="L836" i="20"/>
  <c r="L466" i="20"/>
  <c r="L467" i="20"/>
  <c r="L496" i="20"/>
  <c r="L968" i="20"/>
  <c r="L640" i="20"/>
  <c r="L519" i="20"/>
  <c r="L678" i="20"/>
  <c r="L797" i="20"/>
  <c r="L587" i="20"/>
  <c r="L416" i="20"/>
  <c r="L588" i="20"/>
  <c r="L854" i="20"/>
  <c r="L945" i="20"/>
  <c r="L431" i="20"/>
  <c r="L555" i="20"/>
  <c r="L679" i="20"/>
  <c r="L615" i="20"/>
  <c r="L776" i="20"/>
  <c r="L737" i="20"/>
  <c r="L855" i="20"/>
  <c r="L639" i="20"/>
  <c r="L1152" i="20"/>
  <c r="L495" i="20"/>
  <c r="L997" i="20"/>
  <c r="L796" i="20"/>
  <c r="L698" i="20"/>
  <c r="L1187" i="20"/>
  <c r="L1024" i="20"/>
  <c r="L967" i="20"/>
  <c r="L415" i="20"/>
  <c r="L944" i="20"/>
  <c r="L1126" i="20"/>
  <c r="L554" i="20"/>
  <c r="L1076" i="20"/>
  <c r="L1023" i="20"/>
  <c r="L882" i="20"/>
  <c r="L775" i="20"/>
  <c r="L1077" i="20"/>
  <c r="L1230" i="20"/>
  <c r="L996" i="20"/>
  <c r="M135" i="20"/>
  <c r="M186" i="20"/>
  <c r="M483" i="20"/>
  <c r="M146" i="20"/>
  <c r="M117" i="20"/>
  <c r="M897" i="20"/>
  <c r="M175" i="20"/>
  <c r="M258" i="20"/>
  <c r="M580" i="20"/>
  <c r="M157" i="20"/>
  <c r="M646" i="20"/>
  <c r="M608" i="20"/>
  <c r="M673" i="20"/>
  <c r="M711" i="20"/>
  <c r="M548" i="20"/>
  <c r="M768" i="20"/>
  <c r="M525" i="20"/>
  <c r="M273" i="20"/>
  <c r="M222" i="20"/>
  <c r="M348" i="20"/>
  <c r="M746" i="20"/>
  <c r="M332" i="20"/>
  <c r="M204" i="20"/>
  <c r="M211" i="20"/>
  <c r="M26" i="20"/>
  <c r="M62" i="20"/>
  <c r="M124" i="20"/>
  <c r="M74" i="20"/>
  <c r="M9" i="20"/>
  <c r="M150" i="20"/>
  <c r="M194" i="20"/>
  <c r="M139" i="20"/>
  <c r="M293" i="20"/>
  <c r="M285" i="20"/>
  <c r="M178" i="20"/>
  <c r="M42" i="20"/>
  <c r="M268" i="20"/>
  <c r="M229" i="20"/>
  <c r="M164" i="20"/>
  <c r="M51" i="20"/>
  <c r="M987" i="20"/>
  <c r="M388" i="20"/>
  <c r="M79" i="20"/>
  <c r="M54" i="20"/>
  <c r="M90" i="20"/>
  <c r="M1214" i="20"/>
  <c r="M217" i="20"/>
  <c r="M1104" i="20"/>
  <c r="M1154" i="20"/>
  <c r="M185" i="20"/>
  <c r="M234" i="20"/>
  <c r="M666" i="20"/>
  <c r="M102" i="20"/>
  <c r="M309" i="20"/>
  <c r="M23" i="20"/>
  <c r="M33" i="20"/>
  <c r="M633" i="20"/>
  <c r="M168" i="20"/>
  <c r="M68" i="20"/>
  <c r="M123" i="20"/>
  <c r="M155" i="20"/>
  <c r="M528" i="20"/>
  <c r="M770" i="20"/>
  <c r="M203" i="20"/>
  <c r="M22" i="20"/>
  <c r="M47" i="20"/>
  <c r="M131" i="20"/>
  <c r="M250" i="20"/>
  <c r="M745" i="20"/>
  <c r="M911" i="20"/>
  <c r="M823" i="20"/>
  <c r="M853" i="20"/>
  <c r="M355" i="20"/>
  <c r="M490" i="20"/>
  <c r="M609" i="20"/>
  <c r="M1073" i="20"/>
  <c r="M110" i="20"/>
  <c r="L868" i="20"/>
  <c r="L951" i="20"/>
  <c r="L532" i="20"/>
  <c r="L335" i="20"/>
  <c r="L995" i="20"/>
  <c r="L1143" i="20"/>
  <c r="L280" i="20"/>
  <c r="L227" i="20"/>
  <c r="L264" i="20"/>
  <c r="L421" i="20"/>
  <c r="L892" i="20"/>
  <c r="L245" i="20"/>
  <c r="L783" i="20"/>
  <c r="L473" i="20"/>
  <c r="L377" i="20"/>
  <c r="L621" i="20"/>
  <c r="L594" i="20"/>
  <c r="L210" i="20"/>
  <c r="L689" i="20"/>
  <c r="L651" i="20"/>
  <c r="L192" i="20"/>
  <c r="L447" i="20"/>
  <c r="L1030" i="20"/>
  <c r="L720" i="20"/>
  <c r="L562" i="20"/>
  <c r="L502" i="20"/>
  <c r="L925" i="20"/>
  <c r="L1190" i="20"/>
  <c r="L314" i="20"/>
  <c r="L810" i="20"/>
  <c r="L752" i="20"/>
  <c r="L396" i="20"/>
  <c r="L359" i="20"/>
  <c r="L1093" i="20"/>
  <c r="M884" i="20"/>
  <c r="M1078" i="20"/>
  <c r="M1153" i="20"/>
  <c r="M1025" i="20"/>
  <c r="M739" i="20"/>
  <c r="M1210" i="20"/>
  <c r="M433" i="20"/>
  <c r="M1127" i="20"/>
  <c r="M590" i="20"/>
  <c r="M522" i="20"/>
  <c r="M641" i="20"/>
  <c r="M556" i="20"/>
  <c r="M616" i="20"/>
  <c r="M740" i="20"/>
  <c r="M498" i="20"/>
  <c r="M617" i="20"/>
  <c r="M1026" i="20"/>
  <c r="M385" i="20"/>
  <c r="M799" i="20"/>
  <c r="M777" i="20"/>
  <c r="M468" i="20"/>
  <c r="M700" i="20"/>
  <c r="M589" i="20"/>
  <c r="M521" i="20"/>
  <c r="M642" i="20"/>
  <c r="M857" i="20"/>
  <c r="M778" i="20"/>
  <c r="M497" i="20"/>
  <c r="M798" i="20"/>
  <c r="M921" i="20"/>
  <c r="M557" i="20"/>
  <c r="M469" i="20"/>
  <c r="M1231" i="20"/>
  <c r="M837" i="20"/>
  <c r="M699" i="20"/>
  <c r="M1079" i="20"/>
  <c r="M680" i="20"/>
  <c r="M947" i="20"/>
  <c r="M434" i="20"/>
  <c r="M998" i="20"/>
  <c r="M856" i="20"/>
  <c r="M386" i="20"/>
  <c r="M883" i="20"/>
  <c r="M946" i="20"/>
  <c r="M970" i="20"/>
  <c r="M920" i="20"/>
  <c r="M838" i="20"/>
  <c r="M969" i="20"/>
  <c r="M681" i="20"/>
  <c r="M999" i="20"/>
  <c r="M1061" i="20"/>
  <c r="M941" i="20"/>
  <c r="M1047" i="20"/>
  <c r="M1218" i="20"/>
  <c r="M1234" i="20"/>
  <c r="M1160" i="20"/>
  <c r="M1184" i="20"/>
  <c r="M1121" i="20"/>
  <c r="M1101" i="20"/>
  <c r="M366" i="20"/>
  <c r="M342" i="20"/>
  <c r="M572" i="20"/>
  <c r="M875" i="20"/>
  <c r="M820" i="20"/>
  <c r="M848" i="20"/>
  <c r="M795" i="20"/>
  <c r="M981" i="20"/>
  <c r="M542" i="20"/>
  <c r="M1020" i="20"/>
  <c r="M664" i="20"/>
  <c r="M695" i="20"/>
  <c r="M763" i="20"/>
  <c r="M729" i="20"/>
  <c r="M904" i="20"/>
  <c r="L1195" i="20"/>
  <c r="L1161" i="20"/>
  <c r="L1102" i="20"/>
  <c r="L1014" i="20"/>
  <c r="L1140" i="20"/>
  <c r="L982" i="20"/>
  <c r="L1062" i="20"/>
  <c r="L1044" i="20"/>
  <c r="L1222" i="20"/>
  <c r="M1050" i="20"/>
  <c r="M375" i="20"/>
  <c r="M888" i="20"/>
  <c r="M1168" i="20"/>
  <c r="M530" i="20"/>
  <c r="M553" i="20"/>
  <c r="M394" i="20"/>
  <c r="M916" i="20"/>
  <c r="M413" i="20"/>
  <c r="M991" i="20"/>
  <c r="M812" i="20"/>
  <c r="M1019" i="20"/>
  <c r="M429" i="20"/>
  <c r="M494" i="20"/>
  <c r="M352" i="20"/>
  <c r="M464" i="20"/>
  <c r="M716" i="20"/>
  <c r="M772" i="20"/>
  <c r="M834" i="20"/>
  <c r="M750" i="20"/>
  <c r="M966" i="20"/>
  <c r="M1186" i="20"/>
  <c r="M584" i="20"/>
  <c r="M328" i="20"/>
  <c r="M1134" i="20"/>
  <c r="M655" i="20"/>
  <c r="M864" i="20"/>
  <c r="M676" i="20"/>
  <c r="M1111" i="20"/>
  <c r="M1084" i="20"/>
  <c r="M624" i="20"/>
  <c r="M933" i="20"/>
  <c r="M1213" i="20"/>
  <c r="L1144" i="20"/>
  <c r="L1199" i="20"/>
  <c r="L894" i="20"/>
  <c r="M183" i="20"/>
  <c r="M437" i="20"/>
  <c r="L1083" i="20"/>
  <c r="L915" i="20"/>
  <c r="L1049" i="20"/>
  <c r="L428" i="20"/>
  <c r="L887" i="20"/>
  <c r="L622" i="20"/>
  <c r="L1185" i="20"/>
  <c r="L353" i="20"/>
  <c r="L833" i="20"/>
  <c r="L715" i="20"/>
  <c r="L493" i="20"/>
  <c r="L654" i="20"/>
  <c r="L463" i="20"/>
  <c r="L411" i="20"/>
  <c r="L675" i="20"/>
  <c r="L552" i="20"/>
  <c r="L749" i="20"/>
  <c r="L529" i="20"/>
  <c r="L1018" i="20"/>
  <c r="L965" i="20"/>
  <c r="L811" i="20"/>
  <c r="L862" i="20"/>
  <c r="L374" i="20"/>
  <c r="L329" i="20"/>
  <c r="L393" i="20"/>
  <c r="L1133" i="20"/>
  <c r="L1110" i="20"/>
  <c r="L773" i="20"/>
  <c r="L932" i="20"/>
  <c r="L1212" i="20"/>
  <c r="L990" i="20"/>
  <c r="L1167" i="20"/>
  <c r="M260" i="20"/>
  <c r="M304" i="20"/>
  <c r="M112" i="20"/>
  <c r="M231" i="20"/>
  <c r="M127" i="20"/>
  <c r="M182" i="20"/>
  <c r="M84" i="20"/>
  <c r="M465" i="20"/>
  <c r="M86" i="20"/>
  <c r="M412" i="20"/>
  <c r="M445" i="20"/>
  <c r="L632" i="20"/>
  <c r="L1108" i="20"/>
  <c r="L132" i="20"/>
  <c r="L34" i="20"/>
  <c r="L1155" i="20"/>
  <c r="L1074" i="20"/>
  <c r="L46" i="20"/>
  <c r="L852" i="20"/>
  <c r="L91" i="20"/>
  <c r="L144" i="20"/>
  <c r="L308" i="20"/>
  <c r="L78" i="20"/>
  <c r="L169" i="20"/>
  <c r="L202" i="20"/>
  <c r="L251" i="20"/>
  <c r="L154" i="20"/>
  <c r="L233" i="20"/>
  <c r="L109" i="20"/>
  <c r="L187" i="20"/>
  <c r="L55" i="20"/>
  <c r="L744" i="20"/>
  <c r="L610" i="20"/>
  <c r="L21" i="20"/>
  <c r="L24" i="20"/>
  <c r="L103" i="20"/>
  <c r="L913" i="20"/>
  <c r="L527" i="20"/>
  <c r="L825" i="20"/>
  <c r="L667" i="20"/>
  <c r="L489" i="20"/>
  <c r="L122" i="20"/>
  <c r="L769" i="20"/>
  <c r="L354" i="20"/>
  <c r="L389" i="20"/>
  <c r="L988" i="20"/>
  <c r="L67" i="20"/>
  <c r="L4" i="20"/>
  <c r="L980" i="20"/>
  <c r="L31" i="20"/>
  <c r="L1177" i="20"/>
  <c r="L89" i="20"/>
  <c r="L57" i="20"/>
  <c r="L790" i="20"/>
  <c r="L694" i="20"/>
  <c r="L367" i="20"/>
  <c r="L15" i="20"/>
  <c r="L130" i="20"/>
  <c r="L898" i="20"/>
  <c r="L1082" i="20"/>
  <c r="L977" i="20"/>
  <c r="L1059" i="20"/>
  <c r="L843" i="20"/>
  <c r="L141" i="20"/>
  <c r="L98" i="20"/>
  <c r="L126" i="20"/>
  <c r="L791" i="20"/>
  <c r="L212" i="20"/>
  <c r="L75" i="20"/>
  <c r="L362" i="20"/>
  <c r="L284" i="20"/>
  <c r="L1145" i="20"/>
  <c r="L230" i="20"/>
  <c r="L400" i="20"/>
  <c r="L318" i="20"/>
  <c r="L248" i="20"/>
  <c r="L179" i="20"/>
  <c r="L931" i="20"/>
  <c r="L598" i="20"/>
  <c r="L269" i="20"/>
  <c r="L113" i="20"/>
  <c r="L451" i="20"/>
  <c r="L339" i="20"/>
  <c r="L1012" i="20"/>
  <c r="L760" i="20"/>
  <c r="L565" i="20"/>
  <c r="L623" i="20"/>
  <c r="L690" i="20"/>
  <c r="L195" i="20"/>
  <c r="L538" i="20"/>
  <c r="L85" i="20"/>
  <c r="L379" i="20"/>
  <c r="L477" i="20"/>
  <c r="L506" i="20"/>
  <c r="L213" i="20"/>
  <c r="L423" i="20"/>
  <c r="L725" i="20"/>
  <c r="L901" i="20"/>
  <c r="L63" i="20"/>
  <c r="L151" i="20"/>
  <c r="L661" i="20"/>
  <c r="L1039" i="20"/>
  <c r="L106" i="20"/>
  <c r="L817" i="20"/>
  <c r="M1203" i="20"/>
  <c r="M1178" i="20"/>
  <c r="M802" i="20"/>
  <c r="M1064" i="20"/>
  <c r="M1124" i="20"/>
  <c r="M985" i="20"/>
  <c r="M1045" i="20"/>
  <c r="M576" i="20"/>
  <c r="M601" i="20"/>
  <c r="M849" i="20"/>
  <c r="M1105" i="20"/>
  <c r="M912" i="20"/>
  <c r="M668" i="20"/>
  <c r="M545" i="20"/>
  <c r="M485" i="20"/>
  <c r="M634" i="20"/>
  <c r="M879" i="20"/>
  <c r="M1015" i="20"/>
  <c r="M937" i="20"/>
  <c r="M960" i="20"/>
  <c r="M764" i="20"/>
  <c r="M824" i="20"/>
  <c r="M517" i="20"/>
  <c r="M709" i="20"/>
  <c r="M1150" i="20"/>
  <c r="M734" i="20"/>
  <c r="L361" i="20"/>
  <c r="L440" i="20"/>
  <c r="L288" i="20"/>
  <c r="L16" i="20"/>
  <c r="L865" i="20"/>
  <c r="L83" i="20"/>
  <c r="L56" i="20"/>
  <c r="L818" i="20"/>
  <c r="L299" i="20"/>
  <c r="L1004" i="20"/>
  <c r="L1131" i="20"/>
  <c r="L340" i="20"/>
  <c r="L414" i="20"/>
  <c r="L10" i="20"/>
  <c r="L3" i="20"/>
  <c r="L111" i="20"/>
  <c r="L1033" i="20"/>
  <c r="L448" i="20"/>
  <c r="L121" i="20"/>
  <c r="L167" i="20"/>
  <c r="L92" i="20"/>
  <c r="L163" i="20"/>
  <c r="L330" i="20"/>
  <c r="L2" i="20"/>
  <c r="L896" i="20"/>
  <c r="L757" i="20"/>
  <c r="L70" i="20"/>
  <c r="L184" i="20"/>
  <c r="L145" i="20"/>
  <c r="L1175" i="20"/>
  <c r="L275" i="20"/>
  <c r="L5" i="20"/>
  <c r="L928" i="20"/>
  <c r="L317" i="20"/>
  <c r="L134" i="20"/>
  <c r="L236" i="20"/>
  <c r="L505" i="20"/>
  <c r="L43" i="20"/>
  <c r="L100" i="20"/>
  <c r="L200" i="20"/>
  <c r="L25" i="20"/>
  <c r="L262" i="20"/>
  <c r="L595" i="20"/>
  <c r="L1100" i="20"/>
  <c r="L39" i="20"/>
  <c r="L52" i="20"/>
  <c r="L685" i="20"/>
  <c r="L1233" i="20"/>
  <c r="L462" i="20"/>
  <c r="L218" i="20"/>
  <c r="L399" i="20"/>
  <c r="L563" i="20"/>
  <c r="L786" i="20"/>
  <c r="L954" i="20"/>
  <c r="L841" i="20"/>
  <c r="L372" i="20"/>
  <c r="L1196" i="20"/>
  <c r="L533" i="20"/>
  <c r="L724" i="20"/>
  <c r="L1060" i="20"/>
  <c r="L656" i="20"/>
  <c r="M843" i="20"/>
  <c r="M98" i="20"/>
  <c r="M126" i="20"/>
  <c r="M212" i="20"/>
  <c r="M248" i="20"/>
  <c r="M63" i="20"/>
  <c r="M1039" i="20"/>
  <c r="M75" i="20"/>
  <c r="M284" i="20"/>
  <c r="M1145" i="20"/>
  <c r="M506" i="20"/>
  <c r="M213" i="20"/>
  <c r="M230" i="20"/>
  <c r="M141" i="20"/>
  <c r="M179" i="20"/>
  <c r="M362" i="20"/>
  <c r="M598" i="20"/>
  <c r="M113" i="20"/>
  <c r="M451" i="20"/>
  <c r="M339" i="20"/>
  <c r="M400" i="20"/>
  <c r="M760" i="20"/>
  <c r="M565" i="20"/>
  <c r="M623" i="20"/>
  <c r="M318" i="20"/>
  <c r="M690" i="20"/>
  <c r="M195" i="20"/>
  <c r="M725" i="20"/>
  <c r="M379" i="20"/>
  <c r="M1012" i="20"/>
  <c r="M477" i="20"/>
  <c r="M661" i="20"/>
  <c r="M791" i="20"/>
  <c r="M269" i="20"/>
  <c r="M106" i="20"/>
  <c r="M817" i="20"/>
  <c r="M423" i="20"/>
  <c r="M538" i="20"/>
  <c r="M85" i="20"/>
  <c r="M1059" i="20"/>
  <c r="M151" i="20"/>
  <c r="M901" i="20"/>
  <c r="M931" i="20"/>
  <c r="M977" i="20"/>
  <c r="L511" i="20"/>
  <c r="L382" i="20"/>
  <c r="L455" i="20"/>
  <c r="L404" i="20"/>
  <c r="L573" i="20"/>
  <c r="L481" i="20"/>
  <c r="L426" i="20"/>
  <c r="L540" i="20"/>
  <c r="M1089" i="20"/>
  <c r="M1139" i="20"/>
  <c r="M1166" i="20"/>
  <c r="M1090" i="20"/>
  <c r="M1169" i="20"/>
  <c r="M1137" i="20"/>
  <c r="M1165" i="20"/>
  <c r="M1138" i="20"/>
  <c r="M1113" i="20"/>
  <c r="M1112" i="20"/>
  <c r="M64" i="20"/>
  <c r="M13" i="20"/>
  <c r="M41" i="20"/>
  <c r="M30" i="20"/>
  <c r="M97" i="20"/>
  <c r="M20" i="20"/>
  <c r="M224" i="20"/>
  <c r="M257" i="20"/>
  <c r="M274" i="20"/>
  <c r="M237" i="20"/>
  <c r="M125" i="20"/>
  <c r="M294" i="20"/>
  <c r="M316" i="20"/>
  <c r="M1057" i="20"/>
  <c r="M1122" i="20"/>
  <c r="M1097" i="20"/>
  <c r="M1224" i="20"/>
  <c r="M1141" i="20"/>
  <c r="M1170" i="20"/>
  <c r="M1200" i="20"/>
  <c r="M83" i="20"/>
  <c r="M818" i="20"/>
  <c r="M1196" i="20"/>
  <c r="M1033" i="20"/>
  <c r="M1060" i="20"/>
  <c r="M218" i="20"/>
  <c r="M340" i="20"/>
  <c r="M121" i="20"/>
  <c r="M1131" i="20"/>
  <c r="M111" i="20"/>
  <c r="M1004" i="20"/>
  <c r="M448" i="20"/>
  <c r="M56" i="20"/>
  <c r="M5" i="20"/>
  <c r="M288" i="20"/>
  <c r="M2" i="20"/>
  <c r="M163" i="20"/>
  <c r="M299" i="20"/>
  <c r="M330" i="20"/>
  <c r="M414" i="20"/>
  <c r="M896" i="20"/>
  <c r="M757" i="20"/>
  <c r="M70" i="20"/>
  <c r="M184" i="20"/>
  <c r="M145" i="20"/>
  <c r="M1175" i="20"/>
  <c r="M52" i="20"/>
  <c r="M16" i="20"/>
  <c r="M317" i="20"/>
  <c r="M134" i="20"/>
  <c r="M236" i="20"/>
  <c r="M43" i="20"/>
  <c r="M1100" i="20"/>
  <c r="M167" i="20"/>
  <c r="M100" i="20"/>
  <c r="M200" i="20"/>
  <c r="M25" i="20"/>
  <c r="M262" i="20"/>
  <c r="M3" i="20"/>
  <c r="M399" i="20"/>
  <c r="M39" i="20"/>
  <c r="M685" i="20"/>
  <c r="M462" i="20"/>
  <c r="M563" i="20"/>
  <c r="M786" i="20"/>
  <c r="M865" i="20"/>
  <c r="M954" i="20"/>
  <c r="M92" i="20"/>
  <c r="M275" i="20"/>
  <c r="M928" i="20"/>
  <c r="M533" i="20"/>
  <c r="M724" i="20"/>
  <c r="M841" i="20"/>
  <c r="M656" i="20"/>
  <c r="M372" i="20"/>
  <c r="M505" i="20"/>
  <c r="M595" i="20"/>
  <c r="M1233" i="20"/>
  <c r="M10" i="20"/>
  <c r="L1225" i="20"/>
  <c r="L658" i="20"/>
  <c r="L1041" i="20"/>
  <c r="L507" i="20"/>
  <c r="L793" i="20"/>
  <c r="L363" i="20"/>
  <c r="L873" i="20"/>
  <c r="L380" i="20"/>
  <c r="L401" i="20"/>
  <c r="L759" i="20"/>
  <c r="L537" i="20"/>
  <c r="L424" i="20"/>
  <c r="L819" i="20"/>
  <c r="L1174" i="20"/>
  <c r="L452" i="20"/>
  <c r="L484" i="20"/>
  <c r="L599" i="20"/>
  <c r="L1058" i="20"/>
  <c r="L628" i="20"/>
  <c r="L940" i="20"/>
  <c r="L846" i="20"/>
  <c r="L691" i="20"/>
  <c r="L319" i="20"/>
  <c r="L1008" i="20"/>
  <c r="L1198" i="20"/>
  <c r="L726" i="20"/>
  <c r="L1120" i="20"/>
  <c r="L1098" i="20"/>
  <c r="L567" i="20"/>
  <c r="L979" i="20"/>
  <c r="L1149" i="20"/>
  <c r="L338" i="20"/>
  <c r="L908" i="20"/>
  <c r="L959" i="20"/>
  <c r="M602" i="20"/>
  <c r="M441" i="20"/>
  <c r="M560" i="20"/>
  <c r="M581" i="20"/>
  <c r="M677" i="20"/>
  <c r="M360" i="20"/>
  <c r="M718" i="20"/>
  <c r="L1109" i="20"/>
  <c r="L1130" i="20"/>
  <c r="L993" i="20"/>
  <c r="L369" i="20"/>
  <c r="L963" i="20"/>
  <c r="L907" i="20"/>
  <c r="L491" i="20"/>
  <c r="L1051" i="20"/>
  <c r="L736" i="20"/>
  <c r="L439" i="20"/>
  <c r="L351" i="20"/>
  <c r="L544" i="20"/>
  <c r="L612" i="20"/>
  <c r="L890" i="20"/>
  <c r="L391" i="20"/>
  <c r="L717" i="20"/>
  <c r="L1163" i="20"/>
  <c r="L766" i="20"/>
  <c r="L674" i="20"/>
  <c r="L830" i="20"/>
  <c r="L571" i="20"/>
  <c r="L410" i="20"/>
  <c r="L518" i="20"/>
  <c r="L808" i="20"/>
  <c r="L1216" i="20"/>
  <c r="L866" i="20"/>
  <c r="L943" i="20"/>
  <c r="L1087" i="20"/>
  <c r="L638" i="20"/>
  <c r="L1176" i="20"/>
  <c r="L458" i="20"/>
  <c r="L1022" i="20"/>
  <c r="L112" i="20"/>
  <c r="L260" i="20"/>
  <c r="L304" i="20"/>
  <c r="L231" i="20"/>
  <c r="L86" i="20"/>
  <c r="L127" i="20"/>
  <c r="L412" i="20"/>
  <c r="L445" i="20"/>
  <c r="L182" i="20"/>
  <c r="L84" i="20"/>
  <c r="L465" i="20"/>
  <c r="M913" i="20"/>
  <c r="M132" i="20"/>
  <c r="M34" i="20"/>
  <c r="M1074" i="20"/>
  <c r="M1155" i="20"/>
  <c r="M988" i="20"/>
  <c r="M308" i="20"/>
  <c r="M744" i="20"/>
  <c r="M825" i="20"/>
  <c r="M852" i="20"/>
  <c r="M78" i="20"/>
  <c r="M122" i="20"/>
  <c r="M169" i="20"/>
  <c r="M251" i="20"/>
  <c r="M154" i="20"/>
  <c r="M233" i="20"/>
  <c r="M46" i="20"/>
  <c r="M109" i="20"/>
  <c r="M55" i="20"/>
  <c r="M91" i="20"/>
  <c r="M202" i="20"/>
  <c r="M610" i="20"/>
  <c r="M21" i="20"/>
  <c r="M24" i="20"/>
  <c r="M103" i="20"/>
  <c r="M144" i="20"/>
  <c r="M489" i="20"/>
  <c r="M667" i="20"/>
  <c r="M769" i="20"/>
  <c r="M632" i="20"/>
  <c r="M389" i="20"/>
  <c r="M67" i="20"/>
  <c r="M1108" i="20"/>
  <c r="M187" i="20"/>
  <c r="M354" i="20"/>
  <c r="M527" i="20"/>
  <c r="L606" i="20"/>
  <c r="L574" i="20"/>
  <c r="L731" i="20"/>
  <c r="L663" i="20"/>
  <c r="L630" i="20"/>
  <c r="L707" i="20"/>
  <c r="M350" i="20"/>
  <c r="M137" i="20"/>
  <c r="M292" i="20"/>
  <c r="M82" i="20"/>
  <c r="M7" i="20"/>
  <c r="M220" i="20"/>
  <c r="M38" i="20"/>
  <c r="M49" i="20"/>
  <c r="M18" i="20"/>
  <c r="M300" i="20"/>
  <c r="M59" i="20"/>
  <c r="M277" i="20"/>
  <c r="M189" i="20"/>
  <c r="M206" i="20"/>
  <c r="M148" i="20"/>
  <c r="M252" i="20"/>
  <c r="M119" i="20"/>
  <c r="M159" i="20"/>
  <c r="M333" i="20"/>
  <c r="M95" i="20"/>
  <c r="M12" i="20"/>
  <c r="M241" i="20"/>
  <c r="M172" i="20"/>
  <c r="M72" i="20"/>
  <c r="M311" i="20"/>
  <c r="M28" i="20"/>
  <c r="L1162" i="20"/>
  <c r="L1115" i="20"/>
  <c r="L331" i="20"/>
  <c r="L305" i="20"/>
  <c r="L1135" i="20"/>
  <c r="L649" i="20"/>
  <c r="L743" i="20"/>
  <c r="L671" i="20"/>
  <c r="L371" i="20"/>
  <c r="L345" i="20"/>
  <c r="L461" i="20"/>
  <c r="L579" i="20"/>
  <c r="L407" i="20"/>
  <c r="L861" i="20"/>
  <c r="L1238" i="20"/>
  <c r="L444" i="20"/>
  <c r="L942" i="20"/>
  <c r="L1021" i="20"/>
  <c r="L547" i="20"/>
  <c r="L254" i="20"/>
  <c r="L705" i="20"/>
  <c r="L1086" i="20"/>
  <c r="L804" i="20"/>
  <c r="L992" i="20"/>
  <c r="L1183" i="20"/>
  <c r="L964" i="20"/>
  <c r="L889" i="20"/>
  <c r="L828" i="20"/>
  <c r="L774" i="20"/>
  <c r="L1221" i="20"/>
  <c r="M1167" i="20"/>
  <c r="M1018" i="20"/>
  <c r="M932" i="20"/>
  <c r="M811" i="20"/>
  <c r="M1049" i="20"/>
  <c r="M622" i="20"/>
  <c r="M411" i="20"/>
  <c r="M529" i="20"/>
  <c r="M990" i="20"/>
  <c r="M353" i="20"/>
  <c r="M749" i="20"/>
  <c r="M675" i="20"/>
  <c r="M428" i="20"/>
  <c r="M715" i="20"/>
  <c r="M1212" i="20"/>
  <c r="M1185" i="20"/>
  <c r="M965" i="20"/>
  <c r="M862" i="20"/>
  <c r="M1083" i="20"/>
  <c r="M1133" i="20"/>
  <c r="M374" i="20"/>
  <c r="M654" i="20"/>
  <c r="M329" i="20"/>
  <c r="M393" i="20"/>
  <c r="M552" i="20"/>
  <c r="M833" i="20"/>
  <c r="M463" i="20"/>
  <c r="M773" i="20"/>
  <c r="M1110" i="20"/>
  <c r="M915" i="20"/>
  <c r="M887" i="20"/>
  <c r="M493" i="20"/>
  <c r="L456" i="20"/>
  <c r="L541" i="20"/>
  <c r="L512" i="20"/>
  <c r="L482" i="20"/>
  <c r="L384" i="20"/>
  <c r="L405" i="20"/>
  <c r="L427" i="20"/>
  <c r="L962" i="20"/>
  <c r="L287" i="20"/>
  <c r="L94" i="20"/>
  <c r="L80" i="20"/>
  <c r="L1182" i="20"/>
  <c r="L265" i="20"/>
  <c r="L390" i="20"/>
  <c r="L171" i="20"/>
  <c r="L1129" i="20"/>
  <c r="L35" i="20"/>
  <c r="L105" i="20"/>
  <c r="L69" i="20"/>
  <c r="L133" i="20"/>
  <c r="L156" i="20"/>
  <c r="L235" i="20"/>
  <c r="L611" i="20"/>
  <c r="L939" i="20"/>
  <c r="L370" i="20"/>
  <c r="L1106" i="20"/>
  <c r="L406" i="20"/>
  <c r="L219" i="20"/>
  <c r="L45" i="20"/>
  <c r="L199" i="20"/>
  <c r="L459" i="20"/>
  <c r="L549" i="20"/>
  <c r="L851" i="20"/>
  <c r="L298" i="20"/>
  <c r="L805" i="20"/>
  <c r="L1042" i="20"/>
  <c r="L670" i="20"/>
  <c r="L346" i="20"/>
  <c r="L281" i="20"/>
  <c r="L442" i="20"/>
  <c r="L515" i="20"/>
  <c r="L1085" i="20"/>
  <c r="L767" i="20"/>
  <c r="L831" i="20"/>
  <c r="L1207" i="20"/>
  <c r="L989" i="20"/>
  <c r="L312" i="20"/>
  <c r="L577" i="20"/>
  <c r="L1158" i="20"/>
  <c r="L914" i="20"/>
  <c r="L1017" i="20"/>
  <c r="L733" i="20"/>
  <c r="L1229" i="20"/>
  <c r="L637" i="20"/>
  <c r="L327" i="20"/>
  <c r="L704" i="20"/>
  <c r="L488" i="20"/>
  <c r="L893" i="20"/>
  <c r="L708" i="20"/>
  <c r="L665" i="20"/>
  <c r="L732" i="20"/>
  <c r="L605" i="20"/>
  <c r="L575" i="20"/>
  <c r="L631" i="20"/>
  <c r="L256" i="20"/>
  <c r="L272" i="20"/>
  <c r="L307" i="20"/>
  <c r="L326" i="20"/>
  <c r="L290" i="20"/>
  <c r="L347" i="20"/>
  <c r="M456" i="20"/>
  <c r="M384" i="20"/>
  <c r="M482" i="20"/>
  <c r="M427" i="20"/>
  <c r="M541" i="20"/>
  <c r="M512" i="20"/>
  <c r="M405" i="20"/>
  <c r="M658" i="20"/>
  <c r="M1120" i="20"/>
  <c r="M1098" i="20"/>
  <c r="M401" i="20"/>
  <c r="M908" i="20"/>
  <c r="M1041" i="20"/>
  <c r="M363" i="20"/>
  <c r="M380" i="20"/>
  <c r="M726" i="20"/>
  <c r="M424" i="20"/>
  <c r="M507" i="20"/>
  <c r="M979" i="20"/>
  <c r="M1225" i="20"/>
  <c r="M484" i="20"/>
  <c r="M567" i="20"/>
  <c r="M691" i="20"/>
  <c r="M873" i="20"/>
  <c r="M338" i="20"/>
  <c r="M628" i="20"/>
  <c r="M819" i="20"/>
  <c r="M793" i="20"/>
  <c r="M846" i="20"/>
  <c r="M599" i="20"/>
  <c r="M319" i="20"/>
  <c r="M1008" i="20"/>
  <c r="M940" i="20"/>
  <c r="M452" i="20"/>
  <c r="M759" i="20"/>
  <c r="M537" i="20"/>
  <c r="M1058" i="20"/>
  <c r="M1149" i="20"/>
  <c r="M1174" i="20"/>
  <c r="M959" i="20"/>
  <c r="M1198" i="20"/>
  <c r="L211" i="20"/>
  <c r="L9" i="20"/>
  <c r="L26" i="20"/>
  <c r="L194" i="20"/>
  <c r="L74" i="20"/>
  <c r="L293" i="20"/>
  <c r="L178" i="20"/>
  <c r="L124" i="20"/>
  <c r="L150" i="20"/>
  <c r="L139" i="20"/>
  <c r="L285" i="20"/>
  <c r="L42" i="20"/>
  <c r="L51" i="20"/>
  <c r="L62" i="20"/>
  <c r="L268" i="20"/>
  <c r="L229" i="20"/>
  <c r="L164" i="20"/>
  <c r="L291" i="20"/>
  <c r="L221" i="20"/>
  <c r="L81" i="20"/>
  <c r="L37" i="20"/>
  <c r="L58" i="20"/>
  <c r="L276" i="20"/>
  <c r="L349" i="20"/>
  <c r="L27" i="20"/>
  <c r="L147" i="20"/>
  <c r="L6" i="20"/>
  <c r="L93" i="20"/>
  <c r="L17" i="20"/>
  <c r="L259" i="20"/>
  <c r="L118" i="20"/>
  <c r="L310" i="20"/>
  <c r="L136" i="20"/>
  <c r="L170" i="20"/>
  <c r="L48" i="20"/>
  <c r="L240" i="20"/>
  <c r="L71" i="20"/>
  <c r="L205" i="20"/>
  <c r="L188" i="20"/>
  <c r="L158" i="20"/>
  <c r="L11" i="20"/>
  <c r="M665" i="20"/>
  <c r="M708" i="20"/>
  <c r="M732" i="20"/>
  <c r="M605" i="20"/>
  <c r="M575" i="20"/>
  <c r="M631" i="20"/>
  <c r="L1147" i="20"/>
  <c r="L303" i="20"/>
  <c r="L899" i="20"/>
  <c r="L176" i="20"/>
  <c r="L383" i="20"/>
  <c r="L566" i="20"/>
  <c r="L283" i="20"/>
  <c r="L337" i="20"/>
  <c r="L356" i="20"/>
  <c r="L1171" i="20"/>
  <c r="L504" i="20"/>
  <c r="L295" i="20"/>
  <c r="L842" i="20"/>
  <c r="L246" i="20"/>
  <c r="L721" i="20"/>
  <c r="L870" i="20"/>
  <c r="L398" i="20"/>
  <c r="L216" i="20"/>
  <c r="L238" i="20"/>
  <c r="L753" i="20"/>
  <c r="L162" i="20"/>
  <c r="L196" i="20"/>
  <c r="L266" i="20"/>
  <c r="L787" i="20"/>
  <c r="L815" i="20"/>
  <c r="L422" i="20"/>
  <c r="L597" i="20"/>
  <c r="L535" i="20"/>
  <c r="L929" i="20"/>
  <c r="L626" i="20"/>
  <c r="L1226" i="20"/>
  <c r="L653" i="20"/>
  <c r="L475" i="20"/>
  <c r="L1056" i="20"/>
  <c r="L450" i="20"/>
  <c r="L321" i="20"/>
  <c r="L1011" i="20"/>
  <c r="L1095" i="20"/>
  <c r="L973" i="20"/>
  <c r="L684" i="20"/>
  <c r="L956" i="20"/>
  <c r="L1117" i="20"/>
  <c r="L1037" i="20"/>
  <c r="M606" i="20"/>
  <c r="M731" i="20"/>
  <c r="M574" i="20"/>
  <c r="M630" i="20"/>
  <c r="M663" i="20"/>
  <c r="M707" i="20"/>
  <c r="L876" i="20"/>
  <c r="L755" i="20"/>
  <c r="L659" i="20"/>
  <c r="L860" i="20"/>
  <c r="L788" i="20"/>
  <c r="L975" i="20"/>
  <c r="L713" i="20"/>
  <c r="L813" i="20"/>
  <c r="L1116" i="20"/>
  <c r="L730" i="20"/>
  <c r="L926" i="20"/>
  <c r="L1055" i="20"/>
  <c r="L1094" i="20"/>
  <c r="L1006" i="20"/>
  <c r="L1036" i="20"/>
  <c r="L952" i="20"/>
  <c r="M81" i="20"/>
  <c r="M58" i="20"/>
  <c r="M170" i="20"/>
  <c r="M276" i="20"/>
  <c r="M349" i="20"/>
  <c r="M259" i="20"/>
  <c r="M37" i="20"/>
  <c r="M6" i="20"/>
  <c r="M291" i="20"/>
  <c r="M205" i="20"/>
  <c r="M93" i="20"/>
  <c r="M27" i="20"/>
  <c r="M17" i="20"/>
  <c r="M221" i="20"/>
  <c r="M118" i="20"/>
  <c r="M158" i="20"/>
  <c r="M48" i="20"/>
  <c r="M147" i="20"/>
  <c r="M136" i="20"/>
  <c r="M11" i="20"/>
  <c r="M71" i="20"/>
  <c r="M188" i="20"/>
  <c r="M310" i="20"/>
  <c r="M240" i="20"/>
  <c r="M306" i="20"/>
  <c r="M771" i="20"/>
  <c r="M149" i="20"/>
  <c r="M255" i="20"/>
  <c r="M492" i="20"/>
  <c r="M582" i="20"/>
  <c r="M392" i="20"/>
  <c r="M409" i="20"/>
  <c r="M271" i="20"/>
  <c r="M223" i="20"/>
  <c r="M173" i="20"/>
  <c r="M325" i="20"/>
  <c r="M160" i="20"/>
  <c r="M344" i="20"/>
  <c r="M191" i="20"/>
  <c r="M712" i="20"/>
  <c r="M526" i="20"/>
  <c r="M647" i="20"/>
  <c r="M807" i="20"/>
  <c r="M832" i="20"/>
  <c r="M289" i="20"/>
  <c r="M140" i="20"/>
  <c r="M242" i="20"/>
  <c r="M613" i="20"/>
  <c r="M550" i="20"/>
  <c r="M748" i="20"/>
  <c r="M474" i="20"/>
  <c r="M373" i="20"/>
  <c r="M438" i="20"/>
  <c r="M207" i="20"/>
  <c r="L1201" i="20"/>
  <c r="L570" i="20"/>
  <c r="L784" i="20"/>
  <c r="L508" i="20"/>
  <c r="L696" i="20"/>
  <c r="L454" i="20"/>
  <c r="L984" i="20"/>
  <c r="L629" i="20"/>
  <c r="L1043" i="20"/>
  <c r="L1103" i="20"/>
  <c r="L821" i="20"/>
  <c r="L1156" i="20"/>
  <c r="L934" i="20"/>
  <c r="L878" i="20"/>
  <c r="M827" i="20"/>
  <c r="M957" i="20"/>
  <c r="M1180" i="20"/>
  <c r="M1132" i="20"/>
  <c r="M551" i="20"/>
  <c r="M408" i="20"/>
  <c r="M509" i="20"/>
  <c r="M487" i="20"/>
  <c r="M687" i="20"/>
  <c r="M585" i="20"/>
  <c r="M607" i="20"/>
  <c r="M747" i="20"/>
  <c r="M806" i="20"/>
  <c r="M1005" i="20"/>
  <c r="M343" i="20"/>
  <c r="M710" i="20"/>
  <c r="M781" i="20"/>
  <c r="M645" i="20"/>
  <c r="M443" i="20"/>
  <c r="M935" i="20"/>
  <c r="M1048" i="20"/>
  <c r="M368" i="20"/>
  <c r="M917" i="20"/>
  <c r="M460" i="20"/>
  <c r="M324" i="20"/>
  <c r="M1202" i="20"/>
  <c r="M869" i="20"/>
  <c r="M387" i="20"/>
  <c r="M1091" i="20"/>
  <c r="M889" i="20"/>
  <c r="M305" i="20"/>
  <c r="M1135" i="20"/>
  <c r="M1183" i="20"/>
  <c r="M964" i="20"/>
  <c r="M345" i="20"/>
  <c r="M942" i="20"/>
  <c r="M461" i="20"/>
  <c r="M331" i="20"/>
  <c r="M743" i="20"/>
  <c r="M371" i="20"/>
  <c r="M444" i="20"/>
  <c r="M774" i="20"/>
  <c r="M649" i="20"/>
  <c r="M579" i="20"/>
  <c r="M407" i="20"/>
  <c r="M861" i="20"/>
  <c r="M1238" i="20"/>
  <c r="M1086" i="20"/>
  <c r="M671" i="20"/>
  <c r="M547" i="20"/>
  <c r="M254" i="20"/>
  <c r="M705" i="20"/>
  <c r="M992" i="20"/>
  <c r="M1115" i="20"/>
  <c r="M1021" i="20"/>
  <c r="M1221" i="20"/>
  <c r="M1162" i="20"/>
  <c r="M828" i="20"/>
  <c r="M804" i="20"/>
  <c r="L751" i="20"/>
  <c r="L376" i="20"/>
  <c r="L263" i="20"/>
  <c r="L226" i="20"/>
  <c r="L867" i="20"/>
  <c r="L279" i="20"/>
  <c r="L358" i="20"/>
  <c r="L501" i="20"/>
  <c r="L891" i="20"/>
  <c r="L209" i="20"/>
  <c r="L193" i="20"/>
  <c r="L472" i="20"/>
  <c r="L395" i="20"/>
  <c r="L446" i="20"/>
  <c r="L924" i="20"/>
  <c r="L561" i="20"/>
  <c r="L620" i="20"/>
  <c r="L688" i="20"/>
  <c r="L650" i="20"/>
  <c r="L809" i="20"/>
  <c r="L244" i="20"/>
  <c r="L531" i="20"/>
  <c r="L719" i="20"/>
  <c r="L420" i="20"/>
  <c r="L994" i="20"/>
  <c r="L334" i="20"/>
  <c r="L782" i="20"/>
  <c r="L593" i="20"/>
  <c r="L313" i="20"/>
  <c r="L1142" i="20"/>
  <c r="L950" i="20"/>
  <c r="L1029" i="20"/>
  <c r="L1092" i="20"/>
  <c r="L1188" i="20"/>
  <c r="M256" i="20"/>
  <c r="M307" i="20"/>
  <c r="M326" i="20"/>
  <c r="M290" i="20"/>
  <c r="M347" i="20"/>
  <c r="M272" i="20"/>
  <c r="L602" i="20"/>
  <c r="L360" i="20"/>
  <c r="L560" i="20"/>
  <c r="L581" i="20"/>
  <c r="L677" i="20"/>
  <c r="L441" i="20"/>
  <c r="L718" i="20"/>
  <c r="M1017" i="20"/>
  <c r="M459" i="20"/>
  <c r="M35" i="20"/>
  <c r="M893" i="20"/>
  <c r="M287" i="20"/>
  <c r="M80" i="20"/>
  <c r="M914" i="20"/>
  <c r="M69" i="20"/>
  <c r="M94" i="20"/>
  <c r="M133" i="20"/>
  <c r="M156" i="20"/>
  <c r="M235" i="20"/>
  <c r="M939" i="20"/>
  <c r="M219" i="20"/>
  <c r="M265" i="20"/>
  <c r="M171" i="20"/>
  <c r="M45" i="20"/>
  <c r="M199" i="20"/>
  <c r="M346" i="20"/>
  <c r="M549" i="20"/>
  <c r="M577" i="20"/>
  <c r="M851" i="20"/>
  <c r="M1042" i="20"/>
  <c r="M637" i="20"/>
  <c r="M298" i="20"/>
  <c r="M370" i="20"/>
  <c r="M805" i="20"/>
  <c r="M670" i="20"/>
  <c r="M488" i="20"/>
  <c r="M406" i="20"/>
  <c r="M281" i="20"/>
  <c r="M767" i="20"/>
  <c r="M831" i="20"/>
  <c r="M962" i="20"/>
  <c r="M1085" i="20"/>
  <c r="M1229" i="20"/>
  <c r="M312" i="20"/>
  <c r="M1207" i="20"/>
  <c r="M1158" i="20"/>
  <c r="M989" i="20"/>
  <c r="M733" i="20"/>
  <c r="M105" i="20"/>
  <c r="M1106" i="20"/>
  <c r="M704" i="20"/>
  <c r="M1182" i="20"/>
  <c r="M611" i="20"/>
  <c r="M442" i="20"/>
  <c r="M390" i="20"/>
  <c r="M327" i="20"/>
  <c r="M515" i="20"/>
  <c r="M1129" i="20"/>
  <c r="L646" i="20"/>
  <c r="L135" i="20"/>
  <c r="L157" i="20"/>
  <c r="L186" i="20"/>
  <c r="L483" i="20"/>
  <c r="L146" i="20"/>
  <c r="L117" i="20"/>
  <c r="L897" i="20"/>
  <c r="L204" i="20"/>
  <c r="L273" i="20"/>
  <c r="L711" i="20"/>
  <c r="L258" i="20"/>
  <c r="L580" i="20"/>
  <c r="L548" i="20"/>
  <c r="L768" i="20"/>
  <c r="L746" i="20"/>
  <c r="L175" i="20"/>
  <c r="L608" i="20"/>
  <c r="L222" i="20"/>
  <c r="L348" i="20"/>
  <c r="L525" i="20"/>
  <c r="L673" i="20"/>
  <c r="L332" i="20"/>
  <c r="M1043" i="20"/>
  <c r="M1156" i="20"/>
  <c r="M570" i="20"/>
  <c r="M1201" i="20"/>
  <c r="M934" i="20"/>
  <c r="M629" i="20"/>
  <c r="M508" i="20"/>
  <c r="M454" i="20"/>
  <c r="M984" i="20"/>
  <c r="M784" i="20"/>
  <c r="M821" i="20"/>
  <c r="M696" i="20"/>
  <c r="M878" i="20"/>
  <c r="M1103" i="20"/>
  <c r="L408" i="20"/>
  <c r="L645" i="20"/>
  <c r="L551" i="20"/>
  <c r="L827" i="20"/>
  <c r="L1091" i="20"/>
  <c r="L1202" i="20"/>
  <c r="L747" i="20"/>
  <c r="L1048" i="20"/>
  <c r="L443" i="20"/>
  <c r="L509" i="20"/>
  <c r="L487" i="20"/>
  <c r="L710" i="20"/>
  <c r="L935" i="20"/>
  <c r="L687" i="20"/>
  <c r="L585" i="20"/>
  <c r="L607" i="20"/>
  <c r="L869" i="20"/>
  <c r="L1005" i="20"/>
  <c r="L343" i="20"/>
  <c r="L917" i="20"/>
  <c r="L781" i="20"/>
  <c r="L806" i="20"/>
  <c r="L387" i="20"/>
  <c r="L1180" i="20"/>
  <c r="L368" i="20"/>
  <c r="L460" i="20"/>
  <c r="L324" i="20"/>
  <c r="L957" i="20"/>
  <c r="L1132" i="20"/>
  <c r="M1151" i="20"/>
  <c r="M986" i="20"/>
  <c r="M1065" i="20"/>
  <c r="M1179" i="20"/>
  <c r="M850" i="20"/>
  <c r="M516" i="20"/>
  <c r="M910" i="20"/>
  <c r="M578" i="20"/>
  <c r="M603" i="20"/>
  <c r="M669" i="20"/>
  <c r="M635" i="20"/>
  <c r="M803" i="20"/>
  <c r="M1046" i="20"/>
  <c r="M546" i="20"/>
  <c r="M765" i="20"/>
  <c r="M826" i="20"/>
  <c r="M961" i="20"/>
  <c r="M1125" i="20"/>
  <c r="M1204" i="20"/>
  <c r="M486" i="20"/>
  <c r="M880" i="20"/>
  <c r="M938" i="20"/>
  <c r="M1107" i="20"/>
  <c r="M703" i="20"/>
  <c r="M1016" i="20"/>
  <c r="M735" i="20"/>
  <c r="L342" i="20"/>
  <c r="L1234" i="20"/>
  <c r="L941" i="20"/>
  <c r="L1101" i="20"/>
  <c r="L875" i="20"/>
  <c r="L664" i="20"/>
  <c r="L763" i="20"/>
  <c r="L695" i="20"/>
  <c r="L1121" i="20"/>
  <c r="L366" i="20"/>
  <c r="L572" i="20"/>
  <c r="L820" i="20"/>
  <c r="L729" i="20"/>
  <c r="L1160" i="20"/>
  <c r="L1047" i="20"/>
  <c r="L1218" i="20"/>
  <c r="L1020" i="20"/>
  <c r="L542" i="20"/>
  <c r="L795" i="20"/>
  <c r="L1184" i="20"/>
  <c r="L848" i="20"/>
  <c r="L981" i="20"/>
  <c r="L1061" i="20"/>
  <c r="L904" i="20"/>
  <c r="M980" i="20"/>
  <c r="M1082" i="20"/>
  <c r="M57" i="20"/>
  <c r="M1177" i="20"/>
  <c r="M31" i="20"/>
  <c r="M4" i="20"/>
  <c r="M89" i="20"/>
  <c r="M790" i="20"/>
  <c r="M367" i="20"/>
  <c r="M130" i="20"/>
  <c r="M694" i="20"/>
  <c r="M15" i="20"/>
  <c r="M898" i="20"/>
  <c r="L1097" i="20"/>
  <c r="L1224" i="20"/>
  <c r="L1200" i="20"/>
  <c r="L1170" i="20"/>
  <c r="L1057" i="20"/>
  <c r="L1122" i="20"/>
  <c r="L1141" i="20"/>
  <c r="M361" i="20"/>
  <c r="M440" i="20"/>
  <c r="M1118" i="20"/>
  <c r="M1172" i="20"/>
  <c r="M397" i="20"/>
  <c r="M536" i="20"/>
  <c r="M955" i="20"/>
  <c r="M930" i="20"/>
  <c r="M267" i="20"/>
  <c r="M177" i="20"/>
  <c r="M1096" i="20"/>
  <c r="M1148" i="20"/>
  <c r="M1010" i="20"/>
  <c r="M357" i="20"/>
  <c r="M381" i="20"/>
  <c r="M336" i="20"/>
  <c r="M722" i="20"/>
  <c r="M296" i="20"/>
  <c r="M322" i="20"/>
  <c r="M302" i="20"/>
  <c r="M974" i="20"/>
  <c r="M1038" i="20"/>
  <c r="M197" i="20"/>
  <c r="M596" i="20"/>
  <c r="M449" i="20"/>
  <c r="M785" i="20"/>
  <c r="M816" i="20"/>
  <c r="M652" i="20"/>
  <c r="M900" i="20"/>
  <c r="M215" i="20"/>
  <c r="M754" i="20"/>
  <c r="M686" i="20"/>
  <c r="M161" i="20"/>
  <c r="M282" i="20"/>
  <c r="M564" i="20"/>
  <c r="M503" i="20"/>
  <c r="M247" i="20"/>
  <c r="M871" i="20"/>
  <c r="M239" i="20"/>
  <c r="M419" i="20"/>
  <c r="M1227" i="20"/>
  <c r="M476" i="20"/>
  <c r="M627" i="20"/>
  <c r="M847" i="20"/>
  <c r="M926" i="20"/>
  <c r="M952" i="20"/>
  <c r="M1036" i="20"/>
  <c r="M876" i="20"/>
  <c r="M755" i="20"/>
  <c r="M659" i="20"/>
  <c r="M813" i="20"/>
  <c r="M975" i="20"/>
  <c r="M788" i="20"/>
  <c r="M713" i="20"/>
  <c r="M1094" i="20"/>
  <c r="M730" i="20"/>
  <c r="M1055" i="20"/>
  <c r="M1006" i="20"/>
  <c r="M1116" i="20"/>
  <c r="M860" i="20"/>
  <c r="M1147" i="20"/>
  <c r="M475" i="20"/>
  <c r="M1056" i="20"/>
  <c r="M1037" i="20"/>
  <c r="M956" i="20"/>
  <c r="M295" i="20"/>
  <c r="M337" i="20"/>
  <c r="M303" i="20"/>
  <c r="M1095" i="20"/>
  <c r="M566" i="20"/>
  <c r="M283" i="20"/>
  <c r="M973" i="20"/>
  <c r="M398" i="20"/>
  <c r="M1117" i="20"/>
  <c r="M356" i="20"/>
  <c r="M1171" i="20"/>
  <c r="M176" i="20"/>
  <c r="M383" i="20"/>
  <c r="M216" i="20"/>
  <c r="M238" i="20"/>
  <c r="M504" i="20"/>
  <c r="M246" i="20"/>
  <c r="M597" i="20"/>
  <c r="M1011" i="20"/>
  <c r="M162" i="20"/>
  <c r="M196" i="20"/>
  <c r="M266" i="20"/>
  <c r="M787" i="20"/>
  <c r="M422" i="20"/>
  <c r="M535" i="20"/>
  <c r="M815" i="20"/>
  <c r="M929" i="20"/>
  <c r="M653" i="20"/>
  <c r="M450" i="20"/>
  <c r="M321" i="20"/>
  <c r="M684" i="20"/>
  <c r="M842" i="20"/>
  <c r="M870" i="20"/>
  <c r="M899" i="20"/>
  <c r="M626" i="20"/>
  <c r="M1226" i="20"/>
  <c r="M753" i="20"/>
  <c r="M721" i="20"/>
  <c r="M301" i="20"/>
  <c r="M662" i="20"/>
  <c r="M65" i="20"/>
  <c r="M1159" i="20"/>
  <c r="M1208" i="20"/>
  <c r="M425" i="20"/>
  <c r="M143" i="20"/>
  <c r="M107" i="20"/>
  <c r="M1075" i="20"/>
  <c r="M845" i="20"/>
  <c r="M101" i="20"/>
  <c r="M129" i="20"/>
  <c r="M153" i="20"/>
  <c r="M728" i="20"/>
  <c r="M253" i="20"/>
  <c r="M115" i="20"/>
  <c r="M323" i="20"/>
  <c r="M228" i="20"/>
  <c r="M1013" i="20"/>
  <c r="M794" i="20"/>
  <c r="M636" i="20"/>
  <c r="M77" i="20"/>
  <c r="M365" i="20"/>
  <c r="M403" i="20"/>
  <c r="M198" i="20"/>
  <c r="M569" i="20"/>
  <c r="M510" i="20"/>
  <c r="M166" i="20"/>
  <c r="M829" i="20"/>
  <c r="M457" i="20"/>
  <c r="M181" i="20"/>
  <c r="M762" i="20"/>
  <c r="M480" i="20"/>
  <c r="M903" i="20"/>
  <c r="M874" i="20"/>
  <c r="M534" i="20"/>
  <c r="M604" i="20"/>
  <c r="M693" i="20"/>
  <c r="M87" i="20"/>
  <c r="M1123" i="20"/>
  <c r="M1181" i="20"/>
  <c r="L1139" i="20"/>
  <c r="L1113" i="20"/>
  <c r="L1169" i="20"/>
  <c r="L1138" i="20"/>
  <c r="L1089" i="20"/>
  <c r="L1166" i="20"/>
  <c r="L1137" i="20"/>
  <c r="L1112" i="20"/>
  <c r="L1090" i="20"/>
  <c r="L1165" i="20"/>
  <c r="M1220" i="20"/>
  <c r="M1192" i="20"/>
  <c r="M1219" i="20"/>
  <c r="M1237" i="20"/>
  <c r="M1215" i="20"/>
  <c r="M1193" i="20"/>
  <c r="M1194" i="20"/>
  <c r="M1235" i="20"/>
  <c r="M1223" i="20"/>
  <c r="M1236" i="20"/>
  <c r="M1070" i="20"/>
  <c r="M1206" i="20"/>
  <c r="M520" i="20"/>
  <c r="M116" i="20"/>
  <c r="M587" i="20"/>
  <c r="M1230" i="20"/>
  <c r="M614" i="20"/>
  <c r="M944" i="20"/>
  <c r="M996" i="20"/>
  <c r="M967" i="20"/>
  <c r="M1152" i="20"/>
  <c r="M555" i="20"/>
  <c r="M1209" i="20"/>
  <c r="M881" i="20"/>
  <c r="M432" i="20"/>
  <c r="M738" i="20"/>
  <c r="M836" i="20"/>
  <c r="M466" i="20"/>
  <c r="M1076" i="20"/>
  <c r="M1126" i="20"/>
  <c r="M640" i="20"/>
  <c r="M519" i="20"/>
  <c r="M588" i="20"/>
  <c r="M835" i="20"/>
  <c r="M796" i="20"/>
  <c r="M945" i="20"/>
  <c r="M467" i="20"/>
  <c r="M431" i="20"/>
  <c r="M679" i="20"/>
  <c r="M775" i="20"/>
  <c r="M495" i="20"/>
  <c r="M415" i="20"/>
  <c r="M882" i="20"/>
  <c r="M968" i="20"/>
  <c r="M496" i="20"/>
  <c r="M416" i="20"/>
  <c r="M639" i="20"/>
  <c r="M918" i="20"/>
  <c r="M615" i="20"/>
  <c r="M797" i="20"/>
  <c r="M997" i="20"/>
  <c r="M697" i="20"/>
  <c r="M854" i="20"/>
  <c r="M698" i="20"/>
  <c r="M855" i="20"/>
  <c r="M1187" i="20"/>
  <c r="M554" i="20"/>
  <c r="M1023" i="20"/>
  <c r="M678" i="20"/>
  <c r="M776" i="20"/>
  <c r="M1077" i="20"/>
  <c r="M919" i="20"/>
  <c r="M737" i="20"/>
  <c r="M1024" i="20"/>
  <c r="M1142" i="20"/>
  <c r="M1029" i="20"/>
  <c r="M279" i="20"/>
  <c r="M244" i="20"/>
  <c r="M358" i="20"/>
  <c r="M501" i="20"/>
  <c r="M209" i="20"/>
  <c r="M376" i="20"/>
  <c r="M226" i="20"/>
  <c r="M891" i="20"/>
  <c r="M193" i="20"/>
  <c r="M446" i="20"/>
  <c r="M1188" i="20"/>
  <c r="M395" i="20"/>
  <c r="M924" i="20"/>
  <c r="M561" i="20"/>
  <c r="M531" i="20"/>
  <c r="M650" i="20"/>
  <c r="M950" i="20"/>
  <c r="M688" i="20"/>
  <c r="M334" i="20"/>
  <c r="M472" i="20"/>
  <c r="M751" i="20"/>
  <c r="M867" i="20"/>
  <c r="M809" i="20"/>
  <c r="M994" i="20"/>
  <c r="M263" i="20"/>
  <c r="M420" i="20"/>
  <c r="M782" i="20"/>
  <c r="M593" i="20"/>
  <c r="M620" i="20"/>
  <c r="M313" i="20"/>
  <c r="M1092" i="20"/>
  <c r="M719" i="20"/>
  <c r="W95" i="10"/>
  <c r="U90" i="10"/>
  <c r="R100" i="10"/>
  <c r="T88" i="10"/>
  <c r="T104" i="10"/>
  <c r="U99" i="10"/>
  <c r="O89" i="10"/>
  <c r="T98" i="10"/>
  <c r="W91" i="10"/>
  <c r="P88" i="10"/>
  <c r="T92" i="10"/>
  <c r="R93" i="10"/>
  <c r="U93" i="10"/>
  <c r="T96" i="10"/>
  <c r="T95" i="10"/>
  <c r="U94" i="10"/>
  <c r="T101" i="10"/>
  <c r="P90" i="10"/>
  <c r="U97" i="10"/>
  <c r="O103" i="10"/>
  <c r="O97" i="10"/>
  <c r="U95" i="10"/>
  <c r="O102" i="10"/>
  <c r="W103" i="10"/>
  <c r="P104" i="10"/>
  <c r="U105" i="10"/>
  <c r="P98" i="10"/>
  <c r="O94" i="10"/>
  <c r="P89" i="10"/>
  <c r="O105" i="10"/>
  <c r="U100" i="10"/>
  <c r="O99" i="10"/>
  <c r="W99" i="10"/>
  <c r="T89" i="10"/>
  <c r="R97" i="10"/>
  <c r="O95" i="10"/>
  <c r="W92" i="10"/>
  <c r="R88" i="10"/>
  <c r="R92" i="10"/>
  <c r="O88" i="10"/>
  <c r="U88" i="10"/>
  <c r="O98" i="10"/>
  <c r="T90" i="10"/>
  <c r="U103" i="10"/>
  <c r="P103" i="10"/>
  <c r="O101" i="10"/>
  <c r="W105" i="10"/>
  <c r="T105" i="10"/>
  <c r="R99" i="10"/>
  <c r="U96" i="10"/>
  <c r="W93" i="10"/>
  <c r="R91" i="10"/>
  <c r="T102" i="10"/>
  <c r="W94" i="10"/>
  <c r="T103" i="10"/>
  <c r="W102" i="10"/>
  <c r="P102" i="10"/>
  <c r="P101" i="10"/>
  <c r="W100" i="10"/>
  <c r="O100" i="10"/>
  <c r="W88" i="10"/>
  <c r="R90" i="10"/>
  <c r="P94" i="10"/>
  <c r="U89" i="10"/>
  <c r="O92" i="10"/>
  <c r="P95" i="10"/>
  <c r="U102" i="10"/>
  <c r="T100" i="10"/>
  <c r="T97" i="10"/>
  <c r="R98" i="10"/>
  <c r="T91" i="10"/>
  <c r="W96" i="10"/>
  <c r="O93" i="10"/>
  <c r="B2" i="18" a="1"/>
  <c r="R103" i="10"/>
  <c r="R104" i="10"/>
  <c r="R87" i="10"/>
  <c r="R101" i="10"/>
  <c r="R89" i="10"/>
  <c r="R86" i="10"/>
  <c r="P96" i="10"/>
  <c r="P86" i="10"/>
  <c r="U101" i="10"/>
  <c r="P87" i="10"/>
  <c r="W97" i="10"/>
  <c r="R96" i="10"/>
  <c r="U91" i="10"/>
  <c r="O91" i="10"/>
  <c r="O96" i="10"/>
  <c r="W86" i="10"/>
  <c r="P105" i="10"/>
  <c r="P92" i="10"/>
  <c r="T94" i="10"/>
  <c r="U86" i="10"/>
  <c r="P93" i="10"/>
  <c r="U87" i="10"/>
  <c r="T99" i="10"/>
  <c r="R102" i="10"/>
  <c r="T93" i="10"/>
  <c r="W98" i="10"/>
  <c r="U98" i="10"/>
  <c r="P97" i="10"/>
  <c r="W89" i="10"/>
  <c r="R95" i="10"/>
  <c r="U92" i="10"/>
  <c r="U104" i="10"/>
  <c r="R105" i="10"/>
  <c r="P100" i="10"/>
  <c r="P99" i="10"/>
  <c r="O104" i="10"/>
  <c r="W104" i="10"/>
  <c r="W101" i="10"/>
  <c r="O90" i="10"/>
  <c r="P91" i="10"/>
  <c r="W90" i="10"/>
  <c r="R94" i="10"/>
  <c r="AJ95" i="10"/>
  <c r="AM89" i="10"/>
  <c r="AJ86" i="10"/>
  <c r="AI97" i="10"/>
  <c r="AI92" i="10"/>
  <c r="AI96" i="10"/>
  <c r="AI95" i="10"/>
  <c r="AJ103" i="10"/>
  <c r="AM103" i="10"/>
  <c r="AM98" i="10"/>
  <c r="AM94" i="10"/>
  <c r="AI91" i="10"/>
  <c r="AI100" i="10"/>
  <c r="AM95" i="10"/>
  <c r="AM88" i="10"/>
  <c r="AM96" i="10"/>
  <c r="AM101" i="10"/>
  <c r="AM100" i="10"/>
  <c r="AI102" i="10"/>
  <c r="AM93" i="10"/>
  <c r="AJ97" i="10"/>
  <c r="AI99" i="10"/>
  <c r="AI98" i="10"/>
  <c r="AM104" i="10"/>
  <c r="AJ94" i="10"/>
  <c r="AJ92" i="10"/>
  <c r="AM105" i="10"/>
  <c r="AM87" i="10"/>
  <c r="AJ99" i="10"/>
  <c r="AI88" i="10"/>
  <c r="AJ100" i="10"/>
  <c r="AI94" i="10"/>
  <c r="AI90" i="10"/>
  <c r="AM102" i="10"/>
  <c r="AJ101" i="10"/>
  <c r="AI101" i="10"/>
  <c r="AM99" i="10"/>
  <c r="AM90" i="10"/>
  <c r="AM92" i="10"/>
  <c r="AI103" i="10"/>
  <c r="AJ102" i="10"/>
  <c r="AJ98" i="10"/>
  <c r="AJ96" i="10"/>
  <c r="AM86" i="10"/>
  <c r="AJ93" i="10"/>
  <c r="AM97" i="10"/>
  <c r="AJ91" i="10"/>
  <c r="AJ105" i="10"/>
  <c r="AJ90" i="10"/>
  <c r="AI93" i="10"/>
  <c r="AI89" i="10"/>
  <c r="AJ89" i="10"/>
  <c r="AI105" i="10"/>
  <c r="AJ88" i="10"/>
  <c r="AJ104" i="10"/>
  <c r="AM91" i="10"/>
  <c r="AI104" i="10"/>
  <c r="AG100" i="10"/>
  <c r="AE95" i="10"/>
  <c r="AE100" i="10"/>
  <c r="AE88" i="10"/>
  <c r="AD104" i="10"/>
  <c r="AG91" i="10"/>
  <c r="AD103" i="10"/>
  <c r="AG101" i="10"/>
  <c r="AE87" i="10"/>
  <c r="AG93" i="10"/>
  <c r="AE103" i="10"/>
  <c r="AG103" i="10"/>
  <c r="AD100" i="10"/>
  <c r="AG86" i="10"/>
  <c r="AE98" i="10"/>
  <c r="AD99" i="10"/>
  <c r="AG94" i="10"/>
  <c r="AE105" i="10"/>
  <c r="AD93" i="10"/>
  <c r="AD91" i="10"/>
  <c r="AG95" i="10"/>
  <c r="AG99" i="10"/>
  <c r="AG88" i="10"/>
  <c r="AD101" i="10"/>
  <c r="AD89" i="10"/>
  <c r="AD105" i="10"/>
  <c r="AD95" i="10"/>
  <c r="AE104" i="10"/>
  <c r="AE90" i="10"/>
  <c r="AE92" i="10"/>
  <c r="AE99" i="10"/>
  <c r="AE97" i="10"/>
  <c r="AD88" i="10"/>
  <c r="AE94" i="10"/>
  <c r="AD98" i="10"/>
  <c r="AE86" i="10"/>
  <c r="AE102" i="10"/>
  <c r="AD90" i="10"/>
  <c r="AE89" i="10"/>
  <c r="AD94" i="10"/>
  <c r="AG98" i="10"/>
  <c r="AG90" i="10"/>
  <c r="AG92" i="10"/>
  <c r="AG102" i="10"/>
  <c r="AG96" i="10"/>
  <c r="AD96" i="10"/>
  <c r="AG89" i="10"/>
  <c r="AG87" i="10"/>
  <c r="AE96" i="10"/>
  <c r="AG105" i="10"/>
  <c r="AE101" i="10"/>
  <c r="AD102" i="10"/>
  <c r="AE91" i="10"/>
  <c r="AG97" i="10"/>
  <c r="AD97" i="10"/>
  <c r="AD92" i="10"/>
  <c r="AE93" i="10"/>
  <c r="AG104" i="10"/>
  <c r="W87" i="10"/>
  <c r="W107" i="10" s="1"/>
  <c r="H105" i="10"/>
  <c r="B7" i="13" s="1"/>
  <c r="L104" i="10" a="1"/>
  <c r="L104" i="10" s="1"/>
  <c r="L96" i="10" a="1"/>
  <c r="L96" i="10" s="1"/>
  <c r="AB105" i="10"/>
  <c r="L90" i="10" a="1"/>
  <c r="L90" i="10" s="1"/>
  <c r="AB101" i="10"/>
  <c r="Y89" i="10"/>
  <c r="L93" i="10" a="1"/>
  <c r="L93" i="10" s="1"/>
  <c r="K93" i="10" a="1"/>
  <c r="K93" i="10" s="1"/>
  <c r="K105" i="10" a="1"/>
  <c r="K105" i="10" s="1"/>
  <c r="Y100" i="10"/>
  <c r="Z87" i="10"/>
  <c r="AB95" i="10"/>
  <c r="L89" i="10" a="1"/>
  <c r="L89" i="10" s="1"/>
  <c r="H97" i="10"/>
  <c r="Y103" i="10"/>
  <c r="K97" i="10" a="1"/>
  <c r="K97" i="10" s="1"/>
  <c r="Y102" i="10"/>
  <c r="L101" i="10" a="1"/>
  <c r="L101" i="10" s="1"/>
  <c r="H101" i="10"/>
  <c r="Y105" i="10"/>
  <c r="AB93" i="10"/>
  <c r="H95" i="10"/>
  <c r="Z95" i="10"/>
  <c r="Z86" i="10"/>
  <c r="Z101" i="10"/>
  <c r="Z94" i="10"/>
  <c r="L86" i="10" a="1"/>
  <c r="L86" i="10" s="1"/>
  <c r="K88" i="10" a="1"/>
  <c r="K88" i="10" s="1"/>
  <c r="K103" i="10" a="1"/>
  <c r="K103" i="10" s="1"/>
  <c r="Z98" i="10"/>
  <c r="Z96" i="10"/>
  <c r="Z93" i="10"/>
  <c r="K95" i="10" a="1"/>
  <c r="K95" i="10" s="1"/>
  <c r="Z103" i="10"/>
  <c r="AB90" i="10"/>
  <c r="AB103" i="10"/>
  <c r="K92" i="10" a="1"/>
  <c r="K92" i="10" s="1"/>
  <c r="Z104" i="10"/>
  <c r="K89" i="10" a="1"/>
  <c r="K89" i="10" s="1"/>
  <c r="Z100" i="10"/>
  <c r="Z89" i="10"/>
  <c r="Y96" i="10"/>
  <c r="Z97" i="10"/>
  <c r="H86" i="10"/>
  <c r="H89" i="10"/>
  <c r="L103" i="10" a="1"/>
  <c r="L103" i="10" s="1"/>
  <c r="K104" i="10" a="1"/>
  <c r="K104" i="10" s="1"/>
  <c r="K91" i="10" a="1"/>
  <c r="K91" i="10" s="1"/>
  <c r="K101" i="10" a="1"/>
  <c r="K101" i="10" s="1"/>
  <c r="Z99" i="10"/>
  <c r="AB89" i="10"/>
  <c r="Y97" i="10"/>
  <c r="L95" i="10" a="1"/>
  <c r="L95" i="10" s="1"/>
  <c r="AB98" i="10"/>
  <c r="AB88" i="10"/>
  <c r="H92" i="10"/>
  <c r="H94" i="10"/>
  <c r="Y90" i="10"/>
  <c r="H98" i="10"/>
  <c r="L105" i="10" a="1"/>
  <c r="L105" i="10" s="1"/>
  <c r="H100" i="10"/>
  <c r="B6" i="13" s="1"/>
  <c r="L97" i="10" a="1"/>
  <c r="L97" i="10" s="1"/>
  <c r="K98" i="10" a="1"/>
  <c r="K98" i="10" s="1"/>
  <c r="Y101" i="10"/>
  <c r="Y94" i="10"/>
  <c r="H91" i="10"/>
  <c r="Y93" i="10"/>
  <c r="H90" i="10"/>
  <c r="Z105" i="10"/>
  <c r="L102" i="10" a="1"/>
  <c r="L102" i="10" s="1"/>
  <c r="AB87" i="10"/>
  <c r="L99" i="10" a="1"/>
  <c r="L99" i="10" s="1"/>
  <c r="K90" i="10" a="1"/>
  <c r="K90" i="10" s="1"/>
  <c r="Y104" i="10"/>
  <c r="Z90" i="10"/>
  <c r="K86" i="10" a="1"/>
  <c r="K86" i="10" s="1"/>
  <c r="H96" i="10"/>
  <c r="B5" i="13" s="1"/>
  <c r="AB96" i="10"/>
  <c r="H99" i="10"/>
  <c r="Z88" i="10"/>
  <c r="Z102" i="10"/>
  <c r="K99" i="10" a="1"/>
  <c r="K99" i="10" s="1"/>
  <c r="Y99" i="10"/>
  <c r="L92" i="10" a="1"/>
  <c r="L92" i="10" s="1"/>
  <c r="L100" i="10" a="1"/>
  <c r="L100" i="10" s="1"/>
  <c r="K94" i="10" a="1"/>
  <c r="K94" i="10" s="1"/>
  <c r="Y98" i="10"/>
  <c r="Y92" i="10"/>
  <c r="AB104" i="10"/>
  <c r="Y95" i="10"/>
  <c r="AB100" i="10"/>
  <c r="Z92" i="10"/>
  <c r="Z91" i="10"/>
  <c r="H102" i="10"/>
  <c r="H93" i="10"/>
  <c r="AB97" i="10"/>
  <c r="AB94" i="10"/>
  <c r="K102" i="10" a="1"/>
  <c r="K102" i="10" s="1"/>
  <c r="AB92" i="10"/>
  <c r="L94" i="10" a="1"/>
  <c r="L94" i="10" s="1"/>
  <c r="AB102" i="10"/>
  <c r="AB91" i="10"/>
  <c r="L88" i="10" a="1"/>
  <c r="L88" i="10" s="1"/>
  <c r="L91" i="10" a="1"/>
  <c r="L91" i="10" s="1"/>
  <c r="K96" i="10" a="1"/>
  <c r="K96" i="10" s="1"/>
  <c r="Y88" i="10"/>
  <c r="AB86" i="10"/>
  <c r="AB99" i="10"/>
  <c r="H104" i="10"/>
  <c r="K100" i="10" a="1"/>
  <c r="K100" i="10" s="1"/>
  <c r="H103" i="10"/>
  <c r="Y91" i="10"/>
  <c r="L98" i="10" a="1"/>
  <c r="L98" i="10" s="1"/>
  <c r="I73" i="10"/>
  <c r="AA73" i="10" s="1"/>
  <c r="AL75" i="10"/>
  <c r="I75" i="10"/>
  <c r="Q75" i="10" s="1"/>
  <c r="AO74" i="10"/>
  <c r="AO73" i="10"/>
  <c r="J41" i="10"/>
  <c r="AN41" i="10" s="1"/>
  <c r="I51" i="10"/>
  <c r="AF51" i="10" s="1"/>
  <c r="AL73" i="10"/>
  <c r="I41" i="10"/>
  <c r="AK41" i="10" s="1"/>
  <c r="J53" i="10"/>
  <c r="AN53" i="10" s="1"/>
  <c r="J43" i="10"/>
  <c r="AN43" i="10" s="1"/>
  <c r="AL74" i="10"/>
  <c r="J52" i="10"/>
  <c r="AN52" i="10" s="1"/>
  <c r="I72" i="10"/>
  <c r="AF72" i="10" s="1"/>
  <c r="AL76" i="10"/>
  <c r="I43" i="10"/>
  <c r="AK43" i="10" s="1"/>
  <c r="I52" i="10"/>
  <c r="AK52" i="10" s="1"/>
  <c r="I42" i="10"/>
  <c r="AK42" i="10" s="1"/>
  <c r="AO75" i="10"/>
  <c r="I53" i="10"/>
  <c r="AK53" i="10" s="1"/>
  <c r="J75" i="10"/>
  <c r="AL72" i="10"/>
  <c r="J72" i="10"/>
  <c r="AN72" i="10" s="1"/>
  <c r="J51" i="10"/>
  <c r="AN51" i="10" s="1"/>
  <c r="J76" i="10"/>
  <c r="AN76" i="10" s="1"/>
  <c r="J73" i="10"/>
  <c r="S73" i="10" s="1"/>
  <c r="J74" i="10"/>
  <c r="S74" i="10" s="1"/>
  <c r="AO72" i="10"/>
  <c r="J42" i="10"/>
  <c r="AN42" i="10" s="1"/>
  <c r="AO76" i="10"/>
  <c r="I76" i="10"/>
  <c r="AA76" i="10" s="1"/>
  <c r="I74" i="10"/>
  <c r="Q74" i="10" s="1"/>
  <c r="J30" i="10"/>
  <c r="AN30" i="10" s="1"/>
  <c r="I29" i="10"/>
  <c r="AK29" i="10" s="1"/>
  <c r="J28" i="10"/>
  <c r="AN28" i="10" s="1"/>
  <c r="I30" i="10"/>
  <c r="AK30" i="10" s="1"/>
  <c r="I28" i="10"/>
  <c r="AK28" i="10" s="1"/>
  <c r="J29" i="10"/>
  <c r="AN29" i="10" s="1"/>
  <c r="J26" i="10"/>
  <c r="AN26" i="10" s="1"/>
  <c r="I26" i="10"/>
  <c r="AK26" i="10" s="1"/>
  <c r="J20" i="10"/>
  <c r="AN20" i="10" s="1"/>
  <c r="I21" i="10"/>
  <c r="AK21" i="10" s="1"/>
  <c r="I20" i="10"/>
  <c r="AK20" i="10" s="1"/>
  <c r="J21" i="10"/>
  <c r="AN21" i="10" s="1"/>
  <c r="O86" i="10"/>
  <c r="T87" i="10"/>
  <c r="Y86" i="10"/>
  <c r="Y87" i="10"/>
  <c r="O87" i="10"/>
  <c r="T86" i="10"/>
  <c r="P79" i="10"/>
  <c r="U79" i="10"/>
  <c r="R79" i="10"/>
  <c r="W79" i="10"/>
  <c r="Z79" i="10"/>
  <c r="AB79" i="10"/>
  <c r="J23" i="10"/>
  <c r="X23" i="10" s="1"/>
  <c r="AO15" i="10"/>
  <c r="I61" i="10"/>
  <c r="AF61" i="10" s="1"/>
  <c r="AL68" i="10"/>
  <c r="AL27" i="10"/>
  <c r="AO37" i="10"/>
  <c r="AO17" i="10"/>
  <c r="J17" i="10"/>
  <c r="AN17" i="10" s="1"/>
  <c r="J33" i="10"/>
  <c r="AN33" i="10" s="1"/>
  <c r="I47" i="10"/>
  <c r="AK47" i="10" s="1"/>
  <c r="I33" i="10"/>
  <c r="AF33" i="10" s="1"/>
  <c r="J22" i="10"/>
  <c r="AN22" i="10" s="1"/>
  <c r="J61" i="10"/>
  <c r="AN61" i="10" s="1"/>
  <c r="J16" i="10"/>
  <c r="AH16" i="10" s="1"/>
  <c r="I24" i="10"/>
  <c r="AK24" i="10" s="1"/>
  <c r="J36" i="10"/>
  <c r="AH36" i="10" s="1"/>
  <c r="I58" i="10"/>
  <c r="AF58" i="10" s="1"/>
  <c r="I46" i="10"/>
  <c r="AF46" i="10" s="1"/>
  <c r="J49" i="10"/>
  <c r="AH49" i="10" s="1"/>
  <c r="AO71" i="10"/>
  <c r="AO48" i="10"/>
  <c r="AL54" i="10"/>
  <c r="AJ87" i="10"/>
  <c r="H87" i="10"/>
  <c r="K87" i="10" a="1"/>
  <c r="K87" i="10" s="1"/>
  <c r="AI87" i="10"/>
  <c r="AI86" i="10"/>
  <c r="H88" i="10"/>
  <c r="L87" i="10" a="1"/>
  <c r="L87" i="10" s="1"/>
  <c r="AO35" i="10"/>
  <c r="AO16" i="10"/>
  <c r="AO33" i="10"/>
  <c r="AO66" i="10"/>
  <c r="AL67" i="10"/>
  <c r="AL23" i="10"/>
  <c r="J27" i="10"/>
  <c r="AH27" i="10" s="1"/>
  <c r="J62" i="10"/>
  <c r="AN62" i="10" s="1"/>
  <c r="J32" i="10"/>
  <c r="AH32" i="10" s="1"/>
  <c r="J15" i="10"/>
  <c r="AN15" i="10" s="1"/>
  <c r="I37" i="10"/>
  <c r="AK37" i="10" s="1"/>
  <c r="J57" i="10"/>
  <c r="AN57" i="10" s="1"/>
  <c r="J38" i="10"/>
  <c r="AH38" i="10" s="1"/>
  <c r="J34" i="10"/>
  <c r="AN34" i="10" s="1"/>
  <c r="I13" i="10"/>
  <c r="AF13" i="10" s="1"/>
  <c r="J37" i="10"/>
  <c r="AN37" i="10" s="1"/>
  <c r="J48" i="10"/>
  <c r="AN48" i="10" s="1"/>
  <c r="I59" i="10"/>
  <c r="AL32" i="10"/>
  <c r="AL14" i="10"/>
  <c r="AL13" i="10"/>
  <c r="AL59" i="10"/>
  <c r="AO59" i="10"/>
  <c r="AO45" i="10"/>
  <c r="AL57" i="10"/>
  <c r="AL46" i="10"/>
  <c r="AL17" i="10"/>
  <c r="AO50" i="10"/>
  <c r="AL38" i="10"/>
  <c r="AL45" i="10"/>
  <c r="AL16" i="10"/>
  <c r="AL77" i="10"/>
  <c r="AL31" i="10"/>
  <c r="AL44" i="10"/>
  <c r="J58" i="10"/>
  <c r="AH58" i="10" s="1"/>
  <c r="J24" i="10"/>
  <c r="AH24" i="10" s="1"/>
  <c r="J54" i="10"/>
  <c r="AN54" i="10" s="1"/>
  <c r="J44" i="10"/>
  <c r="AH44" i="10" s="1"/>
  <c r="I25" i="10"/>
  <c r="AK25" i="10" s="1"/>
  <c r="J70" i="10"/>
  <c r="AH70" i="10" s="1"/>
  <c r="I36" i="10"/>
  <c r="AK36" i="10" s="1"/>
  <c r="J25" i="10"/>
  <c r="AH25" i="10" s="1"/>
  <c r="J63" i="10"/>
  <c r="AN63" i="10" s="1"/>
  <c r="J60" i="10"/>
  <c r="AH60" i="10" s="1"/>
  <c r="I32" i="10"/>
  <c r="AK32" i="10" s="1"/>
  <c r="J59" i="10"/>
  <c r="AN59" i="10" s="1"/>
  <c r="I27" i="10"/>
  <c r="AK27" i="10" s="1"/>
  <c r="J69" i="10"/>
  <c r="AH69" i="10" s="1"/>
  <c r="AL55" i="10"/>
  <c r="AO22" i="10"/>
  <c r="I19" i="10"/>
  <c r="AK19" i="10" s="1"/>
  <c r="AL19" i="10"/>
  <c r="AL56" i="10"/>
  <c r="AO13" i="10"/>
  <c r="H79" i="10"/>
  <c r="AL35" i="10"/>
  <c r="AL33" i="10"/>
  <c r="AL71" i="10"/>
  <c r="AL70" i="10"/>
  <c r="AO65" i="10"/>
  <c r="AL22" i="10"/>
  <c r="AO70" i="10"/>
  <c r="J67" i="10"/>
  <c r="AH67" i="10" s="1"/>
  <c r="I57" i="10"/>
  <c r="J68" i="10"/>
  <c r="AH68" i="10" s="1"/>
  <c r="I77" i="10"/>
  <c r="I14" i="10"/>
  <c r="AK14" i="10" s="1"/>
  <c r="I16" i="10"/>
  <c r="AK16" i="10" s="1"/>
  <c r="I62" i="10"/>
  <c r="AF62" i="10" s="1"/>
  <c r="I23" i="10"/>
  <c r="AF23" i="10" s="1"/>
  <c r="I68" i="10"/>
  <c r="AF68" i="10" s="1"/>
  <c r="I50" i="10"/>
  <c r="AK50" i="10" s="1"/>
  <c r="J39" i="10"/>
  <c r="AN39" i="10" s="1"/>
  <c r="J47" i="10"/>
  <c r="AH47" i="10" s="1"/>
  <c r="AL58" i="10"/>
  <c r="AO62" i="10"/>
  <c r="AO40" i="10"/>
  <c r="AO46" i="10"/>
  <c r="AO39" i="10"/>
  <c r="AO64" i="10"/>
  <c r="AO38" i="10"/>
  <c r="AO57" i="10"/>
  <c r="AL24" i="10"/>
  <c r="AM79" i="10"/>
  <c r="AO12" i="10"/>
  <c r="AO67" i="10"/>
  <c r="AO36" i="10"/>
  <c r="AL61" i="10"/>
  <c r="AO55" i="10"/>
  <c r="AL66" i="10"/>
  <c r="J19" i="10"/>
  <c r="AN19" i="10" s="1"/>
  <c r="AO19" i="10"/>
  <c r="AL64" i="10"/>
  <c r="AO25" i="10"/>
  <c r="AL40" i="10"/>
  <c r="J40" i="10"/>
  <c r="AH40" i="10" s="1"/>
  <c r="AD86" i="10"/>
  <c r="AD87" i="10"/>
  <c r="I35" i="10"/>
  <c r="AF35" i="10" s="1"/>
  <c r="I70" i="10"/>
  <c r="I44" i="10"/>
  <c r="AF44" i="10" s="1"/>
  <c r="J35" i="10"/>
  <c r="AH35" i="10" s="1"/>
  <c r="I18" i="10"/>
  <c r="AK18" i="10" s="1"/>
  <c r="I38" i="10"/>
  <c r="AK38" i="10" s="1"/>
  <c r="AG79" i="10"/>
  <c r="J12" i="10"/>
  <c r="I49" i="10"/>
  <c r="AK49" i="10" s="1"/>
  <c r="I48" i="10"/>
  <c r="J14" i="10"/>
  <c r="AH14" i="10" s="1"/>
  <c r="AL50" i="10"/>
  <c r="AO60" i="10"/>
  <c r="AL48" i="10"/>
  <c r="AO69" i="10"/>
  <c r="AL69" i="10"/>
  <c r="AL65" i="10"/>
  <c r="AL15" i="10"/>
  <c r="AO49" i="10"/>
  <c r="AL37" i="10"/>
  <c r="AL63" i="10"/>
  <c r="AO56" i="10"/>
  <c r="AJ79" i="10"/>
  <c r="AL12" i="10"/>
  <c r="AL36" i="10"/>
  <c r="AO18" i="10"/>
  <c r="AO23" i="10"/>
  <c r="AO63" i="10"/>
  <c r="AO44" i="10"/>
  <c r="AO24" i="10"/>
  <c r="AL49" i="10"/>
  <c r="AO68" i="10"/>
  <c r="AO27" i="10"/>
  <c r="J66" i="10"/>
  <c r="AH66" i="10" s="1"/>
  <c r="I64" i="10"/>
  <c r="AK64" i="10" s="1"/>
  <c r="I31" i="10"/>
  <c r="AK31" i="10" s="1"/>
  <c r="I63" i="10"/>
  <c r="AF63" i="10" s="1"/>
  <c r="I69" i="10"/>
  <c r="AF69" i="10" s="1"/>
  <c r="J31" i="10"/>
  <c r="AN31" i="10" s="1"/>
  <c r="J46" i="10"/>
  <c r="AH46" i="10" s="1"/>
  <c r="I17" i="10"/>
  <c r="AK17" i="10" s="1"/>
  <c r="I56" i="10"/>
  <c r="AF56" i="10" s="1"/>
  <c r="J77" i="10"/>
  <c r="I39" i="10"/>
  <c r="AO61" i="10"/>
  <c r="AL47" i="10"/>
  <c r="AL18" i="10"/>
  <c r="I45" i="10"/>
  <c r="AL62" i="10"/>
  <c r="AO32" i="10"/>
  <c r="AO58" i="10"/>
  <c r="AO54" i="10"/>
  <c r="AO31" i="10"/>
  <c r="AO47" i="10"/>
  <c r="AL60" i="10"/>
  <c r="AO34" i="10"/>
  <c r="AL39" i="10"/>
  <c r="AO14" i="10"/>
  <c r="AL34" i="10"/>
  <c r="AO77" i="10"/>
  <c r="I40" i="10"/>
  <c r="AK40" i="10" s="1"/>
  <c r="J71" i="10"/>
  <c r="AN71" i="10" s="1"/>
  <c r="I71" i="10"/>
  <c r="AF71" i="10" s="1"/>
  <c r="J55" i="10"/>
  <c r="AN55" i="10" s="1"/>
  <c r="I55" i="10"/>
  <c r="J50" i="10"/>
  <c r="AH50" i="10" s="1"/>
  <c r="J56" i="10"/>
  <c r="I67" i="10"/>
  <c r="AK67" i="10" s="1"/>
  <c r="I15" i="10"/>
  <c r="I65" i="10"/>
  <c r="AF65" i="10" s="1"/>
  <c r="AE79" i="10"/>
  <c r="I12" i="10"/>
  <c r="J45" i="10"/>
  <c r="AN45" i="10" s="1"/>
  <c r="I66" i="10"/>
  <c r="AF66" i="10" s="1"/>
  <c r="J18" i="10"/>
  <c r="AH18" i="10" s="1"/>
  <c r="J64" i="10"/>
  <c r="I34" i="10"/>
  <c r="J65" i="10"/>
  <c r="I22" i="10"/>
  <c r="AK22" i="10" s="1"/>
  <c r="J13" i="10"/>
  <c r="AN13" i="10" s="1"/>
  <c r="I60" i="10"/>
  <c r="I54" i="10"/>
  <c r="AA54" i="10" s="1"/>
  <c r="AL25" i="10"/>
  <c r="J8" i="13" l="1"/>
  <c r="U107" i="10"/>
  <c r="R107" i="10"/>
  <c r="AO103" i="10"/>
  <c r="B2" i="18"/>
  <c r="E2" i="18" s="1"/>
  <c r="E28" i="18"/>
  <c r="E61" i="18"/>
  <c r="E33" i="18"/>
  <c r="E66" i="18"/>
  <c r="E36" i="18"/>
  <c r="E7" i="18"/>
  <c r="E42" i="18"/>
  <c r="E10" i="18"/>
  <c r="E45" i="18"/>
  <c r="E50" i="18"/>
  <c r="E16" i="18"/>
  <c r="E20" i="18"/>
  <c r="E53" i="18"/>
  <c r="E25" i="18"/>
  <c r="E58" i="18"/>
  <c r="E65" i="18"/>
  <c r="E64" i="18"/>
  <c r="E63" i="18"/>
  <c r="E62" i="18"/>
  <c r="E60" i="18"/>
  <c r="E59" i="18"/>
  <c r="E57" i="18"/>
  <c r="E56" i="18"/>
  <c r="E55" i="18"/>
  <c r="E54" i="18"/>
  <c r="E52" i="18"/>
  <c r="E51" i="18"/>
  <c r="E49" i="18"/>
  <c r="E48" i="18"/>
  <c r="E47" i="18"/>
  <c r="E46" i="18"/>
  <c r="E44" i="18"/>
  <c r="E43" i="18"/>
  <c r="E41" i="18"/>
  <c r="E39" i="18"/>
  <c r="E38" i="18"/>
  <c r="E37" i="18"/>
  <c r="E35" i="18"/>
  <c r="E34" i="18"/>
  <c r="E32" i="18"/>
  <c r="E31" i="18"/>
  <c r="E30" i="18"/>
  <c r="E29" i="18"/>
  <c r="E27" i="18"/>
  <c r="E26" i="18"/>
  <c r="E24" i="18"/>
  <c r="E23" i="18"/>
  <c r="E22" i="18"/>
  <c r="E21" i="18"/>
  <c r="E18" i="18"/>
  <c r="E17" i="18"/>
  <c r="E6" i="18"/>
  <c r="E4" i="18"/>
  <c r="E3" i="18"/>
  <c r="E15" i="18"/>
  <c r="E14" i="18"/>
  <c r="E13" i="18"/>
  <c r="E12" i="18"/>
  <c r="E9" i="18"/>
  <c r="E8" i="18"/>
  <c r="E5" i="18"/>
  <c r="E67" i="18"/>
  <c r="P107" i="10"/>
  <c r="I99" i="10"/>
  <c r="AK99" i="10" s="1"/>
  <c r="I103" i="10"/>
  <c r="AK103" i="10" s="1"/>
  <c r="I94" i="10"/>
  <c r="AK94" i="10" s="1"/>
  <c r="AL104" i="10"/>
  <c r="AL91" i="10"/>
  <c r="AO92" i="10"/>
  <c r="AL100" i="10"/>
  <c r="J104" i="10"/>
  <c r="AN104" i="10" s="1"/>
  <c r="I89" i="10"/>
  <c r="AF89" i="10" s="1"/>
  <c r="I101" i="10"/>
  <c r="AK101" i="10" s="1"/>
  <c r="AO97" i="10"/>
  <c r="AO90" i="10"/>
  <c r="AO95" i="10"/>
  <c r="J94" i="10"/>
  <c r="AH94" i="10" s="1"/>
  <c r="J97" i="10"/>
  <c r="AH97" i="10" s="1"/>
  <c r="I100" i="10"/>
  <c r="AK100" i="10" s="1"/>
  <c r="I93" i="10"/>
  <c r="AA93" i="10" s="1"/>
  <c r="AL93" i="10"/>
  <c r="AO99" i="10"/>
  <c r="AL99" i="10"/>
  <c r="AL97" i="10"/>
  <c r="I87" i="10"/>
  <c r="AA87" i="10" s="1"/>
  <c r="AJ107" i="10"/>
  <c r="I102" i="10"/>
  <c r="AK102" i="10" s="1"/>
  <c r="AB107" i="10"/>
  <c r="I96" i="10"/>
  <c r="AF96" i="10" s="1"/>
  <c r="I95" i="10"/>
  <c r="AK95" i="10" s="1"/>
  <c r="AL89" i="10"/>
  <c r="AM107" i="10"/>
  <c r="AO93" i="10"/>
  <c r="J91" i="10"/>
  <c r="AC91" i="10" s="1"/>
  <c r="J96" i="10"/>
  <c r="AC96" i="10" s="1"/>
  <c r="J98" i="10"/>
  <c r="AH98" i="10" s="1"/>
  <c r="I104" i="10"/>
  <c r="AK104" i="10" s="1"/>
  <c r="I98" i="10"/>
  <c r="AA98" i="10" s="1"/>
  <c r="AL96" i="10"/>
  <c r="AL101" i="10"/>
  <c r="AO105" i="10"/>
  <c r="AO94" i="10"/>
  <c r="J93" i="10"/>
  <c r="AC93" i="10" s="1"/>
  <c r="J101" i="10"/>
  <c r="AN101" i="10" s="1"/>
  <c r="AE107" i="10"/>
  <c r="AL98" i="10"/>
  <c r="AO102" i="10"/>
  <c r="AL92" i="10"/>
  <c r="AO100" i="10"/>
  <c r="AO98" i="10"/>
  <c r="AO89" i="10"/>
  <c r="J99" i="10"/>
  <c r="I92" i="10"/>
  <c r="AF92" i="10" s="1"/>
  <c r="J103" i="10"/>
  <c r="J95" i="10"/>
  <c r="AC95" i="10" s="1"/>
  <c r="AG107" i="10"/>
  <c r="AL90" i="10"/>
  <c r="AL102" i="10"/>
  <c r="AL94" i="10"/>
  <c r="AO101" i="10"/>
  <c r="AL95" i="10"/>
  <c r="J102" i="10"/>
  <c r="AN102" i="10" s="1"/>
  <c r="I91" i="10"/>
  <c r="AK91" i="10" s="1"/>
  <c r="I105" i="10"/>
  <c r="AF105" i="10" s="1"/>
  <c r="H107" i="10"/>
  <c r="J92" i="10"/>
  <c r="AC92" i="10" s="1"/>
  <c r="J100" i="10"/>
  <c r="AN100" i="10" s="1"/>
  <c r="I90" i="10"/>
  <c r="AK90" i="10" s="1"/>
  <c r="J89" i="10"/>
  <c r="AN89" i="10" s="1"/>
  <c r="I97" i="10"/>
  <c r="AA97" i="10" s="1"/>
  <c r="J90" i="10"/>
  <c r="AH90" i="10" s="1"/>
  <c r="Z107" i="10"/>
  <c r="J105" i="10"/>
  <c r="AH105" i="10" s="1"/>
  <c r="AO91" i="10"/>
  <c r="AL105" i="10"/>
  <c r="AO104" i="10"/>
  <c r="AO96" i="10"/>
  <c r="AL103" i="10"/>
  <c r="AK73" i="10"/>
  <c r="AF73" i="10"/>
  <c r="V73" i="10"/>
  <c r="AK72" i="10"/>
  <c r="AA75" i="10"/>
  <c r="AH53" i="10"/>
  <c r="AC53" i="10"/>
  <c r="AK75" i="10"/>
  <c r="AF75" i="10"/>
  <c r="AF53" i="10"/>
  <c r="Q76" i="10"/>
  <c r="AC51" i="10"/>
  <c r="AH51" i="10"/>
  <c r="AK76" i="10"/>
  <c r="AK74" i="10"/>
  <c r="AF74" i="10"/>
  <c r="AH52" i="10"/>
  <c r="AH73" i="10"/>
  <c r="X51" i="10"/>
  <c r="AH74" i="10"/>
  <c r="AA74" i="10"/>
  <c r="Q73" i="10"/>
  <c r="AC74" i="10"/>
  <c r="X73" i="10"/>
  <c r="AN74" i="10"/>
  <c r="M74" i="10"/>
  <c r="AA52" i="10"/>
  <c r="AC52" i="10"/>
  <c r="AA51" i="10"/>
  <c r="V74" i="10"/>
  <c r="AC76" i="10"/>
  <c r="S72" i="10"/>
  <c r="X72" i="10"/>
  <c r="N75" i="10"/>
  <c r="M76" i="10"/>
  <c r="AH76" i="10"/>
  <c r="AC72" i="10"/>
  <c r="AA53" i="10"/>
  <c r="AF76" i="10"/>
  <c r="AF52" i="10"/>
  <c r="M73" i="10"/>
  <c r="AC75" i="10"/>
  <c r="N76" i="10"/>
  <c r="AK51" i="10"/>
  <c r="V51" i="10"/>
  <c r="N74" i="10"/>
  <c r="N73" i="10"/>
  <c r="V75" i="10"/>
  <c r="M75" i="10"/>
  <c r="AH72" i="10"/>
  <c r="V76" i="10"/>
  <c r="AN75" i="10"/>
  <c r="Q72" i="10"/>
  <c r="V72" i="10"/>
  <c r="AC73" i="10"/>
  <c r="AN73" i="10"/>
  <c r="X75" i="10"/>
  <c r="S76" i="10"/>
  <c r="S75" i="10"/>
  <c r="X76" i="10"/>
  <c r="AA72" i="10"/>
  <c r="X74" i="10"/>
  <c r="AH75" i="10"/>
  <c r="AF77" i="10"/>
  <c r="M72" i="10"/>
  <c r="AH77" i="10"/>
  <c r="N72" i="10"/>
  <c r="N51" i="10"/>
  <c r="N52" i="10"/>
  <c r="N53" i="10"/>
  <c r="AF55" i="10"/>
  <c r="V55" i="10"/>
  <c r="AF54" i="10"/>
  <c r="M53" i="10"/>
  <c r="M52" i="10"/>
  <c r="M51" i="10"/>
  <c r="N43" i="10"/>
  <c r="N42" i="10"/>
  <c r="N41" i="10"/>
  <c r="M41" i="10"/>
  <c r="M43" i="10"/>
  <c r="M42" i="10"/>
  <c r="M30" i="10"/>
  <c r="N29" i="10"/>
  <c r="M29" i="10"/>
  <c r="N30" i="10"/>
  <c r="M28" i="10"/>
  <c r="N28" i="10"/>
  <c r="M26" i="10"/>
  <c r="N26" i="10"/>
  <c r="N21" i="10"/>
  <c r="M21" i="10"/>
  <c r="AK12" i="10"/>
  <c r="M20" i="10"/>
  <c r="N20" i="10"/>
  <c r="AK33" i="10"/>
  <c r="AN49" i="10"/>
  <c r="AK61" i="10"/>
  <c r="AK62" i="10"/>
  <c r="AN47" i="10"/>
  <c r="AN58" i="10"/>
  <c r="AK65" i="10"/>
  <c r="AN27" i="10"/>
  <c r="AN77" i="10"/>
  <c r="AK63" i="10"/>
  <c r="AN60" i="10"/>
  <c r="AN16" i="10"/>
  <c r="AN67" i="10"/>
  <c r="AK58" i="10"/>
  <c r="AF50" i="10"/>
  <c r="AF14" i="10"/>
  <c r="AF25" i="10"/>
  <c r="AN24" i="10"/>
  <c r="AC23" i="10"/>
  <c r="AN44" i="10"/>
  <c r="AK46" i="10"/>
  <c r="S23" i="10"/>
  <c r="AN23" i="10"/>
  <c r="AH13" i="10"/>
  <c r="AH55" i="10"/>
  <c r="AH45" i="10"/>
  <c r="AH31" i="10"/>
  <c r="AH63" i="10"/>
  <c r="AH54" i="10"/>
  <c r="AK69" i="10"/>
  <c r="AF32" i="10"/>
  <c r="AF40" i="10"/>
  <c r="AF64" i="10"/>
  <c r="AF49" i="10"/>
  <c r="AK13" i="10"/>
  <c r="AH33" i="10"/>
  <c r="AF37" i="10"/>
  <c r="AH17" i="10"/>
  <c r="AN25" i="10"/>
  <c r="AH59" i="10"/>
  <c r="AF38" i="10"/>
  <c r="AF67" i="10"/>
  <c r="AN69" i="10"/>
  <c r="AN36" i="10"/>
  <c r="AK56" i="10"/>
  <c r="AH15" i="10"/>
  <c r="AK55" i="10"/>
  <c r="AH71" i="10"/>
  <c r="AN68" i="10"/>
  <c r="AK23" i="10"/>
  <c r="AF22" i="10"/>
  <c r="AN70" i="10"/>
  <c r="AK44" i="10"/>
  <c r="M48" i="10"/>
  <c r="Q48" i="10"/>
  <c r="AA48" i="10"/>
  <c r="V48" i="10"/>
  <c r="Q59" i="10"/>
  <c r="AA59" i="10"/>
  <c r="M59" i="10"/>
  <c r="V59" i="10"/>
  <c r="N34" i="10"/>
  <c r="S34" i="10"/>
  <c r="AC34" i="10"/>
  <c r="X34" i="10"/>
  <c r="AN66" i="10"/>
  <c r="AO88" i="10"/>
  <c r="AO87" i="10"/>
  <c r="V24" i="10"/>
  <c r="Q24" i="10"/>
  <c r="M24" i="10"/>
  <c r="AA24" i="10"/>
  <c r="M47" i="10"/>
  <c r="AA47" i="10"/>
  <c r="Q47" i="10"/>
  <c r="V47" i="10"/>
  <c r="AF17" i="10"/>
  <c r="AA63" i="10"/>
  <c r="Q63" i="10"/>
  <c r="M63" i="10"/>
  <c r="V63" i="10"/>
  <c r="AF48" i="10"/>
  <c r="AF18" i="10"/>
  <c r="AA35" i="10"/>
  <c r="M35" i="10"/>
  <c r="V35" i="10"/>
  <c r="Q35" i="10"/>
  <c r="J86" i="10"/>
  <c r="S86" i="10" s="1"/>
  <c r="Q50" i="10"/>
  <c r="V50" i="10"/>
  <c r="AA50" i="10"/>
  <c r="M50" i="10"/>
  <c r="AK71" i="10"/>
  <c r="N59" i="10"/>
  <c r="AC59" i="10"/>
  <c r="S59" i="10"/>
  <c r="X59" i="10"/>
  <c r="X25" i="10"/>
  <c r="AC25" i="10"/>
  <c r="N25" i="10"/>
  <c r="S25" i="10"/>
  <c r="X44" i="10"/>
  <c r="AC44" i="10"/>
  <c r="N44" i="10"/>
  <c r="S44" i="10"/>
  <c r="N58" i="10"/>
  <c r="S58" i="10"/>
  <c r="X58" i="10"/>
  <c r="AC58" i="10"/>
  <c r="AF59" i="10"/>
  <c r="AC38" i="10"/>
  <c r="X38" i="10"/>
  <c r="S38" i="10"/>
  <c r="N38" i="10"/>
  <c r="AC27" i="10"/>
  <c r="X27" i="10"/>
  <c r="S27" i="10"/>
  <c r="N27" i="10"/>
  <c r="AF47" i="10"/>
  <c r="AC65" i="10"/>
  <c r="N65" i="10"/>
  <c r="S65" i="10"/>
  <c r="X65" i="10"/>
  <c r="X56" i="10"/>
  <c r="N56" i="10"/>
  <c r="S56" i="10"/>
  <c r="AC56" i="10"/>
  <c r="AC48" i="10"/>
  <c r="X48" i="10"/>
  <c r="N48" i="10"/>
  <c r="S48" i="10"/>
  <c r="S32" i="10"/>
  <c r="AC32" i="10"/>
  <c r="N32" i="10"/>
  <c r="X32" i="10"/>
  <c r="Q46" i="10"/>
  <c r="M46" i="10"/>
  <c r="V46" i="10"/>
  <c r="AA46" i="10"/>
  <c r="X16" i="10"/>
  <c r="N16" i="10"/>
  <c r="S16" i="10"/>
  <c r="AC16" i="10"/>
  <c r="X33" i="10"/>
  <c r="S33" i="10"/>
  <c r="AC33" i="10"/>
  <c r="N33" i="10"/>
  <c r="V17" i="10"/>
  <c r="Q17" i="10"/>
  <c r="M17" i="10"/>
  <c r="AA17" i="10"/>
  <c r="V70" i="10"/>
  <c r="M70" i="10"/>
  <c r="AA70" i="10"/>
  <c r="Q70" i="10"/>
  <c r="Q66" i="10"/>
  <c r="V66" i="10"/>
  <c r="M66" i="10"/>
  <c r="AA66" i="10"/>
  <c r="M45" i="10"/>
  <c r="V45" i="10"/>
  <c r="AA45" i="10"/>
  <c r="Q45" i="10"/>
  <c r="Q34" i="10"/>
  <c r="AA34" i="10"/>
  <c r="V34" i="10"/>
  <c r="M34" i="10"/>
  <c r="I86" i="10"/>
  <c r="Q86" i="10" s="1"/>
  <c r="AA60" i="10"/>
  <c r="M60" i="10"/>
  <c r="Q60" i="10"/>
  <c r="V60" i="10"/>
  <c r="AH48" i="10"/>
  <c r="S57" i="10"/>
  <c r="X57" i="10"/>
  <c r="AC57" i="10"/>
  <c r="N57" i="10"/>
  <c r="AC62" i="10"/>
  <c r="S62" i="10"/>
  <c r="X62" i="10"/>
  <c r="N62" i="10"/>
  <c r="AL88" i="10"/>
  <c r="AL87" i="10"/>
  <c r="X61" i="10"/>
  <c r="N61" i="10"/>
  <c r="AC61" i="10"/>
  <c r="S61" i="10"/>
  <c r="Q54" i="10"/>
  <c r="V54" i="10"/>
  <c r="M54" i="10"/>
  <c r="AF45" i="10"/>
  <c r="AF34" i="10"/>
  <c r="AN46" i="10"/>
  <c r="J79" i="10"/>
  <c r="AN79" i="10" s="1"/>
  <c r="S12" i="10"/>
  <c r="AC12" i="10"/>
  <c r="X12" i="10"/>
  <c r="N12" i="10"/>
  <c r="N35" i="10"/>
  <c r="S35" i="10"/>
  <c r="X35" i="10"/>
  <c r="AC35" i="10"/>
  <c r="AA68" i="10"/>
  <c r="V68" i="10"/>
  <c r="Q68" i="10"/>
  <c r="M68" i="10"/>
  <c r="AK45" i="10"/>
  <c r="X37" i="10"/>
  <c r="S37" i="10"/>
  <c r="AC37" i="10"/>
  <c r="N37" i="10"/>
  <c r="AH57" i="10"/>
  <c r="I88" i="10"/>
  <c r="Q88" i="10" s="1"/>
  <c r="V58" i="10"/>
  <c r="AA58" i="10"/>
  <c r="Q58" i="10"/>
  <c r="M58" i="10"/>
  <c r="AH61" i="10"/>
  <c r="AC39" i="10"/>
  <c r="N39" i="10"/>
  <c r="S39" i="10"/>
  <c r="X39" i="10"/>
  <c r="AA27" i="10"/>
  <c r="M27" i="10"/>
  <c r="V27" i="10"/>
  <c r="Q27" i="10"/>
  <c r="AH56" i="10"/>
  <c r="S55" i="10"/>
  <c r="N55" i="10"/>
  <c r="AC55" i="10"/>
  <c r="X55" i="10"/>
  <c r="V39" i="10"/>
  <c r="Q39" i="10"/>
  <c r="AA39" i="10"/>
  <c r="M39" i="10"/>
  <c r="AA36" i="10"/>
  <c r="M36" i="10"/>
  <c r="V36" i="10"/>
  <c r="Q36" i="10"/>
  <c r="AF60" i="10"/>
  <c r="S64" i="10"/>
  <c r="AC64" i="10"/>
  <c r="X64" i="10"/>
  <c r="N64" i="10"/>
  <c r="I79" i="10"/>
  <c r="AF79" i="10" s="1"/>
  <c r="V12" i="10"/>
  <c r="AA12" i="10"/>
  <c r="M12" i="10"/>
  <c r="Q12" i="10"/>
  <c r="AA65" i="10"/>
  <c r="V65" i="10"/>
  <c r="Q65" i="10"/>
  <c r="M65" i="10"/>
  <c r="AK34" i="10"/>
  <c r="M32" i="10"/>
  <c r="Q32" i="10"/>
  <c r="V32" i="10"/>
  <c r="AA32" i="10"/>
  <c r="AF36" i="10"/>
  <c r="N54" i="10"/>
  <c r="X54" i="10"/>
  <c r="AC54" i="10"/>
  <c r="S54" i="10"/>
  <c r="Q15" i="10"/>
  <c r="M15" i="10"/>
  <c r="V15" i="10"/>
  <c r="AA15" i="10"/>
  <c r="AC77" i="10"/>
  <c r="S77" i="10"/>
  <c r="X77" i="10"/>
  <c r="N77" i="10"/>
  <c r="S31" i="10"/>
  <c r="AC31" i="10"/>
  <c r="N31" i="10"/>
  <c r="X31" i="10"/>
  <c r="AA64" i="10"/>
  <c r="Q64" i="10"/>
  <c r="M64" i="10"/>
  <c r="V64" i="10"/>
  <c r="AN56" i="10"/>
  <c r="AH12" i="10"/>
  <c r="X40" i="10"/>
  <c r="S40" i="10"/>
  <c r="AC40" i="10"/>
  <c r="N40" i="10"/>
  <c r="AN38" i="10"/>
  <c r="AN40" i="10"/>
  <c r="Q14" i="10"/>
  <c r="M14" i="10"/>
  <c r="AA14" i="10"/>
  <c r="V14" i="10"/>
  <c r="AN65" i="10"/>
  <c r="AK35" i="10"/>
  <c r="M19" i="10"/>
  <c r="AK59" i="10"/>
  <c r="Q13" i="10"/>
  <c r="AA13" i="10"/>
  <c r="V13" i="10"/>
  <c r="M13" i="10"/>
  <c r="Q37" i="10"/>
  <c r="AA37" i="10"/>
  <c r="V37" i="10"/>
  <c r="M37" i="10"/>
  <c r="N23" i="10"/>
  <c r="AN35" i="10"/>
  <c r="AO86" i="10"/>
  <c r="N22" i="10"/>
  <c r="S22" i="10"/>
  <c r="AC22" i="10"/>
  <c r="X22" i="10"/>
  <c r="S17" i="10"/>
  <c r="AC17" i="10"/>
  <c r="X17" i="10"/>
  <c r="N17" i="10"/>
  <c r="AK68" i="10"/>
  <c r="S68" i="10"/>
  <c r="X68" i="10"/>
  <c r="N68" i="10"/>
  <c r="AC68" i="10"/>
  <c r="S45" i="10"/>
  <c r="N45" i="10"/>
  <c r="X45" i="10"/>
  <c r="AC45" i="10"/>
  <c r="X50" i="10"/>
  <c r="N50" i="10"/>
  <c r="AC50" i="10"/>
  <c r="S50" i="10"/>
  <c r="Q71" i="10"/>
  <c r="M71" i="10"/>
  <c r="AA71" i="10"/>
  <c r="V71" i="10"/>
  <c r="AK60" i="10"/>
  <c r="AF39" i="10"/>
  <c r="AF31" i="10"/>
  <c r="AA49" i="10"/>
  <c r="V49" i="10"/>
  <c r="Q49" i="10"/>
  <c r="M49" i="10"/>
  <c r="V16" i="10"/>
  <c r="AA16" i="10"/>
  <c r="M16" i="10"/>
  <c r="Q16" i="10"/>
  <c r="V57" i="10"/>
  <c r="M57" i="10"/>
  <c r="AA57" i="10"/>
  <c r="Q57" i="10"/>
  <c r="AL79" i="10"/>
  <c r="J88" i="10"/>
  <c r="AC88" i="10" s="1"/>
  <c r="AF16" i="10"/>
  <c r="AF57" i="10"/>
  <c r="AH64" i="10"/>
  <c r="AF12" i="10"/>
  <c r="X13" i="10"/>
  <c r="N13" i="10"/>
  <c r="S13" i="10"/>
  <c r="AC13" i="10"/>
  <c r="AF15" i="10"/>
  <c r="Q55" i="10"/>
  <c r="M55" i="10"/>
  <c r="AA55" i="10"/>
  <c r="AC71" i="10"/>
  <c r="N71" i="10"/>
  <c r="S71" i="10"/>
  <c r="X71" i="10"/>
  <c r="AN14" i="10"/>
  <c r="AN32" i="10"/>
  <c r="M56" i="10"/>
  <c r="AA56" i="10"/>
  <c r="Q56" i="10"/>
  <c r="V56" i="10"/>
  <c r="AK15" i="10"/>
  <c r="AK48" i="10"/>
  <c r="AA44" i="10"/>
  <c r="Q44" i="10"/>
  <c r="M44" i="10"/>
  <c r="V44" i="10"/>
  <c r="AN12" i="10"/>
  <c r="X47" i="10"/>
  <c r="AC47" i="10"/>
  <c r="S47" i="10"/>
  <c r="N47" i="10"/>
  <c r="AA23" i="10"/>
  <c r="V23" i="10"/>
  <c r="M23" i="10"/>
  <c r="Q23" i="10"/>
  <c r="N67" i="10"/>
  <c r="X67" i="10"/>
  <c r="S67" i="10"/>
  <c r="AC67" i="10"/>
  <c r="S69" i="10"/>
  <c r="AC69" i="10"/>
  <c r="N69" i="10"/>
  <c r="X69" i="10"/>
  <c r="AC60" i="10"/>
  <c r="N60" i="10"/>
  <c r="S60" i="10"/>
  <c r="X60" i="10"/>
  <c r="AC70" i="10"/>
  <c r="S70" i="10"/>
  <c r="N70" i="10"/>
  <c r="X70" i="10"/>
  <c r="S24" i="10"/>
  <c r="AC24" i="10"/>
  <c r="N24" i="10"/>
  <c r="X24" i="10"/>
  <c r="AK57" i="10"/>
  <c r="AL86" i="10"/>
  <c r="X36" i="10"/>
  <c r="N36" i="10"/>
  <c r="S36" i="10"/>
  <c r="AC36" i="10"/>
  <c r="M33" i="10"/>
  <c r="V33" i="10"/>
  <c r="AA33" i="10"/>
  <c r="Q33" i="10"/>
  <c r="N19" i="10"/>
  <c r="X46" i="10"/>
  <c r="N46" i="10"/>
  <c r="S46" i="10"/>
  <c r="AC46" i="10"/>
  <c r="AA31" i="10"/>
  <c r="V31" i="10"/>
  <c r="M31" i="10"/>
  <c r="Q31" i="10"/>
  <c r="V18" i="10"/>
  <c r="AA18" i="10"/>
  <c r="Q18" i="10"/>
  <c r="M18" i="10"/>
  <c r="AK66" i="10"/>
  <c r="Q22" i="10"/>
  <c r="AA22" i="10"/>
  <c r="M22" i="10"/>
  <c r="V22" i="10"/>
  <c r="S18" i="10"/>
  <c r="AC18" i="10"/>
  <c r="N18" i="10"/>
  <c r="X18" i="10"/>
  <c r="V67" i="10"/>
  <c r="AA67" i="10"/>
  <c r="M67" i="10"/>
  <c r="Q67" i="10"/>
  <c r="V40" i="10"/>
  <c r="Q40" i="10"/>
  <c r="AA40" i="10"/>
  <c r="M40" i="10"/>
  <c r="AK39" i="10"/>
  <c r="AA69" i="10"/>
  <c r="Q69" i="10"/>
  <c r="V69" i="10"/>
  <c r="M69" i="10"/>
  <c r="AC66" i="10"/>
  <c r="S66" i="10"/>
  <c r="X66" i="10"/>
  <c r="N66" i="10"/>
  <c r="AN18" i="10"/>
  <c r="N14" i="10"/>
  <c r="AC14" i="10"/>
  <c r="X14" i="10"/>
  <c r="S14" i="10"/>
  <c r="M38" i="10"/>
  <c r="Q38" i="10"/>
  <c r="V38" i="10"/>
  <c r="AA38" i="10"/>
  <c r="AF70" i="10"/>
  <c r="J87" i="10"/>
  <c r="AO79" i="10"/>
  <c r="AN64" i="10"/>
  <c r="AH39" i="10"/>
  <c r="Q62" i="10"/>
  <c r="AA62" i="10"/>
  <c r="V62" i="10"/>
  <c r="M62" i="10"/>
  <c r="Q77" i="10"/>
  <c r="M77" i="10"/>
  <c r="V77" i="10"/>
  <c r="AA77" i="10"/>
  <c r="AK70" i="10"/>
  <c r="AF27" i="10"/>
  <c r="AC63" i="10"/>
  <c r="N63" i="10"/>
  <c r="X63" i="10"/>
  <c r="S63" i="10"/>
  <c r="AA25" i="10"/>
  <c r="V25" i="10"/>
  <c r="M25" i="10"/>
  <c r="Q25" i="10"/>
  <c r="AK77" i="10"/>
  <c r="AN50" i="10"/>
  <c r="AH34" i="10"/>
  <c r="S15" i="10"/>
  <c r="N15" i="10"/>
  <c r="AC15" i="10"/>
  <c r="X15" i="10"/>
  <c r="B4" i="13"/>
  <c r="B8" i="13" s="1"/>
  <c r="N49" i="10"/>
  <c r="AC49" i="10"/>
  <c r="X49" i="10"/>
  <c r="S49" i="10"/>
  <c r="AF24" i="10"/>
  <c r="AA61" i="10"/>
  <c r="V61" i="10"/>
  <c r="M61" i="10"/>
  <c r="Q61" i="10"/>
  <c r="AF98" i="10" l="1"/>
  <c r="AK105" i="10"/>
  <c r="AN91" i="10"/>
  <c r="AF99" i="10"/>
  <c r="AF94" i="10"/>
  <c r="AF100" i="10"/>
  <c r="AN94" i="10"/>
  <c r="AK98" i="10"/>
  <c r="AC101" i="10"/>
  <c r="AN96" i="10"/>
  <c r="AC90" i="10"/>
  <c r="AH96" i="10"/>
  <c r="AC100" i="10"/>
  <c r="AF93" i="10"/>
  <c r="AN105" i="10"/>
  <c r="AH89" i="10"/>
  <c r="AA104" i="10"/>
  <c r="AN93" i="10"/>
  <c r="AA102" i="10"/>
  <c r="AK93" i="10"/>
  <c r="AC105" i="10"/>
  <c r="AC89" i="10"/>
  <c r="AH93" i="10"/>
  <c r="AC98" i="10"/>
  <c r="AA90" i="10"/>
  <c r="AA100" i="10"/>
  <c r="AH101" i="10"/>
  <c r="AN98" i="10"/>
  <c r="J107" i="10"/>
  <c r="AN107" i="10" s="1"/>
  <c r="S87" i="10"/>
  <c r="V97" i="10"/>
  <c r="Q97" i="10"/>
  <c r="X92" i="10"/>
  <c r="S92" i="10"/>
  <c r="AC102" i="10"/>
  <c r="X98" i="10"/>
  <c r="S98" i="10"/>
  <c r="AA95" i="10"/>
  <c r="AA88" i="10"/>
  <c r="AN90" i="10"/>
  <c r="AA101" i="10"/>
  <c r="AN92" i="10"/>
  <c r="AN103" i="10"/>
  <c r="X103" i="10"/>
  <c r="S103" i="10"/>
  <c r="V96" i="10"/>
  <c r="Q96" i="10"/>
  <c r="I107" i="10"/>
  <c r="AA107" i="10" s="1"/>
  <c r="Q87" i="10"/>
  <c r="X97" i="10"/>
  <c r="S97" i="10"/>
  <c r="AN97" i="10"/>
  <c r="V89" i="10"/>
  <c r="Q89" i="10"/>
  <c r="V94" i="10"/>
  <c r="Q94" i="10"/>
  <c r="X95" i="10"/>
  <c r="S95" i="10"/>
  <c r="V87" i="10"/>
  <c r="S105" i="10"/>
  <c r="X105" i="10"/>
  <c r="S89" i="10"/>
  <c r="X89" i="10"/>
  <c r="AC103" i="10"/>
  <c r="S101" i="10"/>
  <c r="X101" i="10"/>
  <c r="S96" i="10"/>
  <c r="X96" i="10"/>
  <c r="AK89" i="10"/>
  <c r="AA96" i="10"/>
  <c r="AK97" i="10"/>
  <c r="AF88" i="10"/>
  <c r="AC97" i="10"/>
  <c r="AA89" i="10"/>
  <c r="AA94" i="10"/>
  <c r="Q101" i="10"/>
  <c r="V101" i="10"/>
  <c r="Q105" i="10"/>
  <c r="V105" i="10"/>
  <c r="Q92" i="10"/>
  <c r="V92" i="10"/>
  <c r="AH100" i="10"/>
  <c r="AH103" i="10"/>
  <c r="X94" i="10"/>
  <c r="S94" i="10"/>
  <c r="AH95" i="10"/>
  <c r="AH104" i="10"/>
  <c r="X104" i="10"/>
  <c r="S104" i="10"/>
  <c r="AF103" i="10"/>
  <c r="V103" i="10"/>
  <c r="Q103" i="10"/>
  <c r="Q95" i="10"/>
  <c r="V95" i="10"/>
  <c r="V90" i="10"/>
  <c r="Q90" i="10"/>
  <c r="AA105" i="10"/>
  <c r="AF97" i="10"/>
  <c r="AA92" i="10"/>
  <c r="AF87" i="10"/>
  <c r="S93" i="10"/>
  <c r="X93" i="10"/>
  <c r="AK96" i="10"/>
  <c r="V98" i="10"/>
  <c r="Q98" i="10"/>
  <c r="X91" i="10"/>
  <c r="S91" i="10"/>
  <c r="AH92" i="10"/>
  <c r="AC87" i="10"/>
  <c r="Q93" i="10"/>
  <c r="V93" i="10"/>
  <c r="AC94" i="10"/>
  <c r="AF90" i="10"/>
  <c r="AC104" i="10"/>
  <c r="AA103" i="10"/>
  <c r="AH102" i="10"/>
  <c r="X102" i="10"/>
  <c r="S102" i="10"/>
  <c r="X88" i="10"/>
  <c r="S88" i="10"/>
  <c r="Q91" i="10"/>
  <c r="V91" i="10"/>
  <c r="AH87" i="10"/>
  <c r="X99" i="10"/>
  <c r="S99" i="10"/>
  <c r="AF101" i="10"/>
  <c r="AH91" i="10"/>
  <c r="V99" i="10"/>
  <c r="Q99" i="10"/>
  <c r="AH88" i="10"/>
  <c r="S90" i="10"/>
  <c r="X90" i="10"/>
  <c r="S100" i="10"/>
  <c r="X100" i="10"/>
  <c r="AA91" i="10"/>
  <c r="AC99" i="10"/>
  <c r="AK92" i="10"/>
  <c r="AF95" i="10"/>
  <c r="AF104" i="10"/>
  <c r="Q104" i="10"/>
  <c r="V104" i="10"/>
  <c r="AF102" i="10"/>
  <c r="Q102" i="10"/>
  <c r="V102" i="10"/>
  <c r="AN99" i="10"/>
  <c r="V100" i="10"/>
  <c r="Q100" i="10"/>
  <c r="AN95" i="10"/>
  <c r="AF91" i="10"/>
  <c r="AH99" i="10"/>
  <c r="AA99" i="10"/>
  <c r="V88" i="10"/>
  <c r="AF86" i="10"/>
  <c r="AA86" i="10"/>
  <c r="V86" i="10"/>
  <c r="AC86" i="10"/>
  <c r="AH86" i="10"/>
  <c r="X87" i="10"/>
  <c r="X86" i="10"/>
  <c r="AN87" i="10"/>
  <c r="AK86" i="10"/>
  <c r="AN86" i="10"/>
  <c r="AK87" i="10"/>
  <c r="AH79" i="10"/>
  <c r="AK88" i="10"/>
  <c r="AO107" i="10"/>
  <c r="AK79" i="10"/>
  <c r="AL107" i="10"/>
  <c r="Q79" i="10"/>
  <c r="V79" i="10"/>
  <c r="AA79" i="10"/>
  <c r="AC79" i="10"/>
  <c r="S79" i="10"/>
  <c r="X79" i="10"/>
  <c r="AN88" i="10"/>
  <c r="AH107" i="10" l="1"/>
  <c r="AC107" i="10"/>
  <c r="AF107" i="10"/>
  <c r="V107" i="10"/>
  <c r="Q107" i="10"/>
  <c r="AK107" i="10"/>
  <c r="S107" i="10"/>
  <c r="X10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34A621C-CE19-4888-A5D9-DFDB6D5B6FE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E8064C5-0CBA-4CD1-B2B9-3DF12DA6154B}" name="WorksheetConnection_AllData" type="102" refreshedVersion="8" minRefreshableVersion="5">
    <extLst>
      <ext xmlns:x15="http://schemas.microsoft.com/office/spreadsheetml/2010/11/main" uri="{DE250136-89BD-433C-8126-D09CA5730AF9}">
        <x15:connection id="AllData">
          <x15:rangePr sourceName="_xlcn.WorksheetConnection_AllData1"/>
        </x15:connection>
      </ext>
    </extLst>
  </connection>
  <connection id="3" xr16:uid="{74C837A9-90F1-4BB6-81E9-6982EB9FF9C0}" name="WorksheetConnection_AllDataMap" type="102" refreshedVersion="8" minRefreshableVersion="5">
    <extLst>
      <ext xmlns:x15="http://schemas.microsoft.com/office/spreadsheetml/2010/11/main" uri="{DE250136-89BD-433C-8126-D09CA5730AF9}">
        <x15:connection id="AllDataMap">
          <x15:rangePr sourceName="_xlcn.WorksheetConnection_AllDataMap1"/>
        </x15:connection>
      </ext>
    </extLst>
  </connection>
  <connection id="4" xr16:uid="{9DD929D0-D1A8-4FA6-AA21-8B6CB2A0CC59}" name="WorksheetConnection_Code for MapCustomiser!$A$1:$C$67" type="102" refreshedVersion="8" minRefreshableVersion="5">
    <extLst>
      <ext xmlns:x15="http://schemas.microsoft.com/office/spreadsheetml/2010/11/main" uri="{DE250136-89BD-433C-8126-D09CA5730AF9}">
        <x15:connection id="Range">
          <x15:rangePr sourceName="_xlcn.WorksheetConnection_CodeforMapCustomiserA1C671"/>
        </x15:connection>
      </ext>
    </extLst>
  </connection>
  <connection id="5" xr16:uid="{438D44EA-00EF-4797-8978-E9B54DE0B404}" name="WorksheetConnection_Excel 3D Map!$A$1:$I$67" type="102" refreshedVersion="8" minRefreshableVersion="5">
    <extLst>
      <ext xmlns:x15="http://schemas.microsoft.com/office/spreadsheetml/2010/11/main" uri="{DE250136-89BD-433C-8126-D09CA5730AF9}">
        <x15:connection id="Range 3">
          <x15:rangePr sourceName="_xlcn.WorksheetConnection_Excel3DMapA1I671"/>
        </x15:connection>
      </ext>
    </extLst>
  </connection>
  <connection id="6" xr16:uid="{9EC45D93-403B-4692-9E35-C3FA4F1EC4D5}" name="WorksheetConnection_Tables!$B$11:$D$77" type="102" refreshedVersion="8" minRefreshableVersion="5">
    <extLst>
      <ext xmlns:x15="http://schemas.microsoft.com/office/spreadsheetml/2010/11/main" uri="{DE250136-89BD-433C-8126-D09CA5730AF9}">
        <x15:connection id="Range 1">
          <x15:rangePr sourceName="_xlcn.WorksheetConnection_TablesB11D771"/>
        </x15:connection>
      </ext>
    </extLst>
  </connection>
  <connection id="7" xr16:uid="{1865A49F-0863-4DAD-BA0F-C8AC886B25B1}" name="WorksheetConnection_Tables!$H$11:$H$77" type="102" refreshedVersion="8" minRefreshableVersion="5">
    <extLst>
      <ext xmlns:x15="http://schemas.microsoft.com/office/spreadsheetml/2010/11/main" uri="{DE250136-89BD-433C-8126-D09CA5730AF9}">
        <x15:connection id="Range 2">
          <x15:rangePr sourceName="_xlcn.WorksheetConnection_TablesH11H77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8">
    <bk>
      <extLst>
        <ext uri="{3e2802c4-a4d2-4d8b-9148-e3be6c30e623}">
          <xlrd:rvb i="0"/>
        </ext>
      </extLst>
    </bk>
    <bk>
      <extLst>
        <ext uri="{3e2802c4-a4d2-4d8b-9148-e3be6c30e623}">
          <xlrd:rvb i="61"/>
        </ext>
      </extLst>
    </bk>
    <bk>
      <extLst>
        <ext uri="{3e2802c4-a4d2-4d8b-9148-e3be6c30e623}">
          <xlrd:rvb i="71"/>
        </ext>
      </extLst>
    </bk>
    <bk>
      <extLst>
        <ext uri="{3e2802c4-a4d2-4d8b-9148-e3be6c30e623}">
          <xlrd:rvb i="79"/>
        </ext>
      </extLst>
    </bk>
    <bk>
      <extLst>
        <ext uri="{3e2802c4-a4d2-4d8b-9148-e3be6c30e623}">
          <xlrd:rvb i="86"/>
        </ext>
      </extLst>
    </bk>
    <bk>
      <extLst>
        <ext uri="{3e2802c4-a4d2-4d8b-9148-e3be6c30e623}">
          <xlrd:rvb i="93"/>
        </ext>
      </extLst>
    </bk>
    <bk>
      <extLst>
        <ext uri="{3e2802c4-a4d2-4d8b-9148-e3be6c30e623}">
          <xlrd:rvb i="100"/>
        </ext>
      </extLst>
    </bk>
    <bk>
      <extLst>
        <ext uri="{3e2802c4-a4d2-4d8b-9148-e3be6c30e623}">
          <xlrd:rvb i="107"/>
        </ext>
      </extLst>
    </bk>
    <bk>
      <extLst>
        <ext uri="{3e2802c4-a4d2-4d8b-9148-e3be6c30e623}">
          <xlrd:rvb i="114"/>
        </ext>
      </extLst>
    </bk>
    <bk>
      <extLst>
        <ext uri="{3e2802c4-a4d2-4d8b-9148-e3be6c30e623}">
          <xlrd:rvb i="121"/>
        </ext>
      </extLst>
    </bk>
    <bk>
      <extLst>
        <ext uri="{3e2802c4-a4d2-4d8b-9148-e3be6c30e623}">
          <xlrd:rvb i="129"/>
        </ext>
      </extLst>
    </bk>
    <bk>
      <extLst>
        <ext uri="{3e2802c4-a4d2-4d8b-9148-e3be6c30e623}">
          <xlrd:rvb i="136"/>
        </ext>
      </extLst>
    </bk>
    <bk>
      <extLst>
        <ext uri="{3e2802c4-a4d2-4d8b-9148-e3be6c30e623}">
          <xlrd:rvb i="144"/>
        </ext>
      </extLst>
    </bk>
    <bk>
      <extLst>
        <ext uri="{3e2802c4-a4d2-4d8b-9148-e3be6c30e623}">
          <xlrd:rvb i="150"/>
        </ext>
      </extLst>
    </bk>
    <bk>
      <extLst>
        <ext uri="{3e2802c4-a4d2-4d8b-9148-e3be6c30e623}">
          <xlrd:rvb i="157"/>
        </ext>
      </extLst>
    </bk>
    <bk>
      <extLst>
        <ext uri="{3e2802c4-a4d2-4d8b-9148-e3be6c30e623}">
          <xlrd:rvb i="164"/>
        </ext>
      </extLst>
    </bk>
    <bk>
      <extLst>
        <ext uri="{3e2802c4-a4d2-4d8b-9148-e3be6c30e623}">
          <xlrd:rvb i="170"/>
        </ext>
      </extLst>
    </bk>
    <bk>
      <extLst>
        <ext uri="{3e2802c4-a4d2-4d8b-9148-e3be6c30e623}">
          <xlrd:rvb i="178"/>
        </ext>
      </extLst>
    </bk>
    <bk>
      <extLst>
        <ext uri="{3e2802c4-a4d2-4d8b-9148-e3be6c30e623}">
          <xlrd:rvb i="184"/>
        </ext>
      </extLst>
    </bk>
    <bk>
      <extLst>
        <ext uri="{3e2802c4-a4d2-4d8b-9148-e3be6c30e623}">
          <xlrd:rvb i="191"/>
        </ext>
      </extLst>
    </bk>
    <bk>
      <extLst>
        <ext uri="{3e2802c4-a4d2-4d8b-9148-e3be6c30e623}">
          <xlrd:rvb i="198"/>
        </ext>
      </extLst>
    </bk>
    <bk>
      <extLst>
        <ext uri="{3e2802c4-a4d2-4d8b-9148-e3be6c30e623}">
          <xlrd:rvb i="205"/>
        </ext>
      </extLst>
    </bk>
    <bk>
      <extLst>
        <ext uri="{3e2802c4-a4d2-4d8b-9148-e3be6c30e623}">
          <xlrd:rvb i="210"/>
        </ext>
      </extLst>
    </bk>
    <bk>
      <extLst>
        <ext uri="{3e2802c4-a4d2-4d8b-9148-e3be6c30e623}">
          <xlrd:rvb i="219"/>
        </ext>
      </extLst>
    </bk>
    <bk>
      <extLst>
        <ext uri="{3e2802c4-a4d2-4d8b-9148-e3be6c30e623}">
          <xlrd:rvb i="226"/>
        </ext>
      </extLst>
    </bk>
    <bk>
      <extLst>
        <ext uri="{3e2802c4-a4d2-4d8b-9148-e3be6c30e623}">
          <xlrd:rvb i="233"/>
        </ext>
      </extLst>
    </bk>
    <bk>
      <extLst>
        <ext uri="{3e2802c4-a4d2-4d8b-9148-e3be6c30e623}">
          <xlrd:rvb i="239"/>
        </ext>
      </extLst>
    </bk>
    <bk>
      <extLst>
        <ext uri="{3e2802c4-a4d2-4d8b-9148-e3be6c30e623}">
          <xlrd:rvb i="245"/>
        </ext>
      </extLst>
    </bk>
  </futureMetadata>
  <cellMetadata count="1">
    <bk>
      <rc t="1" v="0"/>
    </bk>
  </cellMetadata>
  <valueMetadata count="2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valueMetadata>
</metadata>
</file>

<file path=xl/sharedStrings.xml><?xml version="1.0" encoding="utf-8"?>
<sst xmlns="http://schemas.openxmlformats.org/spreadsheetml/2006/main" count="9272" uniqueCount="1966">
  <si>
    <t>EC UUID</t>
  </si>
  <si>
    <t>Date</t>
  </si>
  <si>
    <t>Season</t>
  </si>
  <si>
    <t>Year</t>
  </si>
  <si>
    <t>Time</t>
  </si>
  <si>
    <t>Time of Day</t>
  </si>
  <si>
    <t>Site Name</t>
  </si>
  <si>
    <t>Region</t>
  </si>
  <si>
    <t>River</t>
  </si>
  <si>
    <t>Location Name</t>
  </si>
  <si>
    <t>Latitude</t>
  </si>
  <si>
    <t>Longitude</t>
  </si>
  <si>
    <t>Above or Below CSO</t>
  </si>
  <si>
    <t>Electrical Conductivity (Micros)</t>
  </si>
  <si>
    <t>Water Temp (deg C)</t>
  </si>
  <si>
    <t>Nitrate (PPM)</t>
  </si>
  <si>
    <t>Nitrate Pollution Category</t>
  </si>
  <si>
    <t>Phosphate (PPM)</t>
  </si>
  <si>
    <t>Phosphate Pollution Category</t>
  </si>
  <si>
    <t>River Height</t>
  </si>
  <si>
    <t>Comments</t>
  </si>
  <si>
    <t>6ed071cd-45fd-4875-8cd6-450bf52aa8cb</t>
  </si>
  <si>
    <t>Abbey mill</t>
  </si>
  <si>
    <t>N/A</t>
  </si>
  <si>
    <t>f4ef2256-af96-4f64-a6d8-ceee237ca5ef</t>
  </si>
  <si>
    <t>Abbey Mill</t>
  </si>
  <si>
    <t>Heavy rain night before</t>
  </si>
  <si>
    <t>a0cc23bb-7d8c-4571-8157-2d0ef58f61d0</t>
  </si>
  <si>
    <t>Twyning fleet</t>
  </si>
  <si>
    <t>Below</t>
  </si>
  <si>
    <t>Overnight rain</t>
  </si>
  <si>
    <t>c55c84cd-5ff1-412b-ad2a-dd08ef95f200</t>
  </si>
  <si>
    <t>Na</t>
  </si>
  <si>
    <t>b6891147-dc9b-41c9-a2d6-6968f644f703</t>
  </si>
  <si>
    <t>Hampton Wood</t>
  </si>
  <si>
    <t>Recent heavy rain</t>
  </si>
  <si>
    <t>01525da3-924e-4390-89af-a8800931128f</t>
  </si>
  <si>
    <t>Hampton Lucy</t>
  </si>
  <si>
    <t>d68e83ca-6e5b-42df-a0ed-4690e321a2bc</t>
  </si>
  <si>
    <t>Welford Boat Station</t>
  </si>
  <si>
    <t>0ef93e7c-b600-4737-8350-3642f0fa5ebb</t>
  </si>
  <si>
    <t>Weston on Avon</t>
  </si>
  <si>
    <t>Recent rain</t>
  </si>
  <si>
    <t>ff26a779-a533-4993-9a3d-843bffed6f4e</t>
  </si>
  <si>
    <t>b253354f-f980-4246-997b-3eaf71f60bed</t>
  </si>
  <si>
    <t>River level up</t>
  </si>
  <si>
    <t>d69491ee-8874-4f31-aacd-9be8661e0b93</t>
  </si>
  <si>
    <t>River level up, recent persistent rainfall</t>
  </si>
  <si>
    <t>d7a20ea7-ff8e-4286-b6f7-1d7422c8dc96</t>
  </si>
  <si>
    <t>Barton</t>
  </si>
  <si>
    <t>Recent rain, river up</t>
  </si>
  <si>
    <t>257f6381-de53-42a1-bab6-fe9f0b117aa0</t>
  </si>
  <si>
    <t>River up recent rain</t>
  </si>
  <si>
    <t>3821b560-ac71-4948-8687-5c108d83cbde</t>
  </si>
  <si>
    <t>Twyning Fleet</t>
  </si>
  <si>
    <t>No rain for 24 hours</t>
  </si>
  <si>
    <t>22a4cc33-34d7-4fed-9c34-614c31334e0a</t>
  </si>
  <si>
    <t>ed9be5c9-edb7-4ad0-ba12-eec02f3924e8</t>
  </si>
  <si>
    <t>Recent heavy rain, river up</t>
  </si>
  <si>
    <t>af14d607-196b-495a-bd78-6f0bb09961a7</t>
  </si>
  <si>
    <t>87320fc3-299b-4125-8145-5b5b42cb3f39</t>
  </si>
  <si>
    <t>Slight rain period</t>
  </si>
  <si>
    <t>cc4830d9-6616-4d87-bb68-f1cbd984807e</t>
  </si>
  <si>
    <t>Rain</t>
  </si>
  <si>
    <t>641baca1-69b1-46ce-8b68-ef76e812053f</t>
  </si>
  <si>
    <t>Avonbank Drive</t>
  </si>
  <si>
    <t>Above</t>
  </si>
  <si>
    <t>Nitrites zero</t>
  </si>
  <si>
    <t>c289325c-e4ce-4658-a15b-58e53567bcd6</t>
  </si>
  <si>
    <t>Pitch 16</t>
  </si>
  <si>
    <t>Nitrite zero</t>
  </si>
  <si>
    <t>04705aae-02a3-4d7c-86bb-d289bf72f9a1</t>
  </si>
  <si>
    <t>6f8aac89-5e80-4193-97f4-940bd1cae727</t>
  </si>
  <si>
    <t>1d7efa85-fdfa-4911-ac48-c2996ce570a9</t>
  </si>
  <si>
    <t>a139e5f8-2568-4632-b572-20c71197e869</t>
  </si>
  <si>
    <t>500dc2ae-8a76-4294-aaf3-2c4ea95ce1a3</t>
  </si>
  <si>
    <t>1a5bf170-f294-4dab-a6aa-1b960f341b04</t>
  </si>
  <si>
    <t>c2bf2c75-7240-438e-9523-3069f22fd502</t>
  </si>
  <si>
    <t>Mod rain 2 days before</t>
  </si>
  <si>
    <t>fe878346-e8e5-4fe8-a2ef-2a96edd3ebc6</t>
  </si>
  <si>
    <t>Unknown</t>
  </si>
  <si>
    <t>044a1787-e7c8-4e65-8cf2-327cf840cc90</t>
  </si>
  <si>
    <t>Rainy day</t>
  </si>
  <si>
    <t>e4c50923-d8fd-42f6-aa0c-d1283da57bb0</t>
  </si>
  <si>
    <t>Swillgate A38</t>
  </si>
  <si>
    <t>9dd01429-9938-4955-99d9-2b00ef8772fc</t>
  </si>
  <si>
    <t>Air temp 22.0C</t>
  </si>
  <si>
    <t>049b517d-96ed-401c-83f3-bb85b4119f7f</t>
  </si>
  <si>
    <t>Air temp 20.4C</t>
  </si>
  <si>
    <t>f06abadc-cffb-46b2-90c4-bf62dab1d467</t>
  </si>
  <si>
    <t>Carrant Bredon rd</t>
  </si>
  <si>
    <t>f9f101f9-5e04-4344-b569-6107169e2e5a</t>
  </si>
  <si>
    <t>f67ab0de-4a10-4580-ae20-61aa4775ea05</t>
  </si>
  <si>
    <t>5b9811d1-9c8b-4f79-b179-89a432ab89fd</t>
  </si>
  <si>
    <t>74104bdd-3d24-4c1f-8d70-1f3ad35ec2b5</t>
  </si>
  <si>
    <t>1091ecb3-1dbe-4072-a76e-5ddf5f74e263</t>
  </si>
  <si>
    <t>Good weather</t>
  </si>
  <si>
    <t>c968c458-847b-4b97-9ea6-abb038149e0c</t>
  </si>
  <si>
    <t>4d4d0d95-a16a-4d7e-8a19-f630552ae11e</t>
  </si>
  <si>
    <t>109d5e15-a4e5-42b1-bbbb-cbfe613f4579</t>
  </si>
  <si>
    <t>48f70567-cdaa-44a3-a9f3-48da21469e75</t>
  </si>
  <si>
    <t>584e557c-49ba-4917-9d69-4c1caccd5cfc</t>
  </si>
  <si>
    <t>9ba82700-d5a6-11ee-bc34-7bdadb8024dc</t>
  </si>
  <si>
    <t>Avonbank</t>
  </si>
  <si>
    <t>66671370-d5a7-11ee-bc34-7bdadb8024dc</t>
  </si>
  <si>
    <t>66595e15-931f-4649-aa03-7eb9b9b3a889</t>
  </si>
  <si>
    <t>42262e65-3844-423a-b60c-94e77b94c258</t>
  </si>
  <si>
    <t>829c7a9c-2a5c-4618-89c9-9536e47d0a96</t>
  </si>
  <si>
    <t>54d8c716-7b4b-4a10-b7af-134877ef1673</t>
  </si>
  <si>
    <t>a3a6f1f0-e6c5-4317-a4be-8ab3b2a782f7</t>
  </si>
  <si>
    <t>19390f38-33bb-44c2-8bad-fa16a9c02fb1</t>
  </si>
  <si>
    <t>a8d5dfa9-564f-4bc2-b725-8326b886ea58</t>
  </si>
  <si>
    <t>69496ec7-e66d-4e43-927f-293cfc600852</t>
  </si>
  <si>
    <t>66a8bac9-97e6-4d80-8e16-5d0c5578223b</t>
  </si>
  <si>
    <t>67b272c8-cdfe-4791-923c-4ad2f96e0d15</t>
  </si>
  <si>
    <t>Dry day</t>
  </si>
  <si>
    <t>5634ba26-37cd-42cc-a4e2-bf2cd32144e7</t>
  </si>
  <si>
    <t>46d07d91-e86e-4ca4-8b80-bf8e8a969a50</t>
  </si>
  <si>
    <t>7c6698dc-54aa-4e44-b992-035c2b2e007a</t>
  </si>
  <si>
    <t>159457e7-de9b-4ca1-accb-41acf8da0741</t>
  </si>
  <si>
    <t>Talton Lodge</t>
  </si>
  <si>
    <t>fd2ba0ca-ee20-4359-8446-f84ec7be2466</t>
  </si>
  <si>
    <t>9da0a316-c8ad-4c11-86f6-1228f59a0725</t>
  </si>
  <si>
    <t>Stour Mill house Newbold</t>
  </si>
  <si>
    <t>River stour levelsv low</t>
  </si>
  <si>
    <t>f3fe33d0-6e6b-4631-b2eb-314106b412bf</t>
  </si>
  <si>
    <t>dc657287-9490-4f86-ba8c-420181d9799d</t>
  </si>
  <si>
    <t>Preston- on- stour.River bridge</t>
  </si>
  <si>
    <t>Slight drizzle falling.water height average.water sample taken,mid-stream.Flow rate- slow.</t>
  </si>
  <si>
    <t>1f121ae4-9ec4-4998-aeec-fccc36d4ac54</t>
  </si>
  <si>
    <t>08841540-d5a8-11ee-bc34-7bdadb8024dc</t>
  </si>
  <si>
    <t>a975abe0-d5a7-11ee-bc34-7bdadb8024dc</t>
  </si>
  <si>
    <t>6a96a3c3-3366-4e2f-b96b-93c4a1445c17</t>
  </si>
  <si>
    <t>dc33693c-593c-4326-939e-b84448cad98f</t>
  </si>
  <si>
    <t>517dc94f-9488-4c62-83af-39092ae41367</t>
  </si>
  <si>
    <t>3e6083f7-549f-40c1-9686-551580a6a90d</t>
  </si>
  <si>
    <t>01ec9871-3da1-4ff6-9a9b-805938c26770</t>
  </si>
  <si>
    <t>Calm - sunny - warm</t>
  </si>
  <si>
    <t>ff92751b-bfdc-420a-a829-67658b39ede1</t>
  </si>
  <si>
    <t>cc9edb2c-ddcf-4cbc-9a53-88cafda2642d</t>
  </si>
  <si>
    <t>Newbold Mill Stour</t>
  </si>
  <si>
    <t>Hot dry day 30C</t>
  </si>
  <si>
    <t>b8af2216-8351-4bc0-96b1-f9fdd2701644</t>
  </si>
  <si>
    <t>No phosphate test</t>
  </si>
  <si>
    <t>991eb9da-4b4f-4219-aca2-ace328ed78cc</t>
  </si>
  <si>
    <t>Preston- on- stour river bridge</t>
  </si>
  <si>
    <t>Outside temp 28c.mid river readings.still water.</t>
  </si>
  <si>
    <t>9be8c473-7a1f-4891-8ee0-2498d806ae79</t>
  </si>
  <si>
    <t>2ee360ba-cbe7-43f5-a3b5-59a49c43c793</t>
  </si>
  <si>
    <t>7040ea96-dbd0-437b-896f-18c654dff538</t>
  </si>
  <si>
    <t>d2a0f436-1fb5-45c4-9eb7-2190a13390d2</t>
  </si>
  <si>
    <t>962212ed-108d-41e0-a70e-37594a764c44</t>
  </si>
  <si>
    <t>3e565480-7013-4aec-97f1-4d8a7c44add1</t>
  </si>
  <si>
    <t>78fcc4e8-7025-4426-aa2d-8c263736fd78</t>
  </si>
  <si>
    <t>Stour Shipston bridge</t>
  </si>
  <si>
    <t>9cb85a1c-7267-49cd-8588-fc889f2c734b</t>
  </si>
  <si>
    <t>Stour, Mill House, Newbold</t>
  </si>
  <si>
    <t>1m below</t>
  </si>
  <si>
    <t>Heavy rain day before</t>
  </si>
  <si>
    <t>8f28044a-e54b-4286-9137-48536f4b8882</t>
  </si>
  <si>
    <t>Stour Bridge Shipston</t>
  </si>
  <si>
    <t>15m below</t>
  </si>
  <si>
    <t>0d83ac4c-a020-42cf-a098-61d39c624f96</t>
  </si>
  <si>
    <t>Preston river bridge</t>
  </si>
  <si>
    <t>Significant rainfall on 12 sept.</t>
  </si>
  <si>
    <t>f20ea913-9b8f-4e6b-884d-3f349678f523</t>
  </si>
  <si>
    <t>Overcast, occasional light rain</t>
  </si>
  <si>
    <t>d5d336de-b7dc-46f9-8499-7f11d49e7999</t>
  </si>
  <si>
    <t>43657ec0-b0a0-4485-b17f-d0199fba3b2b</t>
  </si>
  <si>
    <t>f847e8b9-d500-46e6-a4bd-969804a98039</t>
  </si>
  <si>
    <t>1c11bb32-ddf8-4c54-816f-e625d8887e3d</t>
  </si>
  <si>
    <t>e2f82034-8ee4-4122-91ce-c7d64c3a5591</t>
  </si>
  <si>
    <t>11f2d041-375d-4856-b733-44cd2786e013</t>
  </si>
  <si>
    <t>d13bb693-ba94-4d86-bcb9-66ebe621057c</t>
  </si>
  <si>
    <t>c7b8aee9-61a9-448f-a82a-5010cda6421b</t>
  </si>
  <si>
    <t>Light rain</t>
  </si>
  <si>
    <t>cb69ec20-772c-4f22-b2f5-9e66d2fd9b93</t>
  </si>
  <si>
    <t>Nitrate test failure, awaiting new equipment</t>
  </si>
  <si>
    <t>420affce-963a-4dba-89c1-85a53205aa79</t>
  </si>
  <si>
    <t>Heavy rainfall</t>
  </si>
  <si>
    <t>a76600a3-5b04-4f75-8a13-8b898ea5626b</t>
  </si>
  <si>
    <t>a63678f1-9874-467e-a5fd-ca5ae6072f1c</t>
  </si>
  <si>
    <t>806410c6-cab8-4bf5-a8f1-b46cea828067</t>
  </si>
  <si>
    <t>Preston onStour river bridge</t>
  </si>
  <si>
    <t>Readings taken day after heavy rain</t>
  </si>
  <si>
    <t>42cb884c-ccab-4725-b69c-b606fec57942</t>
  </si>
  <si>
    <t>Nitrite was zero</t>
  </si>
  <si>
    <t>074a8767-e1b3-4ac2-af1c-ba16d9a758d2</t>
  </si>
  <si>
    <t>8deb2403-cfd2-4330-959d-cca9b336fa07</t>
  </si>
  <si>
    <t>The Dell, TRINITY CHURCH</t>
  </si>
  <si>
    <t>One off test for the local paper</t>
  </si>
  <si>
    <t>375f367c-ce94-4904-9f51-95f00d5ce208</t>
  </si>
  <si>
    <t>0b0862c1-004c-496b-b3d1-43fc3a12b057</t>
  </si>
  <si>
    <t>9940d247-c159-4f66-b2cb-cc8c870f3d35</t>
  </si>
  <si>
    <t>Readings taken day after heavy rain showers.</t>
  </si>
  <si>
    <t>78be5301-6322-4227-b2aa-52e7e068ec92</t>
  </si>
  <si>
    <t>966b4ae0-d5a8-11ee-bc34-7bdadb8024dc</t>
  </si>
  <si>
    <t>519734b0-d5a8-11ee-bc34-7bdadb8024dc</t>
  </si>
  <si>
    <t>43321018-eab5-46c6-abae-e3960f788a59</t>
  </si>
  <si>
    <t>61bf3403-5bbf-40a5-b116-1e742085808c</t>
  </si>
  <si>
    <t>Stour, Mill Bridge, Shipston</t>
  </si>
  <si>
    <t>30m below</t>
  </si>
  <si>
    <t>9f9f1eaa-2ad7-47ac-8cdd-935dd9af0f6c</t>
  </si>
  <si>
    <t>Mill Stour Newbold</t>
  </si>
  <si>
    <t>88a978e6-d8fb-4c5e-8596-9217373f256b</t>
  </si>
  <si>
    <t>3399fa21-f6b5-4935-b46b-0e1178d30cdf</t>
  </si>
  <si>
    <t>River height slightly elevated</t>
  </si>
  <si>
    <t>f188a315-9a23-468e-a7cd-a199fb41d5e5</t>
  </si>
  <si>
    <t>Illmington middle st</t>
  </si>
  <si>
    <t>90dce08d-c7f3-48df-bf96-1b07787b9f06</t>
  </si>
  <si>
    <t>dfc672e4-8cf7-4838-af51-5f31049c330e</t>
  </si>
  <si>
    <t>8c09afbc-b831-45ef-b78a-e7e93eb60496</t>
  </si>
  <si>
    <t>8c82a6ed-a29e-4e8e-9c8c-c6551a01ba30</t>
  </si>
  <si>
    <t>4be237d0-d5a9-11ee-bc34-7bdadb8024dc</t>
  </si>
  <si>
    <t>0338fdc0-d5a9-11ee-bc34-7bdadb8024dc</t>
  </si>
  <si>
    <t>51c48674-7f99-41c4-8940-55aab9ed0f42</t>
  </si>
  <si>
    <t>Lucy's Mill Bridge</t>
  </si>
  <si>
    <t>efbb770e-c45d-4bf3-8c6e-f896cf34b8f0</t>
  </si>
  <si>
    <t>785a0237-fc41-4757-bf46-7ef3f141146e</t>
  </si>
  <si>
    <t>c9125da6-fdbc-44eb-aca6-8b0b6f7ac88b</t>
  </si>
  <si>
    <t>Stour, Mill Newbold</t>
  </si>
  <si>
    <t>Heavy rain this am, but 1st for a while</t>
  </si>
  <si>
    <t>e5489438-fbb3-43bd-821a-9a7432397e7b</t>
  </si>
  <si>
    <t>Stour Shipston Mill bridge</t>
  </si>
  <si>
    <t>1st rain for a while</t>
  </si>
  <si>
    <t>d9a9caac-8d2d-4efd-b326-b3498b47e6a8</t>
  </si>
  <si>
    <t>Heavy rain overnight</t>
  </si>
  <si>
    <t>4035417c-d232-446a-9792-b6004802cb60</t>
  </si>
  <si>
    <t>Preston River bridge</t>
  </si>
  <si>
    <t>Readings taken the day after sustained rainfall.</t>
  </si>
  <si>
    <t>77da4ce6-896b-4de9-a57e-4445f78bfaa8</t>
  </si>
  <si>
    <t>Rain overnight</t>
  </si>
  <si>
    <t>d8905c11-d763-4b07-916d-6121063bf27d</t>
  </si>
  <si>
    <t>Cloudy muddy water. Nitrite zero.</t>
  </si>
  <si>
    <t>e6e2689b-d66e-4b78-b856-41c3438e3c1f</t>
  </si>
  <si>
    <t>f44c9eb5-bf6d-4f36-92e3-2e6a3a6bc30f</t>
  </si>
  <si>
    <t>Heavy rain</t>
  </si>
  <si>
    <t>ebff985e-6d41-4f09-9277-f3a4fe08e97c</t>
  </si>
  <si>
    <t>Heavy rain over night</t>
  </si>
  <si>
    <t>210526a8-153f-419d-a5a2-66a4042665c3</t>
  </si>
  <si>
    <t>Recent heavy rain, high river level</t>
  </si>
  <si>
    <t>81bedac2-d003-4550-a8a6-ceb144ce0707</t>
  </si>
  <si>
    <t>River up</t>
  </si>
  <si>
    <t>9138680a-729a-4aab-9e06-c326493fa0e0</t>
  </si>
  <si>
    <t>2 days rain, low temps</t>
  </si>
  <si>
    <t>6670e8be-c5de-4d2d-9c5e-d0c064f667bb</t>
  </si>
  <si>
    <t>135ea84a-e4e8-42a8-842a-7df1eb7f746a</t>
  </si>
  <si>
    <t>River high</t>
  </si>
  <si>
    <t>afe4d8d4-03ce-4bb7-aa07-45d5ac9c741b</t>
  </si>
  <si>
    <t>Clifford Chambers</t>
  </si>
  <si>
    <t>0bf43174-1b8c-4f1f-9cbb-793dc7c12935</t>
  </si>
  <si>
    <t>Wet and windy conditions</t>
  </si>
  <si>
    <t>d7063002-74ca-4dc6-ae2d-48c950474bcf</t>
  </si>
  <si>
    <t>48dd4415-8282-49c4-8be1-1873ac555b71</t>
  </si>
  <si>
    <t>Fairly consistant overnight rain</t>
  </si>
  <si>
    <t>181fbd61-8a30-458c-8033-f4cecacb0342</t>
  </si>
  <si>
    <t>River in flood, rainfall 60 mm in week up to 21/10 (my measurement close to sampling point</t>
  </si>
  <si>
    <t>8498d5bb-7e57-4e10-b44b-50fe752ea1d1</t>
  </si>
  <si>
    <t>Cloudy with heavy flooding</t>
  </si>
  <si>
    <t>a5557349-697c-41a3-aa31-150475eb0be9</t>
  </si>
  <si>
    <t>heavy rain, river high</t>
  </si>
  <si>
    <t>d4ec5169-2c4f-474a-9a7b-d3b75989cdda</t>
  </si>
  <si>
    <t>8e3dd0a6-e6cf-4ecb-b351-3799ee0da48b</t>
  </si>
  <si>
    <t>Clifford Chambers mill bridge</t>
  </si>
  <si>
    <t>River was in flood previous 2 days</t>
  </si>
  <si>
    <t>9716305c-1c82-42a6-8aa0-a4ef562e7505</t>
  </si>
  <si>
    <t>17164a2c-dc08-422b-a891-ae2d29b1bcb7</t>
  </si>
  <si>
    <t>e7a1f84c-5936-4fe3-8ccb-0df4246bf1f2</t>
  </si>
  <si>
    <t>River levels were very high on preceding days. On the 20th Oct Shipston gauge recorded 3.2m and the Mill Stour paddock  was completely submerged. This could account for the lower phosphate levels due to dilution effect of substantial rain fall.</t>
  </si>
  <si>
    <t>80b604d6-f670-4734-96ba-121858915922</t>
  </si>
  <si>
    <t>Flooding</t>
  </si>
  <si>
    <t>92c8867a-7ce2-4325-97f2-d83ba16f3296</t>
  </si>
  <si>
    <t>Preston river bridge.</t>
  </si>
  <si>
    <t>Some heavy rain over past few days</t>
  </si>
  <si>
    <t>d4540710-d5a9-11ee-bc34-7bdadb8024dc</t>
  </si>
  <si>
    <t>95e18c00-d5a9-11ee-bc34-7bdadb8024dc</t>
  </si>
  <si>
    <t>96090f29-fd2e-4abf-8bda-18bf913fb5c7</t>
  </si>
  <si>
    <t>High but falling.</t>
  </si>
  <si>
    <t>de8ca881-ffbc-4ca2-babe-9eaa9bf7fc32</t>
  </si>
  <si>
    <t>16521a20-cba5-4c5e-b3e5-e4fe6b7e728a</t>
  </si>
  <si>
    <t>2ba03779-8183-4ed4-a6b6-6597b7d51f73</t>
  </si>
  <si>
    <t>Rain the night before</t>
  </si>
  <si>
    <t>08ac030d-4455-4060-bfcb-e4a9d90380f0</t>
  </si>
  <si>
    <t>3634b7ae-9aa1-4e30-9571-06d3265094e3</t>
  </si>
  <si>
    <t>Swiffen Bank</t>
  </si>
  <si>
    <t>1caf13cd-200a-4a23-ba1a-b4634aec5846</t>
  </si>
  <si>
    <t>Alveston Weir</t>
  </si>
  <si>
    <t>8fb016f8-c0ba-4ecb-a6e4-041eb50c7642</t>
  </si>
  <si>
    <t>Falling floods, cloudy water</t>
  </si>
  <si>
    <t>ff580d46-1b49-4a24-820a-3699a3e913f4</t>
  </si>
  <si>
    <t>f6229593-01f2-45d6-b65a-230b3e483d31</t>
  </si>
  <si>
    <t>Floods</t>
  </si>
  <si>
    <t>897cabb8-10e8-4050-a7b2-537230639910</t>
  </si>
  <si>
    <t>River swollen,steady rainfall overnight</t>
  </si>
  <si>
    <t>d8501db5-3e92-4956-ad7e-02dd54e77320</t>
  </si>
  <si>
    <t>6322c611-ef17-419e-b07a-b1dcc787fd3d</t>
  </si>
  <si>
    <t>59bfb2e7-e506-4569-904b-2c35835d25ad</t>
  </si>
  <si>
    <t>river high</t>
  </si>
  <si>
    <t>b18b967b-bf1d-4533-b271-baef20c3756c</t>
  </si>
  <si>
    <t>River height 0.99m. CSO gushing visibly as river level is above its outflow.</t>
  </si>
  <si>
    <t>eb2117c9-e72a-40b3-aae7-99c136f2a6f3</t>
  </si>
  <si>
    <t>Flood, noticeable current</t>
  </si>
  <si>
    <t>233c0ac5-d98b-402c-9316-618f3f43793a</t>
  </si>
  <si>
    <t>4db7b3f7-7993-4cd0-b5dd-7717bc14ef96</t>
  </si>
  <si>
    <t>Rain day before</t>
  </si>
  <si>
    <t>253ceb35-5f3e-473f-8be2-414873c389bc</t>
  </si>
  <si>
    <t>Rain - river up, brown</t>
  </si>
  <si>
    <t>4cadf966-51ae-4bc8-801b-87bae5888a32</t>
  </si>
  <si>
    <t>No rain for 3 days, flood susiding</t>
  </si>
  <si>
    <t>da686336-e3e4-4d27-9229-08aa4e1ea5bc</t>
  </si>
  <si>
    <t>River starting to recede after overflowing following heavy rain</t>
  </si>
  <si>
    <t>b0f72158-ec32-4f28-8179-c163b971bde1</t>
  </si>
  <si>
    <t>a8da563b-bed3-4ab9-9417-68e52e1e5467</t>
  </si>
  <si>
    <t>14936ade-32e5-4893-bfd0-3f548a0fc805</t>
  </si>
  <si>
    <t>Overcast. Raining preceding day</t>
  </si>
  <si>
    <t>c7290f07-1070-43a7-b434-27d8c0788462</t>
  </si>
  <si>
    <t>e0d76c7c-4219-4f47-b880-25d50120bc02</t>
  </si>
  <si>
    <t>River level fairly high</t>
  </si>
  <si>
    <t>122e0892-aee7-489b-a5f1-e6009a4c540d</t>
  </si>
  <si>
    <t>Stour, Shipston, Mill bridge</t>
  </si>
  <si>
    <t>a742d9c3-c5e7-48e5-8916-6536bd256c38</t>
  </si>
  <si>
    <t>Stour, Cherington, bridge next to treatment plant</t>
  </si>
  <si>
    <t>f282b36f-7b7d-42b4-adaf-4ef6802b5aa6</t>
  </si>
  <si>
    <t>41df3fbe-236b-4dd0-bb57-f5ac9963f060</t>
  </si>
  <si>
    <t>7812fd5e-977e-491b-87ec-7e153f110769</t>
  </si>
  <si>
    <t>Avonbank drive</t>
  </si>
  <si>
    <t>988ff23c-d3dd-4d09-a0cd-1c81a501deef</t>
  </si>
  <si>
    <t>633d5253-c5a1-4044-85f0-4af7a892150d</t>
  </si>
  <si>
    <t>5df15fd3-83c2-4908-b277-166e7e4fd608</t>
  </si>
  <si>
    <t>wet - river up, slow flow</t>
  </si>
  <si>
    <t>c5b3f6d9-30a8-4213-b353-e5bc7a0bf332</t>
  </si>
  <si>
    <t>c217b04a-ea2f-442b-ae8e-c9954c0163e6</t>
  </si>
  <si>
    <t>Clifford mill bridge</t>
  </si>
  <si>
    <t>Some rain night before</t>
  </si>
  <si>
    <t>391c9c70-8794-11ee-914d-6b49437b7337</t>
  </si>
  <si>
    <t>Stour Stretton-on-Fosse sewage</t>
  </si>
  <si>
    <t>ddf41fd0-8793-11ee-914d-6b49437b7337</t>
  </si>
  <si>
    <t>Stour Stretton-on-Fosse village side</t>
  </si>
  <si>
    <t>b45fca82-8a42-4e47-81f5-01ba85913f4a</t>
  </si>
  <si>
    <t>d98f4eca-1824-4f76-b0cb-8cf16d73e032</t>
  </si>
  <si>
    <t>Dry. Rain on preceding days</t>
  </si>
  <si>
    <t>08d7d7ca-19e3-4ab3-8482-e62906f2aa1c</t>
  </si>
  <si>
    <t>Visible copious quantities white foam</t>
  </si>
  <si>
    <t>30eeb99c-dc1d-4c87-868a-57690e4ef7a0</t>
  </si>
  <si>
    <t>Floods receding</t>
  </si>
  <si>
    <t>3029cea9-cca6-456a-8c63-e8189adc38e5</t>
  </si>
  <si>
    <t>Fast flowing and swollen after sustained rainfall</t>
  </si>
  <si>
    <t>dcad51ed-7e2d-4870-90b8-9baf5a6501c3</t>
  </si>
  <si>
    <t>da0474af-e15b-43de-a655-c91d6d6cf338</t>
  </si>
  <si>
    <t>72696092-20b4-47e6-b6ed-5dc874d3f5ff</t>
  </si>
  <si>
    <t>5e013c80-d5aa-11ee-bc34-7bdadb8024dc</t>
  </si>
  <si>
    <t>20cdaa10-d5aa-11ee-bc34-7bdadb8024dc</t>
  </si>
  <si>
    <t>33ad9768-6294-4062-9d15-093a44f585f0</t>
  </si>
  <si>
    <t>c8616238-dab5-4aff-a4d7-6816734a772e</t>
  </si>
  <si>
    <t>60f36add-ea4b-4bb6-bb93-78e6a5aaed71</t>
  </si>
  <si>
    <t>8fff187f-bcf1-471c-af96-d00c00e8e1e7</t>
  </si>
  <si>
    <t>Wet, river up, fast flow</t>
  </si>
  <si>
    <t>60aaa763-4ff9-4816-997b-44a7a431bfb6</t>
  </si>
  <si>
    <t>6cb68667-2ffe-495f-a697-e3a017a395c0</t>
  </si>
  <si>
    <t>1f335672-8451-4b38-a7a4-7977d44c7eda</t>
  </si>
  <si>
    <t>90227f33-1e30-4e86-b50f-b6e6b071d8ce</t>
  </si>
  <si>
    <t>3dbef070-22d5-40fb-b68e-41a1833f3e4e</t>
  </si>
  <si>
    <t>Stour, Newbold, Mill</t>
  </si>
  <si>
    <t>New nitrate strips being used</t>
  </si>
  <si>
    <t>53c96d42-5bbe-4fa8-8d5c-fa67f4e447e1</t>
  </si>
  <si>
    <t>Stour, Newbold, millstream</t>
  </si>
  <si>
    <t>20m above</t>
  </si>
  <si>
    <t>Upstream with new nitrate strips</t>
  </si>
  <si>
    <t>9008626e-9af1-477d-b981-a2102e0a8598</t>
  </si>
  <si>
    <t>c237c586-c0cf-480a-b309-4e3ceebfaf24</t>
  </si>
  <si>
    <t>94b1240e-b71e-4971-905b-812a3b5f2dae</t>
  </si>
  <si>
    <t>River is quite a bit lower this week</t>
  </si>
  <si>
    <t>1b805132-3573-496c-8b3c-910181a08f22</t>
  </si>
  <si>
    <t>4f7816e0-0daa-4109-95d3-62d006ed352f</t>
  </si>
  <si>
    <t>e1abf9d7-4884-4a50-9dd9-b935563ca07f</t>
  </si>
  <si>
    <t>00c6b1c0-5fc1-4c89-b7bd-1952cf466e47</t>
  </si>
  <si>
    <t>8b1a5760-d38c-4d0b-afab-7879eaff055b</t>
  </si>
  <si>
    <t>d9731765-dca0-4b5f-9350-bb7760e87df4</t>
  </si>
  <si>
    <t>12350ba8-6e64-4500-90a8-48a2a6f6a5b1</t>
  </si>
  <si>
    <t>63d664c9-744b-48e7-a420-204e44133d89</t>
  </si>
  <si>
    <t>river down - slow flow</t>
  </si>
  <si>
    <t>0b91d7bc-ba28-4182-b202-fc7387c65e94</t>
  </si>
  <si>
    <t>756cdf58-bc67-43cd-a211-eb3d9448cf04</t>
  </si>
  <si>
    <t>Stour Stretton-on-Fosse Village side</t>
  </si>
  <si>
    <t>8b0d7c1a-0fc7-4dc5-91c2-3bb5d83ba62d</t>
  </si>
  <si>
    <t>1356f307-582f-4c81-84b7-e9546325680f</t>
  </si>
  <si>
    <t>ceb9be50-0616-4d1d-af4d-89c6ea72fe8e</t>
  </si>
  <si>
    <t>0b021b97-9d43-4ef8-a3fa-d1ff192ea184</t>
  </si>
  <si>
    <t>Dry sunny cold</t>
  </si>
  <si>
    <t>0002cd55-161b-49c4-b066-318afa8b3b46</t>
  </si>
  <si>
    <t>215f5837-a339-46f7-89e9-b8874652120e</t>
  </si>
  <si>
    <t>df258a00-d5aa-11ee-bc34-7bdadb8024dc</t>
  </si>
  <si>
    <t>a92e3b40-d5aa-11ee-bc34-7bdadb8024dc</t>
  </si>
  <si>
    <t>cb12f430-3801-427d-93fc-bf46147eabff</t>
  </si>
  <si>
    <t>e0b36504-61ec-40ed-90c3-ce6bf2abed7d</t>
  </si>
  <si>
    <t>26b01a1d-2012-4298-9aed-1288e2134e46</t>
  </si>
  <si>
    <t>dbfe05a5-494d-4a1b-b1eb-30dc7d3d0e7e</t>
  </si>
  <si>
    <t>Low surface foam</t>
  </si>
  <si>
    <t>daae94f3-2708-4192-a7c3-2e6d8976587a</t>
  </si>
  <si>
    <t>c0017d5b-205c-4065-94de-873d1cc85c13</t>
  </si>
  <si>
    <t>b4f0a4eb-a3ab-4ec6-9187-9120dbc8e7fa</t>
  </si>
  <si>
    <t>f4317780-a947-45da-ba54-9f2a7594efbd</t>
  </si>
  <si>
    <t>dcbd175a-6538-4f5c-9a53-53f68bd3a9f1</t>
  </si>
  <si>
    <t>Raim - river slightly up</t>
  </si>
  <si>
    <t>27e21a5b-4d52-4538-8d53-dd5761317e21</t>
  </si>
  <si>
    <t>0464ad52-0271-41bb-9dab-03f30e55a852</t>
  </si>
  <si>
    <t>a6c8ac4c-0605-411f-b35e-71f8f8254ab0</t>
  </si>
  <si>
    <t>There has been heavy rain a few days ago and the river has flooded</t>
  </si>
  <si>
    <t>8e337339-eecd-4685-8bf2-a085f6dc9801</t>
  </si>
  <si>
    <t>River flooded after heavy rainfall - farm opposite collection point flooded</t>
  </si>
  <si>
    <t>ffc6aff0-3f65-4ea8-ad2c-430ef18f2adc</t>
  </si>
  <si>
    <t>Wet weather</t>
  </si>
  <si>
    <t>337b3f1d-6c2c-4985-ade3-fdce87ef6aa4</t>
  </si>
  <si>
    <t>Swilgate A38</t>
  </si>
  <si>
    <t>heavy rain day before.</t>
  </si>
  <si>
    <t>a064518e-9cee-4efd-8998-602626c83ebd</t>
  </si>
  <si>
    <t>Tested 20metres from pitch 16 because it was underwater</t>
  </si>
  <si>
    <t>391d5add-c9e5-4ff9-8134-ec86ac0e6302</t>
  </si>
  <si>
    <t>d264a693-f51c-452d-959a-87929c1fe13d</t>
  </si>
  <si>
    <t>e12bb254-4f03-4df3-b62f-d0b8782d070f</t>
  </si>
  <si>
    <t>River swollen after heavy day/ night rain</t>
  </si>
  <si>
    <t>fca199ee-c7a5-400b-8542-77dfa21d85c0</t>
  </si>
  <si>
    <t>Stour Shipston Fell Mill Bridge</t>
  </si>
  <si>
    <t>River in flood up to bridge</t>
  </si>
  <si>
    <t>beb995be-7d75-468d-bf84-7113319a6f26</t>
  </si>
  <si>
    <t>Rain am</t>
  </si>
  <si>
    <t>46a08c95-64cf-4827-b125-21a300209d58</t>
  </si>
  <si>
    <t>Clifford Chambers Road bridge</t>
  </si>
  <si>
    <t>In flood</t>
  </si>
  <si>
    <t>b659bf6f-85a0-4f42-9370-c43ff6071239</t>
  </si>
  <si>
    <t>72fc7fda-5867-47d7-878c-3c8bfde5cab9</t>
  </si>
  <si>
    <t>696cbad9-0a47-491a-9d65-6c9c81418429</t>
  </si>
  <si>
    <t>Shipston - Mill Bridge</t>
  </si>
  <si>
    <t>47aec998-1e8b-475e-ac61-7b616990a281</t>
  </si>
  <si>
    <t>b8e2d122-ae9b-436f-a86a-2f7d6271823b</t>
  </si>
  <si>
    <t>6d1d06a9-7dc1-46bc-903d-56518f6cbd62</t>
  </si>
  <si>
    <t>5d9b2941-b82d-442c-9413-4127f0e2ba0c</t>
  </si>
  <si>
    <t>4a15214a-a5ec-4220-8a45-68db678d1012</t>
  </si>
  <si>
    <t>ca978dfa-e396-4ecd-b82b-960885370cc4</t>
  </si>
  <si>
    <t>Carrant Bredon road</t>
  </si>
  <si>
    <t>494332c2-53e6-475f-9f86-7b8e6d5fcfb3</t>
  </si>
  <si>
    <t>Flood receeding.</t>
  </si>
  <si>
    <t>201e0360-d9b9-4bc8-9e06-9d9c74adce20</t>
  </si>
  <si>
    <t>Swiffen bank</t>
  </si>
  <si>
    <t>6c13ec04-810d-4aba-b307-e10674926059</t>
  </si>
  <si>
    <t>1623c9b5-3ef3-4714-b93e-936e2dadd69e</t>
  </si>
  <si>
    <t>458049f2-7150-4a50-8d6f-53e3f75a96f8</t>
  </si>
  <si>
    <t>759068f4-afcb-4793-8e8b-9c8e614d59f7</t>
  </si>
  <si>
    <t>No rain</t>
  </si>
  <si>
    <t>6dab7b82-ceaa-4340-be37-adc242b7b38d</t>
  </si>
  <si>
    <t>5fa119f9-f9be-43f3-ac3d-327b89029709</t>
  </si>
  <si>
    <t>78826b7e-c7f2-4896-afb6-774de138c34b</t>
  </si>
  <si>
    <t>130c4864-5896-4f84-b4f2-32bc27872af6</t>
  </si>
  <si>
    <t>10e79842-dbcb-4d36-9b58-7af6863111d3</t>
  </si>
  <si>
    <t>a2b8e44a-28ec-445e-a446-b20eee260f60</t>
  </si>
  <si>
    <t>Fair weather - river slow</t>
  </si>
  <si>
    <t>792be88e-b97c-4371-8659-27b0db36df5a</t>
  </si>
  <si>
    <t>394d487e-49c6-475a-bf63-2ec9d997722f</t>
  </si>
  <si>
    <t>7c6b7589-c455-4cd6-809e-200b8e70e79a</t>
  </si>
  <si>
    <t>27916f8d-04c2-40f4-bfc7-163f2dd1da6b</t>
  </si>
  <si>
    <t>0d4f454f-b435-407a-b977-aeda83f3e985</t>
  </si>
  <si>
    <t>It's been raining a lot agai.but water is lower than previous week</t>
  </si>
  <si>
    <t>143ad04a-01b3-4d32-a673-90f03ed4fc5b</t>
  </si>
  <si>
    <t>Light rain, flood still receeding.</t>
  </si>
  <si>
    <t>68e8fa00-ef10-41df-93c5-903ce68cbc80</t>
  </si>
  <si>
    <t>Stour, Newbold, MillHouse</t>
  </si>
  <si>
    <t>Overcast, cold, rain yesterday</t>
  </si>
  <si>
    <t>dccf02f0-89e9-40f8-b04e-4cd151120355</t>
  </si>
  <si>
    <t>6671141a-3d3a-4fb9-947c-6bba558f488e</t>
  </si>
  <si>
    <t>b8a9a21d-e4fe-4ac8-89bf-26cc3d249e55</t>
  </si>
  <si>
    <t>624b0419-e5d1-4273-a8a1-4fb6c53faf7f</t>
  </si>
  <si>
    <t>c59177ea-ea1e-43b0-a39b-486ca9a79297</t>
  </si>
  <si>
    <t>8752acca-6a53-485d-a856-2c63b7a5e341</t>
  </si>
  <si>
    <t>71a66781-6df3-497f-bf69-1b546ed98c85</t>
  </si>
  <si>
    <t>5b084c83-a71d-42c7-9a55-56dc390cd169</t>
  </si>
  <si>
    <t>bcc05ac4-de12-468b-935a-52d717737127</t>
  </si>
  <si>
    <t>190a0496-7744-4544-9aad-27cfaeb59cb3</t>
  </si>
  <si>
    <t>f9020a2e-dc95-4e6b-a7cf-9c24856b4d26</t>
  </si>
  <si>
    <t>It's been heavy rain most days this week</t>
  </si>
  <si>
    <t>5aac40f0-d010-40fa-bf3f-b4ad987322aa</t>
  </si>
  <si>
    <t>Swillgate</t>
  </si>
  <si>
    <t>Flooding and rain</t>
  </si>
  <si>
    <t>9b6b4334-c89e-4664-9db8-9e6cee39c634</t>
  </si>
  <si>
    <t>Heavy rain most of week ..flooded almost to steps</t>
  </si>
  <si>
    <t>383776a5-186e-4210-b1ff-6394571d9505</t>
  </si>
  <si>
    <t>cc2e5a8d-6a98-42cb-860b-d4199b4d821c</t>
  </si>
  <si>
    <t>Folding</t>
  </si>
  <si>
    <t>d8919322-09fd-45e6-b804-4e2ab048cf8b</t>
  </si>
  <si>
    <t>3f550df0-ceb0-499b-bb07-f020a752940a</t>
  </si>
  <si>
    <t>River very swollen.Prolonged rain.</t>
  </si>
  <si>
    <t>c88b34d3-a7c1-449e-af5b-99446a1d0e7e</t>
  </si>
  <si>
    <t>Very heavy rain and flooding 2 days ago</t>
  </si>
  <si>
    <t>587966fd-9ee0-4102-8560-bda7a42b7f7f</t>
  </si>
  <si>
    <t>Heavy rain and flooding 2 days ago</t>
  </si>
  <si>
    <t>a0961b92-331f-4d1f-a340-3dc44c0c1166</t>
  </si>
  <si>
    <t>d094226a-4b44-405d-8d82-749d822147d0</t>
  </si>
  <si>
    <t>Fell Mill Lane Footbridge nr Sewage Works</t>
  </si>
  <si>
    <t>5f9fb9d2-b74f-4f32-827d-c976815401c0</t>
  </si>
  <si>
    <t>In flood previous week</t>
  </si>
  <si>
    <t>e92e9643-1a60-4d52-a735-1980660d96df</t>
  </si>
  <si>
    <t>1a0b108f-af6f-47fc-9848-a92c2a6f9ba4</t>
  </si>
  <si>
    <t>Air temp 5</t>
  </si>
  <si>
    <t>eb7b2e94-cf61-4e37-bd0e-d95e051c6d34</t>
  </si>
  <si>
    <t>Air temp 4.8</t>
  </si>
  <si>
    <t>8af81e3d-dd23-4206-afcd-ae4622dff424</t>
  </si>
  <si>
    <t>870699d2-2f19-4a54-8ae3-55797a9c8ec3</t>
  </si>
  <si>
    <t>f2f37a55-e682-4bea-874d-00b86245beef</t>
  </si>
  <si>
    <t>Flooded but falling. just within banks. V. Turbid</t>
  </si>
  <si>
    <t>c1784267-217a-4727-b0bd-e684876e1bb1</t>
  </si>
  <si>
    <t>b1b90b9b-a8fa-4432-bdd1-2297cf2085bb</t>
  </si>
  <si>
    <t>adaccdcb-75ce-42ab-9be7-39ce8509104b</t>
  </si>
  <si>
    <t>Flooding.</t>
  </si>
  <si>
    <t>6ca7bf78-c341-4438-87d0-8482c2bf144a</t>
  </si>
  <si>
    <t>30c9788a-0cfa-453e-a15a-14cd16c788fb</t>
  </si>
  <si>
    <t>df0e05ba-96e7-4b25-b040-1fd0da26e18a</t>
  </si>
  <si>
    <t>Cold and dry (flooding of area over previous 2 weeks)</t>
  </si>
  <si>
    <t>8050d985-c27e-4a63-ba12-515a6673f418</t>
  </si>
  <si>
    <t>Stour Willington</t>
  </si>
  <si>
    <t>9c395c72-7b9f-45c8-a40f-ba1d627d4e27</t>
  </si>
  <si>
    <t>03017726-cc5e-4ecb-b74c-f131f98e567f</t>
  </si>
  <si>
    <t>Significant flood receeding and lots of flood related debris.</t>
  </si>
  <si>
    <t>115cf91d-595b-4a77-869f-a33347325a95</t>
  </si>
  <si>
    <t>Flood receding, debris evident</t>
  </si>
  <si>
    <t>ac49420d-4876-4454-a84e-d174b813bc54</t>
  </si>
  <si>
    <t>No rain for 3 days</t>
  </si>
  <si>
    <t>19200398-892b-433d-8523-97ebdfa8b885</t>
  </si>
  <si>
    <t>The Ford, Langley</t>
  </si>
  <si>
    <t>Dry clear weather</t>
  </si>
  <si>
    <t>99f4e3d2-ddb9-479e-a297-cad7e96267a4</t>
  </si>
  <si>
    <t>Dry</t>
  </si>
  <si>
    <t>28ddec3d-18b9-4eb5-8082-e64718993631</t>
  </si>
  <si>
    <t>da80b7ed-22a8-40ec-83e8-22991936fad6</t>
  </si>
  <si>
    <t>Level dropped rapidly. Also a lot clearer</t>
  </si>
  <si>
    <t>f5fa4ac3-5a71-46a9-a902-46c719e53ed0</t>
  </si>
  <si>
    <t>Bell Brook 1</t>
  </si>
  <si>
    <t>Nitrite = 0</t>
  </si>
  <si>
    <t>6e948500-fdcc-4a41-80f1-71fe7e4f248e</t>
  </si>
  <si>
    <t>Sherborne Brook 1</t>
  </si>
  <si>
    <t>Nitrite = 0.51</t>
  </si>
  <si>
    <t>dc9bd81c-a801-4135-b6f5-78eb4d39a259</t>
  </si>
  <si>
    <t>1f574aec-52f5-43d0-8934-22ff79f0808b</t>
  </si>
  <si>
    <t>a7476504-7fc6-4d0c-90ae-a759f36c0134</t>
  </si>
  <si>
    <t>2f80474e-dc0a-4d62-94f9-86474b9984b6</t>
  </si>
  <si>
    <t>2f2b42f7-dada-4659-9342-2ecc1955e576</t>
  </si>
  <si>
    <t>Stour Stretton-on-Fosse Village</t>
  </si>
  <si>
    <t>243c68e1-be2b-4696-82be-c9b72c802fa2</t>
  </si>
  <si>
    <t>Value exceeded limit of reader (2.50 flashing) . No obvious debris in sample, reading repeated, same result</t>
  </si>
  <si>
    <t>31739bce-9be5-4035-9f3f-0794cecfff5e</t>
  </si>
  <si>
    <t>9bf27c1c-b64d-4868-8938-703196dcb979</t>
  </si>
  <si>
    <t>6444e11c-237d-47cc-b6c8-1f397ccee063</t>
  </si>
  <si>
    <t>90405f01-247c-49bc-ba43-9633d0a7b2ec</t>
  </si>
  <si>
    <t>Dry and cloudy 5C</t>
  </si>
  <si>
    <t>92c29529-a704-4a95-8a7d-8d7551c7da81</t>
  </si>
  <si>
    <t>432be4ed-73e4-417c-8896-9cb43dbda9d8</t>
  </si>
  <si>
    <t>a6965d7f-fc8f-46fc-b7b3-d90c1effa274</t>
  </si>
  <si>
    <t>Lower lode</t>
  </si>
  <si>
    <t>f7e6466d-2cc7-42c7-a488-019dc534f389</t>
  </si>
  <si>
    <t>Langley Ford</t>
  </si>
  <si>
    <t>Dry clear day</t>
  </si>
  <si>
    <t>0da362ef-7dfa-4695-94b6-0cd7123f8bb0</t>
  </si>
  <si>
    <t>Dry all week</t>
  </si>
  <si>
    <t>c2200985-df1b-4d45-b9fc-c68cfd4123af</t>
  </si>
  <si>
    <t>3af9140d-883c-4385-946a-760eb903ece5</t>
  </si>
  <si>
    <t>d9ca1429-4b6b-4938-8ec9-b39b4756ade5</t>
  </si>
  <si>
    <t>8d7d51b2-15ce-475c-ae7d-a29bd677da97</t>
  </si>
  <si>
    <t>4c979640-409b-4035-9323-0c856a8b70f8</t>
  </si>
  <si>
    <t>99119816-e4ed-4300-a884-da2d6b1d2c2a</t>
  </si>
  <si>
    <t>Black Bear</t>
  </si>
  <si>
    <t>db9d0262-7df7-427a-a7ef-82437162a2ae</t>
  </si>
  <si>
    <t>a1bf6012-fc72-4405-83bf-608d00d5ad54</t>
  </si>
  <si>
    <t>Sherbourne Brook 1</t>
  </si>
  <si>
    <t>60715cb0-d5ab-11ee-bc34-7bdadb8024dc</t>
  </si>
  <si>
    <t>1a1df980-d5ab-11ee-bc34-7bdadb8024dc</t>
  </si>
  <si>
    <t>7a0c2c2a-d399-4f3c-9331-6cc21ef8c98f</t>
  </si>
  <si>
    <t>de4abaa5-f623-4c60-8c4d-c3bdeceba2c5</t>
  </si>
  <si>
    <t>cf4cd5e8-f8bc-4b87-89f7-711579cf95c3</t>
  </si>
  <si>
    <t>054fb488-4bdf-4b39-93ec-c39ec0ed1ddd</t>
  </si>
  <si>
    <t>Water very murky</t>
  </si>
  <si>
    <t>57ab01b0-ae21-4b3d-9f11-b6426a7e68c5</t>
  </si>
  <si>
    <t>Very murky after storm</t>
  </si>
  <si>
    <t>81d8cf21-49bc-465a-b954-44003cfc7dfa</t>
  </si>
  <si>
    <t>Pershore bridges</t>
  </si>
  <si>
    <t>c7920ee1-5ac0-47fc-a4b7-3d39a30f97d3</t>
  </si>
  <si>
    <t>Pershore leisure centre</t>
  </si>
  <si>
    <t>219851c4-c764-4cef-a766-2d5ce1c6e42f</t>
  </si>
  <si>
    <t>Cold and dry</t>
  </si>
  <si>
    <t>735e4b06-eff3-4d8f-87bb-9b7d85d5c1a8</t>
  </si>
  <si>
    <t>After flood</t>
  </si>
  <si>
    <t>dbd39613-7f9c-43c6-87ee-cb5cacf4b718</t>
  </si>
  <si>
    <t>High sediment</t>
  </si>
  <si>
    <t>f586dcc3-da35-4dc5-9dc3-740207c8c405</t>
  </si>
  <si>
    <t>c0224e96-428e-40fe-bb46-09a95d81b5da</t>
  </si>
  <si>
    <t>Lower Lode</t>
  </si>
  <si>
    <t>Dry and Windy</t>
  </si>
  <si>
    <t>ca765ae9-082b-4baf-9b3b-d852ee466a85</t>
  </si>
  <si>
    <t>River level high after recent flood</t>
  </si>
  <si>
    <t>87ee9d25-649b-4ca1-b380-485b438e2754</t>
  </si>
  <si>
    <t>Dry clear</t>
  </si>
  <si>
    <t>9160bce0-30dd-45e4-9a30-367c46e3f914</t>
  </si>
  <si>
    <t>b8ce4b7f-ea23-425a-bb27-9ba495f74f23</t>
  </si>
  <si>
    <t>Carrant Bredon Rd</t>
  </si>
  <si>
    <t>c71ec141-40ad-43e7-b140-312ff571503e</t>
  </si>
  <si>
    <t>d2a757b6-70ca-49f1-bca6-7e155876e922</t>
  </si>
  <si>
    <t>cde18298-ab3b-4622-aa57-551161bcc924</t>
  </si>
  <si>
    <t>d2017734-8ed9-4009-85a4-6fda59e7e00e</t>
  </si>
  <si>
    <t>008e9bd5-a5b5-4f3e-8884-e08d2ab65a5e</t>
  </si>
  <si>
    <t>34cefa65-60e3-43fc-a765-8b6c3d8e632d</t>
  </si>
  <si>
    <t>18bfd1d6-bd72-447f-a0bd-6a1924c7b611</t>
  </si>
  <si>
    <t>a1677aaf-c40e-4ded-a0a2-c7d35ba17984</t>
  </si>
  <si>
    <t>cd209a8a-321e-472f-87d2-28676a3302bc</t>
  </si>
  <si>
    <t>Dry and cloudy</t>
  </si>
  <si>
    <t>d29e3793-44cc-42b9-8b4e-eaf40d743062</t>
  </si>
  <si>
    <t>fe9a51d6-2e5f-47c8-9529-be0d3ecaaebd</t>
  </si>
  <si>
    <t>Lovely afternoon</t>
  </si>
  <si>
    <t>90e33a6e-404d-4350-b29c-bef2affe57bd</t>
  </si>
  <si>
    <t>Preston Bagot Canal</t>
  </si>
  <si>
    <t>3b130c5d-5a22-4c18-8f61-e9e029732126</t>
  </si>
  <si>
    <t>53d3bee4-eaa7-4b39-9a74-287568c8791c</t>
  </si>
  <si>
    <t>Preston Bagot Brook</t>
  </si>
  <si>
    <t>1d5de988-062a-448d-a263-d80a9e29b3a3</t>
  </si>
  <si>
    <t>21ceb11c-6b65-494f-8ef8-6885f557f1f8</t>
  </si>
  <si>
    <t>I check the phosphate reading by retesting and it can out the same again.</t>
  </si>
  <si>
    <t>4e66531e-5fea-414e-963b-db17a5d50127</t>
  </si>
  <si>
    <t>93f43250-c2ce-11ee-a880-59195475c978</t>
  </si>
  <si>
    <t>236a88e0-c2ce-11ee-a880-59195475c978</t>
  </si>
  <si>
    <t>5b45c7de-5132-4d6d-b32f-2a11f54be682</t>
  </si>
  <si>
    <t>517dfd9a-a01a-4f8d-8f3d-84664c2adb78</t>
  </si>
  <si>
    <t>bdeb83c6-8cec-45f0-b06c-b7fa804926ca</t>
  </si>
  <si>
    <t>d10d708b-dda6-4516-881c-82c6ed91460b</t>
  </si>
  <si>
    <t>7bb6cac1-6026-4fad-b3bd-6361383e8df2</t>
  </si>
  <si>
    <t>Phosphate reading off scale. True value thus not reflected in result</t>
  </si>
  <si>
    <t>e1b79719-f2d7-4532-b473-7d8a74b07188</t>
  </si>
  <si>
    <t>6012aa92-9c36-446f-a743-5902430a673a</t>
  </si>
  <si>
    <t>Alveston weir</t>
  </si>
  <si>
    <t>d0d97f7a-d3f3-48f4-aaaa-dbac200fe775</t>
  </si>
  <si>
    <t>Really windy, river moving quickly</t>
  </si>
  <si>
    <t>1ae702b3-279c-4f17-b7d7-dad7833a064d</t>
  </si>
  <si>
    <t>River v murky. Recent garden flooding Mill house</t>
  </si>
  <si>
    <t>0c059e2a-8eca-4bea-bab3-4035f4eb5976</t>
  </si>
  <si>
    <t>191a898a-b094-44db-93d4-06bbab195680</t>
  </si>
  <si>
    <t>82c77a1f-b58a-48f0-9765-94e4ef5482e0</t>
  </si>
  <si>
    <t>Readings taken after heavy overnight rain.</t>
  </si>
  <si>
    <t>d68075bd-b85b-4933-ba20-52488cbd8f90</t>
  </si>
  <si>
    <t>28c41ef5-0a8b-47dc-adaf-f03a7f1af7fe</t>
  </si>
  <si>
    <t>dc762e79-4903-48d1-befe-ff8ffb5ffe46</t>
  </si>
  <si>
    <t>Heavy rain in week. Flooded and flowing back from Avon</t>
  </si>
  <si>
    <t>bad5ec9c-dedd-4f40-8fdf-8016b7225104</t>
  </si>
  <si>
    <t>30a7166b-70c2-4355-9927-16d17da63bf0</t>
  </si>
  <si>
    <t>Post h flooding and heavy rain Friday</t>
  </si>
  <si>
    <t>95ccdcb4-97ae-4abb-8c53-769e7adc3efb</t>
  </si>
  <si>
    <t>Flood 2 days before</t>
  </si>
  <si>
    <t>37e00742-b3ef-4391-a89e-31beefcbc8f0</t>
  </si>
  <si>
    <t>cea151d0-f5a4-4a32-98c9-3cbd6ed38688</t>
  </si>
  <si>
    <t>33947668-8db2-4fa5-880a-7ac5dc54e144</t>
  </si>
  <si>
    <t>272a0d75-d01c-4630-87f9-5da0284705dc</t>
  </si>
  <si>
    <t>4ac49b0e-79b3-4099-8069-3362bd25e2a6</t>
  </si>
  <si>
    <t>River in flood. Can’t see marking on usual gauge, its reading +6 on gauge to bridge</t>
  </si>
  <si>
    <t>743afbfa-d3ed-4428-9c0a-8cfda283b8ee</t>
  </si>
  <si>
    <t>It flooded 3 days ago.. now starting to subside</t>
  </si>
  <si>
    <t>2cc9f2f1-31ac-4c5b-a1b0-af9d93496b58</t>
  </si>
  <si>
    <t>34dfadf2-e9df-4c55-8e3c-c8c60cd15121</t>
  </si>
  <si>
    <t>6eb99272-232d-41dc-aa30-e8e46377afc8</t>
  </si>
  <si>
    <t>Flooded 3 days ago and flood resurgent.</t>
  </si>
  <si>
    <t>2d4d1478-befb-4a4f-808c-34da077f0b23</t>
  </si>
  <si>
    <t>Rainy. Murky water</t>
  </si>
  <si>
    <t>50d42c4e-f07c-4826-b418-ccdd4ebd6efc</t>
  </si>
  <si>
    <t>Fast flowing river</t>
  </si>
  <si>
    <t>553b88c7-791a-4f22-a44e-0dab9ebd4fa2</t>
  </si>
  <si>
    <t>Readings taken in swollen river</t>
  </si>
  <si>
    <t>cb3d0d1e-3b66-4c8b-9951-1d6625fbc1ed</t>
  </si>
  <si>
    <t>73a3b1c4-22c9-4b60-b2d9-3725d5a8510a</t>
  </si>
  <si>
    <t>6955b0dd-83fb-4a6a-b668-790ff4ee06ce</t>
  </si>
  <si>
    <t>8afa47c1-1cca-420b-a449-12b438dea653</t>
  </si>
  <si>
    <t>bc51df4d-51cd-4135-b35e-d69c03907387</t>
  </si>
  <si>
    <t>8e754c9d-ddfa-49f8-aed0-404683f2f46a</t>
  </si>
  <si>
    <t>River Stour Cherington after sewerage works</t>
  </si>
  <si>
    <t>Sunny dry day</t>
  </si>
  <si>
    <t>7b50dcae-58de-4ae7-bfa9-8dcf7eebcde5</t>
  </si>
  <si>
    <t>89b020eb-9850-4e02-b1a5-dfa807d88db6</t>
  </si>
  <si>
    <t>8e65e7e1-0d27-4ed5-9859-22f4208fbce7</t>
  </si>
  <si>
    <t>Very brown and muddy</t>
  </si>
  <si>
    <t>512d19d3-e5b0-4b88-9b79-07c95aeb8abf</t>
  </si>
  <si>
    <t>Very muddy and brown water</t>
  </si>
  <si>
    <t>f531ffe5-1e79-4878-8deb-a4a237cadd3d</t>
  </si>
  <si>
    <t>Flooded and turbid</t>
  </si>
  <si>
    <t>5c189f9e-6a52-4adb-b4c3-05919d718ebe</t>
  </si>
  <si>
    <t>Dry clear but Flood water full flood at Ford still rising</t>
  </si>
  <si>
    <t>da3babce-7f8c-4716-81cd-dd2110983e85</t>
  </si>
  <si>
    <t>106bc49b-dda1-4e7a-aff2-408b472b7b0a</t>
  </si>
  <si>
    <t>4fc763c2-2560-4940-b3e8-cede1417adae</t>
  </si>
  <si>
    <t>8a39be60-faf9-4d3e-b176-2d7be4e4b7c5</t>
  </si>
  <si>
    <t>c6c8346f-7f60-4068-965d-489874f57a06</t>
  </si>
  <si>
    <t>River in flood, moving slowly, lots of debris in water. Gauge was at 3.5 on pavement by Abbey Mill</t>
  </si>
  <si>
    <t>8ea35b85-6f55-4acd-89a1-78f3e2dbeb7e</t>
  </si>
  <si>
    <t>After heavy rain and flooding</t>
  </si>
  <si>
    <t>721d3b49-c888-4462-8452-6cda71887536</t>
  </si>
  <si>
    <t>Flood has increased since last week and is subsiding.</t>
  </si>
  <si>
    <t>0419e702-981f-4827-b63f-ee2c2bf5064d</t>
  </si>
  <si>
    <t>Dry. V murky water</t>
  </si>
  <si>
    <t>ec7601ab-1d32-4b34-ada5-a8c683258007</t>
  </si>
  <si>
    <t>234c2a2d-03c4-469c-8a9c-4defdf0b925b</t>
  </si>
  <si>
    <t>9da144c6-4e5c-4f20-85fe-673c5c4c717d</t>
  </si>
  <si>
    <t>Mill Bridge, Peopleton, Worcs</t>
  </si>
  <si>
    <t>Brook in full flood. Unable to access the bridge</t>
  </si>
  <si>
    <t>860a3222-19af-45ab-8f5e-5624b1bc9476</t>
  </si>
  <si>
    <t>Water level high</t>
  </si>
  <si>
    <t>edd9062f-e89f-4afd-8ceb-a751b5975dd1</t>
  </si>
  <si>
    <t>840c890f-df5c-4b01-bcfe-48f62d6b6bc3</t>
  </si>
  <si>
    <t>Readings taken day after heavy persistant     rain</t>
  </si>
  <si>
    <t>1c7b6c3d-6853-42d3-9eb5-d809dec2699e</t>
  </si>
  <si>
    <t>e42b07d0-d34a-11ee-97ac-d1a83362c118</t>
  </si>
  <si>
    <t>Avon in flood and backflowing into Carrant</t>
  </si>
  <si>
    <t>d26d4355-cb45-433b-933d-d9578e0b8c58</t>
  </si>
  <si>
    <t>V Wet week with frequent floods but sunny and bright Sat/Sun</t>
  </si>
  <si>
    <t>3dbc0967-cced-4f0c-92e7-4e6bf20df2c8</t>
  </si>
  <si>
    <t>f48c5467-758e-4e34-8e50-a3175ded4f2b</t>
  </si>
  <si>
    <t>River in flood, and bridge over river inaccessible. Gauge height on pavement side at 5</t>
  </si>
  <si>
    <t>44e5e827-577b-42d2-8515-4b735f0aff0b</t>
  </si>
  <si>
    <t>d512ed60-6371-4fba-9390-7d05c82100dc</t>
  </si>
  <si>
    <t>4a95a8a6-3a2e-4d09-883a-3c530ba4157c</t>
  </si>
  <si>
    <t>dd51aa5b-e12f-4825-a7ab-fb8d910fa325</t>
  </si>
  <si>
    <t>2416173c-fbb3-4f37-ae74-d80421a2333a</t>
  </si>
  <si>
    <t>d9a1845a-7222-4309-bfab-e3aba97d6afa</t>
  </si>
  <si>
    <t>Clifford Chambers Mill bridge</t>
  </si>
  <si>
    <t>Lots of rain in the week</t>
  </si>
  <si>
    <t>fb568367-31c6-41af-8e3d-3ff7e5c7b036</t>
  </si>
  <si>
    <t>Fields very flooded after a lot of rain</t>
  </si>
  <si>
    <t>a8705bf5-5702-4e4a-8590-38c3565a9c72</t>
  </si>
  <si>
    <t>0ca90f4f-a38b-46f5-88d9-768201e80cbd</t>
  </si>
  <si>
    <t>Dry day. Emergency incident of raw sewage being pumped into Stoir. Faeces and toilet paper on river bank. EA informed</t>
  </si>
  <si>
    <t>0c00e148-8fe2-4b05-99dc-fff43cf00861</t>
  </si>
  <si>
    <t>577782e2-9eb4-4ad2-ab8b-51f493e586e0</t>
  </si>
  <si>
    <t>Walcot Lane, Bow Brook Ford</t>
  </si>
  <si>
    <t>no CSO nearby</t>
  </si>
  <si>
    <t>High water after heavy rain, ford in flood</t>
  </si>
  <si>
    <t>fdeaf4a2-2723-458d-b77d-a974043ded57</t>
  </si>
  <si>
    <t>2401fa5a-4b97-47e1-8307-0fba8a71e655</t>
  </si>
  <si>
    <t>2c8ed3e4-64f8-4392-b4ad-bc5127570a80</t>
  </si>
  <si>
    <t>8d249dc6-d4c7-4d00-97b1-cdab62d4cb52</t>
  </si>
  <si>
    <t>Fast flowing</t>
  </si>
  <si>
    <t>62f147c9-9a34-4e7e-90c1-2e8179036302</t>
  </si>
  <si>
    <t>Avon Smiths Meadow Wyre Piddle</t>
  </si>
  <si>
    <t>Slight rain. Recent floods. River above landing stage and rising. Some scum</t>
  </si>
  <si>
    <t>20b8eb79-d3bc-4a57-88d2-eacfa9bf7bc6</t>
  </si>
  <si>
    <t>Piddle Brook Wyre Piddle Bridge</t>
  </si>
  <si>
    <t>Level high recent rain. Brown, with scum.</t>
  </si>
  <si>
    <t>6b43de31-da97-41c9-91a2-569982a83793</t>
  </si>
  <si>
    <t>b207ded4-8e6f-4784-909b-f588d7ebee13</t>
  </si>
  <si>
    <t>bed9e3b1-d162-45d5-a5e7-b3f139d60ebd</t>
  </si>
  <si>
    <t>River in flood but flowing</t>
  </si>
  <si>
    <t>b46dc920-d957-11ee-8e34-8b11b50df496</t>
  </si>
  <si>
    <t>49407fd0-d957-11ee-8e34-8b11b50df496</t>
  </si>
  <si>
    <t>c84f529d-4a49-4afd-a813-d048deebbb8e</t>
  </si>
  <si>
    <t>6de62990-a60a-492b-a258-7aeed521183b</t>
  </si>
  <si>
    <t>Lots of rain previous week</t>
  </si>
  <si>
    <t>f1722ecb-df6f-41ea-acd2-480609f1a87a</t>
  </si>
  <si>
    <t>N/a</t>
  </si>
  <si>
    <t>e05e8579-b2ce-4b3b-94de-acceff027afa</t>
  </si>
  <si>
    <t>ed1ae48e-17fe-4fc4-9f2e-8bb31dba471d</t>
  </si>
  <si>
    <t>f230fe98-49d6-494d-9836-ddb85a4948fa</t>
  </si>
  <si>
    <t>7deba08a-efdc-48b5-bbd7-55861c062374</t>
  </si>
  <si>
    <t>Floods still receeding.</t>
  </si>
  <si>
    <t>2df0fb77-00c6-493a-b64f-fc4a41490c70</t>
  </si>
  <si>
    <t>30e4c49f-afcb-4921-b2f7-8f72ac866631</t>
  </si>
  <si>
    <t>49bb7608-c47a-41ff-8ef2-ce82aa631f89</t>
  </si>
  <si>
    <t>Sunny</t>
  </si>
  <si>
    <t>46ffb501-1fc5-448f-a1e1-9456d01a2cee</t>
  </si>
  <si>
    <t>bd40eb0c-0a54-46ce-83b3-11f281127a57</t>
  </si>
  <si>
    <t>Centre bridge, The Mill, Peopleton, Pershore</t>
  </si>
  <si>
    <t>Brook level back within its banks</t>
  </si>
  <si>
    <t>1ca6af9b-327b-4c89-95ef-bb44668baf6f</t>
  </si>
  <si>
    <t>Lowest levelin several Weeks</t>
  </si>
  <si>
    <t>65e3c0b0-2fcc-4fc7-86bf-e6b5fb2a8ee6</t>
  </si>
  <si>
    <t>3d91c270-5482-45be-9065-818bc50ac84d</t>
  </si>
  <si>
    <t>13503fbc-faab-47ba-b9d8-30e2f4b5754f</t>
  </si>
  <si>
    <t>44ec4633-4e68-45d0-972b-4778a1606945</t>
  </si>
  <si>
    <t>No CSO nearby</t>
  </si>
  <si>
    <t>Brook flowing fast, water slightly cloudy</t>
  </si>
  <si>
    <t>cdb0d3ee-7a19-4a6f-8a10-4afc958786c5</t>
  </si>
  <si>
    <t>b7ea8f60-6cef-446f-a27d-4093177e4aa8</t>
  </si>
  <si>
    <t>River returned to normal level and flow</t>
  </si>
  <si>
    <t>b9a2c628-b410-4883-88c7-151caab88753</t>
  </si>
  <si>
    <t>No recent rain. Normal flow. Some scum.</t>
  </si>
  <si>
    <t>ded035b4-8125-4154-85b4-e960898e76d9</t>
  </si>
  <si>
    <t>Normal height. No rain for several days. No scum.</t>
  </si>
  <si>
    <t>9617ff3e-b4b9-4b87-8e20-8bb9d91ec99c</t>
  </si>
  <si>
    <t>9f7c3a22-e8e1-414a-b988-d1a00fb8b37c</t>
  </si>
  <si>
    <t>Mostly dry week</t>
  </si>
  <si>
    <t>85c98400-0be4-11ef-b7bd-6b7e4abfa6c6</t>
  </si>
  <si>
    <t>2f40a730-0be4-11ef-b7bd-6b7e4abfa6c6</t>
  </si>
  <si>
    <t>63ecca50-e3f4-48bf-9e5d-6d1f0a7da000</t>
  </si>
  <si>
    <t>Flooded, brown water</t>
  </si>
  <si>
    <t>8284562f-a9a0-4330-a1b2-1e0201287c43</t>
  </si>
  <si>
    <t>9b6a740f-e9e5-4fc6-895a-d47943b581af</t>
  </si>
  <si>
    <t>bda5f5f9-721e-465b-be28-2d96c3bc8321</t>
  </si>
  <si>
    <t>565ac3ed-1477-4646-a00f-5584fe53b694</t>
  </si>
  <si>
    <t>839f57b1-c598-460d-b5f7-996ae26c3ea9</t>
  </si>
  <si>
    <t>0be815ff-2a63-4261-8fdb-be579d67b1ab</t>
  </si>
  <si>
    <t>River swollen</t>
  </si>
  <si>
    <t>de4cd6a7-bce2-4e08-8a0e-d1f19e36ad96</t>
  </si>
  <si>
    <t>River high after lots of rainfall</t>
  </si>
  <si>
    <t>9798b3ee-9dd9-47a4-807f-d22902c47b68</t>
  </si>
  <si>
    <t>Flooding following more heavy rain</t>
  </si>
  <si>
    <t>1aa95936-18ba-4c12-9057-e86bf7d366ed</t>
  </si>
  <si>
    <t>dd2a6f12-bdea-450e-9dc1-b7bef6fcb0da</t>
  </si>
  <si>
    <t>Rainy</t>
  </si>
  <si>
    <t>ac8ffd22-f36d-4357-8732-004fa08bfbcf</t>
  </si>
  <si>
    <t>Water cloudy and fast flowing after heavy rain</t>
  </si>
  <si>
    <t>3ba17b97-5e9d-435d-a673-7c44c5e8f699</t>
  </si>
  <si>
    <t>169b311d-adda-4288-bf55-17e13cdf3c64</t>
  </si>
  <si>
    <t>ba02a633-2308-4f42-85ba-0dbb5d4d6e75</t>
  </si>
  <si>
    <t>2fee292b-b3c7-405a-80b4-cce155162481</t>
  </si>
  <si>
    <t>bd0cd363-61a7-4ced-8750-850200d3fd61</t>
  </si>
  <si>
    <t>8f7ae63b-6219-4fbc-ab25-6ad17db8c4be</t>
  </si>
  <si>
    <t>1.1m at Evesham. Falling. Brown.</t>
  </si>
  <si>
    <t>c633b014-dd8b-4723-9566-6b0292c1bdbb</t>
  </si>
  <si>
    <t>Brown and scummy</t>
  </si>
  <si>
    <t>30243170-e3b8-11ee-9952-b79de09316b9</t>
  </si>
  <si>
    <t>Fell Mill Footbridge</t>
  </si>
  <si>
    <t>Depth unknown yet</t>
  </si>
  <si>
    <t>438d051c-04dd-4161-9296-43c8118245dd</t>
  </si>
  <si>
    <t>Fast current. Flecks of foam on surface</t>
  </si>
  <si>
    <t>489dd80e-cf02-4325-ab00-060064b9ed94</t>
  </si>
  <si>
    <t>2d720972-b849-479c-8a74-794ba1df80b1</t>
  </si>
  <si>
    <t>River in flood</t>
  </si>
  <si>
    <t>25694235-4f5d-4c48-a7e5-9582b1f77fbe</t>
  </si>
  <si>
    <t>Flooded</t>
  </si>
  <si>
    <t>b30b6065-fda3-43dd-a35b-bdeef6356c4b</t>
  </si>
  <si>
    <t>cb4197ec-651f-4317-b4c8-3586f581228c</t>
  </si>
  <si>
    <t>39648168-f46f-4405-9899-ff9a607fab72</t>
  </si>
  <si>
    <t>18cde8d0-517a-40a3-b427-78622c670b7a</t>
  </si>
  <si>
    <t>Lots of surface foam visible</t>
  </si>
  <si>
    <t>74cfcf9c-96e6-49d8-b786-21bed3b2f347</t>
  </si>
  <si>
    <t>6f66e10a-c9cd-4e7f-b2f2-d816b4f01bbd</t>
  </si>
  <si>
    <t>River in flood, moving fast</t>
  </si>
  <si>
    <t>b438575e-dc1d-4b80-a018-0b9280e6759e</t>
  </si>
  <si>
    <t>Lots of rain again this week</t>
  </si>
  <si>
    <t>3bca709a-2843-4ca9-bac8-1bc87fdcc778</t>
  </si>
  <si>
    <t>More rain again</t>
  </si>
  <si>
    <t>0fd60c6c-13fe-406e-9d5b-40463eb7bd9b</t>
  </si>
  <si>
    <t>Dry weather</t>
  </si>
  <si>
    <t>d2b382e6-b121-4e52-8acf-e7e0ffea757f</t>
  </si>
  <si>
    <t>f93cffcc-5208-4fb6-9c95-2d47c669fc15</t>
  </si>
  <si>
    <t>a9f10a1f-213e-47d6-80c2-aa823b2d2a35</t>
  </si>
  <si>
    <t>b5544ac6-04ff-4916-9d3f-01ed304eaa7c</t>
  </si>
  <si>
    <t>Mill Bridge Peopleton</t>
  </si>
  <si>
    <t>The bucket untied itself from the string and floated off downstream. Took from the bank</t>
  </si>
  <si>
    <t>7e964e07-2051-4fb5-a632-35f2ae7d3f9e</t>
  </si>
  <si>
    <t>688c26a2-37ef-4c38-bace-06802cd933e1</t>
  </si>
  <si>
    <t>Cloudy</t>
  </si>
  <si>
    <t>3a3fee0a-64f5-44a3-9713-7dc200ab440f</t>
  </si>
  <si>
    <t>Canal height varies little, actual depth not known</t>
  </si>
  <si>
    <t>ea3f5753-c287-4e55-8e73-8975e90ce19a</t>
  </si>
  <si>
    <t>Stour Whichford</t>
  </si>
  <si>
    <t>5baf1698-cc9b-40c3-b8e1-e5439ded42fe</t>
  </si>
  <si>
    <t>Stour Ascott village</t>
  </si>
  <si>
    <t>69ab8809-debc-4002-9e11-7951a259b1c3</t>
  </si>
  <si>
    <t>River quite high, brown, scum.</t>
  </si>
  <si>
    <t>5fcbf25c-d954-47b0-8c65-90aa0fa7d0a3</t>
  </si>
  <si>
    <t>River level dropped a lot and water a lot clearer</t>
  </si>
  <si>
    <t>b96147aa-d9c9-49d2-ab02-35bc98d0daf3</t>
  </si>
  <si>
    <t>River Green/brown and lots of scum.</t>
  </si>
  <si>
    <t>e660e540-e9e0-11ee-b655-139e2e752314</t>
  </si>
  <si>
    <t>River well within its banks and more settled.  Depth from River bed to Footbridge Deck measured as 3.6m.</t>
  </si>
  <si>
    <t>0fcef01f-9e16-4ecc-b25a-8c729b3b437b</t>
  </si>
  <si>
    <t>Pershore Bridges</t>
  </si>
  <si>
    <t>6a987e7e-07f3-4914-b7dd-fa63edf8d908</t>
  </si>
  <si>
    <t>595c4ac9-3b59-4030-9ca9-bbb660fd9093</t>
  </si>
  <si>
    <t>Sherbourne Brook 2</t>
  </si>
  <si>
    <t>c161b9b1-fb85-4750-8467-1695c3fc5be1</t>
  </si>
  <si>
    <t>e1c8e981-ccf1-4130-b84b-8ca6c8c81538</t>
  </si>
  <si>
    <t>46ae4640-7ac5-4b80-977f-d5597a986a75</t>
  </si>
  <si>
    <t>Walcot Lane Ford, Bow Brook Ford</t>
  </si>
  <si>
    <t>Water fast flowing and murky</t>
  </si>
  <si>
    <t>2026d497-c6e8-417d-8c31-823a41d7ca42</t>
  </si>
  <si>
    <t>88af3368-8257-448e-9d5c-1e8e086ee8d2</t>
  </si>
  <si>
    <t>2d4fcf48-d245-4dbd-a8bb-89e490f66c6f</t>
  </si>
  <si>
    <t>Phosphate reading off the readable scale of the colourometer. Recorded result is therefore too low</t>
  </si>
  <si>
    <t>d0ab48d8-9c7c-4b2a-9799-b1840b2e6b34</t>
  </si>
  <si>
    <t>Windy, lots of foam on the water</t>
  </si>
  <si>
    <t>52ecad55-8f04-4cec-91c2-3d34ec642431</t>
  </si>
  <si>
    <t>Rain again most days</t>
  </si>
  <si>
    <t>38a4ef42-e299-461b-9c5d-aba98bc963b4</t>
  </si>
  <si>
    <t>Heavy rainfall continues</t>
  </si>
  <si>
    <t>5e2bb4d6-3e03-4d63-8948-b303dfec3244</t>
  </si>
  <si>
    <t>e5e0250a-f521-4b36-a5fe-9e699cff8845</t>
  </si>
  <si>
    <t>c364b542-11f6-4bcd-833b-9bb430be0395</t>
  </si>
  <si>
    <t>9b09fd00-ed60-4c4c-a523-f39e8a71c453</t>
  </si>
  <si>
    <t>Receding flood. Tested at Waterside House.</t>
  </si>
  <si>
    <t>d87a8330-b8c1-4fca-9b9e-a0530f8f081c</t>
  </si>
  <si>
    <t>b565995f-3ac2-4d67-8683-c47734688c12</t>
  </si>
  <si>
    <t>Receding flood. High. Brown. Scum.</t>
  </si>
  <si>
    <t>46768095-9896-45c9-8295-42891fc9cd0f</t>
  </si>
  <si>
    <t>e4afe100-7e35-4a37-b4dc-a9b2bfe485e8</t>
  </si>
  <si>
    <t>abf4787e-d229-45dc-a4ee-80ef1168896f</t>
  </si>
  <si>
    <t>Stour Whichford village</t>
  </si>
  <si>
    <t>942ac25b-16fe-4823-913f-862e08a330a2</t>
  </si>
  <si>
    <t>Overcast windy</t>
  </si>
  <si>
    <t>7701dfaa-40a4-46b6-8f90-862433f521f9</t>
  </si>
  <si>
    <t>Actually pitch 15. 16 was under water</t>
  </si>
  <si>
    <t>7a493636-1ee7-46f7-8a72-4f23bae11a96</t>
  </si>
  <si>
    <t>534e5779-61bd-45cf-98d4-46ddd5a0df0b</t>
  </si>
  <si>
    <t>Turbid. In flood. No noticeable flow</t>
  </si>
  <si>
    <t>9f5bdae7-261a-4a60-9a5a-6ed691bd049b</t>
  </si>
  <si>
    <t>River fast flowing and in flood</t>
  </si>
  <si>
    <t>f02c8621-13ae-4c73-9141-b0d7d8cbfdb9</t>
  </si>
  <si>
    <t>75ce108d-ad9b-4f9f-a953-a9ec9ce9f2dd</t>
  </si>
  <si>
    <t>07572716-c4b3-47e4-ab40-24583a5e0a37</t>
  </si>
  <si>
    <t>adfba85a-e992-442d-a2c3-024f54ff1996</t>
  </si>
  <si>
    <t>b5553b56-129e-4e35-a4dc-de0926b13998</t>
  </si>
  <si>
    <t>Brown water</t>
  </si>
  <si>
    <t>bc601dd7-fe59-4a47-8a36-1ec64ffe8bbe</t>
  </si>
  <si>
    <t>79d09e7d-d8e6-40a4-9b44-c3649eb158c1</t>
  </si>
  <si>
    <t>1a0861ab-6953-4866-8656-8f455dcca8eb</t>
  </si>
  <si>
    <t>f3f2cec3-3568-4347-89c3-4dae09e9dc23</t>
  </si>
  <si>
    <t>Another flood, brown and murky</t>
  </si>
  <si>
    <t>ae5392e6-3841-432b-b5f9-5bcb944c799a</t>
  </si>
  <si>
    <t>Another flood...water very high...brown and murky</t>
  </si>
  <si>
    <t>72ae4b7d-e0b0-423e-b3f0-776d66193711</t>
  </si>
  <si>
    <t>Full and fast flowing river</t>
  </si>
  <si>
    <t>7e727877-ccac-4857-92cd-b9aa6f047619</t>
  </si>
  <si>
    <t>Mill Bridge, Peopleton</t>
  </si>
  <si>
    <t>Fast flow</t>
  </si>
  <si>
    <t>84ef8782-302c-4452-9182-13f486e53ec3</t>
  </si>
  <si>
    <t>6c6e54e6-ffbb-492a-b022-020b9b0d0465</t>
  </si>
  <si>
    <t>5ed3cd50-0be5-11ef-b7bd-6b7e4abfa6c6</t>
  </si>
  <si>
    <t>ff0150a0-0be4-11ef-b7bd-6b7e4abfa6c6</t>
  </si>
  <si>
    <t>2ce53f62-3389-4f11-a778-4d0c239ea150</t>
  </si>
  <si>
    <t>Receding flood. River fast brown and scum. Tested at Waterside House.</t>
  </si>
  <si>
    <t>571f01a5-231d-4219-b9d7-82e85525071c</t>
  </si>
  <si>
    <t>Quite high, brown, scum.</t>
  </si>
  <si>
    <t>5c313c26-64dc-4a81-a277-7339b3e16bbe</t>
  </si>
  <si>
    <t>2nd day after heavy rain</t>
  </si>
  <si>
    <t>ea768ba1-4301-40b3-8992-e4d4959ef878</t>
  </si>
  <si>
    <t>Fast flowing and turbid</t>
  </si>
  <si>
    <t>234deca5-e968-469e-abbd-d03d863378a0</t>
  </si>
  <si>
    <t>Water level high and fast flowing. Some foam on surface</t>
  </si>
  <si>
    <t>def71727-505d-4692-a9a6-83a0f20df5a0</t>
  </si>
  <si>
    <t>Showery windy</t>
  </si>
  <si>
    <t>39ba55f0-71e7-41b2-8ffb-18d6b9d85875</t>
  </si>
  <si>
    <t>572ae431-4aa3-4881-acb8-5695f6959570</t>
  </si>
  <si>
    <t>Water murky and fast flowing after heavy rain</t>
  </si>
  <si>
    <t>2e0aed90-f4ff-11ee-aee2-03fd31675b72</t>
  </si>
  <si>
    <t>Blustery wind but warm &amp; dry.  Flooded fields still very wet, but drying quickly.</t>
  </si>
  <si>
    <t>d56d4fa1-cac1-4f0e-84cf-bacb647649c8</t>
  </si>
  <si>
    <t>bb4d0c11-16bf-4024-86e7-d9c176d5a6fe</t>
  </si>
  <si>
    <t>7334d04a-5edd-4399-a3eb-2bfc4c7971bf</t>
  </si>
  <si>
    <t>4d5bf8f9-5362-4ac4-93f7-3140c1d9df48</t>
  </si>
  <si>
    <t>River level subsiding.</t>
  </si>
  <si>
    <t>adcc344a-0fe5-4832-b657-df7e57b1ff5f</t>
  </si>
  <si>
    <t>River height more or less back to normal</t>
  </si>
  <si>
    <t>49dca7d1-7223-4a2f-9da6-4b1558992f8c</t>
  </si>
  <si>
    <t>b99b6528-6c97-4a2c-8aa7-9ebcd6cc4bca</t>
  </si>
  <si>
    <t>19577766-de42-49d3-8e8c-21d98cb6fed2</t>
  </si>
  <si>
    <t>River in flood, very windy</t>
  </si>
  <si>
    <t>7afab269-1a46-4322-a00f-ed4e2e509bb6</t>
  </si>
  <si>
    <t>acb0f39f-27ee-4f91-821b-437c48dde607</t>
  </si>
  <si>
    <t>48ef79a3-31d4-433f-9eaa-f123f41cbebd</t>
  </si>
  <si>
    <t>Carrant mitton path</t>
  </si>
  <si>
    <t>7a04facb-1d12-498a-8945-58214bf47114</t>
  </si>
  <si>
    <t>Carrant M5 bridge</t>
  </si>
  <si>
    <t>90ccebcd-23a0-443d-97cd-540670b3f7cc</t>
  </si>
  <si>
    <t>235412c1-0581-4781-bf6e-56308e29c571</t>
  </si>
  <si>
    <t>5009023a-ac57-4cb1-967a-96034e78bd89</t>
  </si>
  <si>
    <t>0435b25d-0b33-4b37-ad3e-9af7bb9d601a</t>
  </si>
  <si>
    <t>bb0701a2-e197-4bef-8f3b-f21477896b5d</t>
  </si>
  <si>
    <t>e63d4c0d-1394-4e62-aa7b-06664a3fc080</t>
  </si>
  <si>
    <t>Air temp 14C</t>
  </si>
  <si>
    <t>61964050-338e-4f94-b1fd-7763913f5a78</t>
  </si>
  <si>
    <t>Air temp 16C</t>
  </si>
  <si>
    <t>8ae0b0ad-34c7-4215-80e3-68e737ee6677</t>
  </si>
  <si>
    <t>Normal flow. Debris and scum.</t>
  </si>
  <si>
    <t>77f25b53-d28d-456c-a011-0b13467d1390</t>
  </si>
  <si>
    <t>Normal flow. No scum.</t>
  </si>
  <si>
    <t>c973ad88-7ac4-40f3-87a0-c7ab1a2f17c1</t>
  </si>
  <si>
    <t>4fc7bd60-f9ae-11ee-8646-436ad8a0950a</t>
  </si>
  <si>
    <t>Well within its banks.</t>
  </si>
  <si>
    <t>d8dcd923-75ff-4454-952f-74d8e44a1ea7</t>
  </si>
  <si>
    <t>Water murky</t>
  </si>
  <si>
    <t>e70f803b-8f80-4f38-a63d-bb741592c0f2</t>
  </si>
  <si>
    <t>e1753c0f-66d8-4f85-855a-febe69ba24f3</t>
  </si>
  <si>
    <t>743fbd06-8d1b-483c-81be-e98abb0140f4</t>
  </si>
  <si>
    <t>744c0434-e537-418e-b659-286eea75ca4a</t>
  </si>
  <si>
    <t>ea154644-327f-4770-9cd7-d6d2cddc3811</t>
  </si>
  <si>
    <t>3b0292a8-6205-402c-b1bb-c4e7fe67943f</t>
  </si>
  <si>
    <t>Water looked clear compared to previous tests.</t>
  </si>
  <si>
    <t>c2753b89-434f-453d-98f3-7f6ba5589cb8</t>
  </si>
  <si>
    <t>No flooding, very windy</t>
  </si>
  <si>
    <t>3a4cfb0e-a7b3-4f21-b65b-3184aa6d2deb</t>
  </si>
  <si>
    <t>48ddf743-e233-4bdc-865f-0a4080a87b02</t>
  </si>
  <si>
    <t>ad4c4228-ec22-4193-b617-e5225b695a9a</t>
  </si>
  <si>
    <t>4a008b00-d59e-497b-bc5d-31136028329e</t>
  </si>
  <si>
    <t>Phosphate measurement off scale (reading of 2.50 flashing)</t>
  </si>
  <si>
    <t>92abbc31-5215-4d8d-b038-cb9f35e6bd1d</t>
  </si>
  <si>
    <t>f9c5e6f6-6d62-4e08-a793-94200bb87da6</t>
  </si>
  <si>
    <t>fe8898db-45e4-411a-adeb-30d6f26a7208</t>
  </si>
  <si>
    <t>cba784d2-293c-4670-83ec-d5103552b9e5</t>
  </si>
  <si>
    <t>f1d080a3-163e-4e3b-8b50-b8bbcc3e0c99</t>
  </si>
  <si>
    <t>Dry weather for a few days after months of flooding</t>
  </si>
  <si>
    <t>431fb8b0-2642-40ec-aa41-acecf561ea2f</t>
  </si>
  <si>
    <t>8e117575-0ac9-402a-98e5-62f762418cf6</t>
  </si>
  <si>
    <t>ce07d34a-0353-45cd-9602-4dd95b5f5cd2</t>
  </si>
  <si>
    <t>Normal steady flow. Little recent rain</t>
  </si>
  <si>
    <t>d754cc2b-450a-4355-bdd2-26a08efb2358</t>
  </si>
  <si>
    <t>38158c80-ff10-11ee-988e-b90fac504e2c</t>
  </si>
  <si>
    <t>8369e0db-0ccf-4163-a6a6-53a8ea0f853c</t>
  </si>
  <si>
    <t>Water brown but clear</t>
  </si>
  <si>
    <t>1e3ec355-2964-4fb0-83dc-08bd6bdd42a3</t>
  </si>
  <si>
    <t>4ddd647f-1190-402b-b9a3-c5c474d1e06d</t>
  </si>
  <si>
    <t>2b1f872d-4b1e-4ead-ad74-35697812df29</t>
  </si>
  <si>
    <t>Normal flow no scum. Probable error in yesterday’s test so retested.</t>
  </si>
  <si>
    <t>89a633a3-c489-404a-a73b-2e9a729cd995</t>
  </si>
  <si>
    <t>131f88dd-4e91-40b7-aa69-b96a4e48cd87</t>
  </si>
  <si>
    <t>48b67074-d5ca-4395-a95e-235d29cf5430</t>
  </si>
  <si>
    <t>b35b97fb-c7cc-4a4e-b20c-b522b6b206b0</t>
  </si>
  <si>
    <t>Carrant m5 bridge</t>
  </si>
  <si>
    <t>fdd016b6-7dba-4423-8e2a-739b16f60b65</t>
  </si>
  <si>
    <t>f6885646-6cb8-44b0-a389-8348b3b85a82</t>
  </si>
  <si>
    <t>4b695845-338f-472c-b9ff-891190c0ec89</t>
  </si>
  <si>
    <t>3b51ee9a-0141-49ed-be17-58af9950b9f8</t>
  </si>
  <si>
    <t>d9831652-21f1-44ea-be37-0c8699d90398</t>
  </si>
  <si>
    <t>b3f1d8fb-25b2-4331-8532-c64bfd113218</t>
  </si>
  <si>
    <t>aa5bf9b3-ef44-45a9-a1dd-8b0b9fc0c40b</t>
  </si>
  <si>
    <t>Phosphate reading off the scale so record is underestimated</t>
  </si>
  <si>
    <t>7e844f89-2ac9-417b-ac92-355dd5d2467a</t>
  </si>
  <si>
    <t>4ca7dbb3-7997-412a-bae2-1607b3df98be</t>
  </si>
  <si>
    <t>Normal and clearer water</t>
  </si>
  <si>
    <t>ce5a569c-5fd3-406a-8b63-f86b030770a9</t>
  </si>
  <si>
    <t>d931e762-7a53-42c8-b7df-79c10df58707</t>
  </si>
  <si>
    <t>Froth on water</t>
  </si>
  <si>
    <t>0c936093-aaab-4c68-8f92-07a597c7bfc3</t>
  </si>
  <si>
    <t>24185690-34fc-4327-9fb7-1b59562f8ec3</t>
  </si>
  <si>
    <t>fdf2df8b-3ddf-4401-8624-42195217fa49</t>
  </si>
  <si>
    <t>8d82356d-8634-4461-b9d9-913934153b8c</t>
  </si>
  <si>
    <t>cc0a390c-d98b-4252-aee7-721d7f0d4b34</t>
  </si>
  <si>
    <t>ee31b6fa-7cfe-4782-b760-1cca261120be</t>
  </si>
  <si>
    <t>67ae92ea-7377-4889-b703-79d716440205</t>
  </si>
  <si>
    <t>9c821cb4-74b7-46b4-873d-6a5dbefa393f</t>
  </si>
  <si>
    <t>Note last week entry EC reading mistake</t>
  </si>
  <si>
    <t>ebee0c4d-d015-4413-97a0-997ec27cdeb8</t>
  </si>
  <si>
    <t>bcb61384-0315-41e8-a2e5-3f11d0910baf</t>
  </si>
  <si>
    <t>Cold. Drizzle. Normal flow, clear, no scum.</t>
  </si>
  <si>
    <t>15faa5e5-5011-4154-886b-4c84fc4bff0b</t>
  </si>
  <si>
    <t>Cold,drizzle. Water clear, normal flow, no scum.</t>
  </si>
  <si>
    <t>ee444a1b-9f31-473a-8250-4c894f0b8836</t>
  </si>
  <si>
    <t>Black bear</t>
  </si>
  <si>
    <t>16e24eb0-06fc-11ef-9a53-a12537d3e599</t>
  </si>
  <si>
    <t>9c4d22b0-0be2-11ef-b7bd-6b7e4abfa6c6</t>
  </si>
  <si>
    <t>c79b0ff0-0be1-11ef-b7bd-6b7e4abfa6c6</t>
  </si>
  <si>
    <t>below</t>
  </si>
  <si>
    <t>118b3de5-91ee-4243-b5c1-8b02c6e0d0d6</t>
  </si>
  <si>
    <t>77835f94-5feb-4ec2-9340-8dfdf9d308c2</t>
  </si>
  <si>
    <t>f211e450-f528-4d3a-9ea4-8c01ae7835e2</t>
  </si>
  <si>
    <t>2ab7ff1e-539e-4a16-8919-d0affcbb5ee5</t>
  </si>
  <si>
    <t>df6e2390-b6cd-4e9d-a87b-7bddaa1b08bd</t>
  </si>
  <si>
    <t>9e761d2a-2cb7-4f3b-954a-9d4abb0d8e37</t>
  </si>
  <si>
    <t>1692954d-c764-40b1-ae2d-0c32719b6611</t>
  </si>
  <si>
    <t>1821ad85-d487-446d-ac22-515ebc748266</t>
  </si>
  <si>
    <t>ce0719c9-82c8-4d7b-a3c6-afaca977623d</t>
  </si>
  <si>
    <t>Flooded again due to 1 day of rain</t>
  </si>
  <si>
    <t>5405fd4b-7e44-47e1-9d54-36366c04a185</t>
  </si>
  <si>
    <t>Carrant Mitton path</t>
  </si>
  <si>
    <t>4bbf5b2e-a602-4441-8a99-c1a2f0619fb3</t>
  </si>
  <si>
    <t>3117fc39-f719-4a86-b623-99a4eee569de</t>
  </si>
  <si>
    <t>e1e15cbc-018a-461e-b022-1915bfff4f19</t>
  </si>
  <si>
    <t>f2f36b06-75ee-44b4-bb07-aca863a98d92</t>
  </si>
  <si>
    <t>7005200b-98e5-4f40-b068-e7293abbc4d0</t>
  </si>
  <si>
    <t>40d35022-eed9-4b89-9d9d-58517ac52391</t>
  </si>
  <si>
    <t>0568a495-7796-4598-8911-be0f38ff55f2</t>
  </si>
  <si>
    <t>871326ca-831a-4496-960d-b4b024d27802</t>
  </si>
  <si>
    <t>ef5d06ff-9d46-4292-8f6b-b9e8104e972d</t>
  </si>
  <si>
    <t>Brown. Normal flow. Sunny and coolish.</t>
  </si>
  <si>
    <t>c8bf08a0-fdf9-418d-87b1-959d244b3e0e</t>
  </si>
  <si>
    <t>Brown sediment above normal. Sunny and coolish</t>
  </si>
  <si>
    <t>fb44d47b-56f2-4768-a0e7-e63ef99129df</t>
  </si>
  <si>
    <t>cea04840-5251-4e54-85f7-fdef1e4cc904</t>
  </si>
  <si>
    <t>Very fast flowing</t>
  </si>
  <si>
    <t>81b577d0-0be3-11ef-b7bd-6b7e4abfa6c6</t>
  </si>
  <si>
    <t>1208c0e0-0be3-11ef-b7bd-6b7e4abfa6c6</t>
  </si>
  <si>
    <t>8acfd74a-e39b-4980-9c2d-c117b72d23b5</t>
  </si>
  <si>
    <t>34bfa726-1a7d-4af9-ab75-ea85e5c4ee47</t>
  </si>
  <si>
    <t>f21fe4dc-3b7d-40e6-b3c2-33d4d5fcf255</t>
  </si>
  <si>
    <t>b2d57930-0b18-11ef-a336-5dadd969e403</t>
  </si>
  <si>
    <t>Insects, swallows, swifts &amp; house martins over river + fields</t>
  </si>
  <si>
    <t>dd8fc5b6-0c38-44b7-a1dc-04543a86e74b</t>
  </si>
  <si>
    <t>a8cf7ed7-8e91-413e-896a-d5bbbf9906b8</t>
  </si>
  <si>
    <t>b9aa6d83-5655-4979-8c6b-a75f26f2b27a</t>
  </si>
  <si>
    <t>Phosphate level off the scale so under reported</t>
  </si>
  <si>
    <t>ceb42653-4259-4b20-a451-0bcda228c362</t>
  </si>
  <si>
    <t>002d1b0b-393e-476f-a27b-34e8b68160ba</t>
  </si>
  <si>
    <t>River back to normal today</t>
  </si>
  <si>
    <t>e19d3239-907a-4ac4-91c1-c8cd4cad672f</t>
  </si>
  <si>
    <t>c1f59582-ee3f-4f48-becb-1026bf9cfb9c</t>
  </si>
  <si>
    <t>Frothy water</t>
  </si>
  <si>
    <t>ddefedb6-813f-4a58-b074-e66cf6c5d2b1</t>
  </si>
  <si>
    <t>Water appearance clear.</t>
  </si>
  <si>
    <t>682844ff-3941-4beb-a395-ea47f7f4da29</t>
  </si>
  <si>
    <t>Carrant Mitton Path</t>
  </si>
  <si>
    <t>6363a8fc-cf34-4989-830d-5b9739734e90</t>
  </si>
  <si>
    <t>b4ad0df7-1800-4739-8984-425df968d2c3</t>
  </si>
  <si>
    <t>64635392-911e-48c1-8731-8ba1f5fb036a</t>
  </si>
  <si>
    <t>Warm and dry</t>
  </si>
  <si>
    <t>f5b69040-c105-467c-acd0-c858f5b844f8</t>
  </si>
  <si>
    <t>71c27d1c-f3b5-4ebb-a10f-c4e06a9398a4</t>
  </si>
  <si>
    <t>9f549c5a-17c9-47af-bb17-6c026a99ed3f</t>
  </si>
  <si>
    <t>No rain here for5 days.</t>
  </si>
  <si>
    <t>4d5612d9-4851-46d9-b14e-e1bfc9c963a5</t>
  </si>
  <si>
    <t>9c3bf8cc-48e2-4b8c-9bd3-eec44db7e225</t>
  </si>
  <si>
    <t>Normal flow</t>
  </si>
  <si>
    <t>2ab21050-8627-46a0-ab66-5c9dd458a65b</t>
  </si>
  <si>
    <t>Normal flow. Warm, dry, sunny</t>
  </si>
  <si>
    <t>35d5c5f0-1038-11ef-8262-b141d0ef07c8</t>
  </si>
  <si>
    <t>Pleasant appearance.  Swallows heard in the river vicinity.</t>
  </si>
  <si>
    <t>f61b450d-b832-44cb-ad58-a82c0c85e03d</t>
  </si>
  <si>
    <t>3d91c194-2b9e-4167-9415-f741087766ff</t>
  </si>
  <si>
    <t>2a70b2f9-280a-4841-87cf-c771aca4d83d</t>
  </si>
  <si>
    <t>c5575f5f-b32d-4ca2-9d4b-a86346394b35</t>
  </si>
  <si>
    <t>3730471c-e4c7-4d4b-b345-f4fd3fddeb49</t>
  </si>
  <si>
    <t>13cad749-52a7-4117-8e25-1e46e5d8e1a5</t>
  </si>
  <si>
    <t>Phosphate off scale so value underrecorded</t>
  </si>
  <si>
    <t>8d1f9e3d-5fc8-4cdf-b261-cc069ca915d8</t>
  </si>
  <si>
    <t>152ebf9d-77ec-46c2-9516-243b73c560c7</t>
  </si>
  <si>
    <t>2209254a-aa82-4813-b56f-27f5603c3ecd</t>
  </si>
  <si>
    <t>5ed4d10e-e11d-45df-8913-60a4354d3f18</t>
  </si>
  <si>
    <t>528871cf-e8c1-4bf3-89ee-dc264781dad9</t>
  </si>
  <si>
    <t>Highest EC score since we started testing in October.Linked to spraying on farmland we think</t>
  </si>
  <si>
    <t>794164c1-3cbf-4ca2-a633-1e8e22a4ace2</t>
  </si>
  <si>
    <t>Normal</t>
  </si>
  <si>
    <t>155d5e33-85a7-47de-bfa5-09daa7fb0b12</t>
  </si>
  <si>
    <t>badd480f-aa8d-4857-84e5-1829e30a03bb</t>
  </si>
  <si>
    <t>42e0a972-1f83-4794-a222-ce8c64f76de2</t>
  </si>
  <si>
    <t>73f1b712-7a94-41f1-827c-87f40776e2fb</t>
  </si>
  <si>
    <t>9b543db0-9e79-403b-8026-83a15421feba</t>
  </si>
  <si>
    <t>e17ed909-cea8-4e0e-ab01-e621e892a3fd</t>
  </si>
  <si>
    <t>afc1b1f8-17af-4ec6-a410-11372f0a2128</t>
  </si>
  <si>
    <t>21b99809-50e1-4736-b7e6-f446a0323c80</t>
  </si>
  <si>
    <t>Low green water. No scum.Quite clear.</t>
  </si>
  <si>
    <t>c0c6b22c-d3b1-40ae-9de8-07f448a2f7fb</t>
  </si>
  <si>
    <t>a8643032-f684-4d0d-a7dd-e656a483d675</t>
  </si>
  <si>
    <t>Warm dry brown clear slow</t>
  </si>
  <si>
    <t>99b0bb00-15a8-11ef-a549-ad8311e2328c</t>
  </si>
  <si>
    <t>Looking clear</t>
  </si>
  <si>
    <t>7d06b169-2f84-48ef-bad5-fedcc1003cf7</t>
  </si>
  <si>
    <t>f65ba866-a285-44fe-93ae-7e7f5b145616</t>
  </si>
  <si>
    <t>0c8ad18a-c0b6-4ff6-8cff-da4209ccc110</t>
  </si>
  <si>
    <t>55f94c40-63ff-4404-9191-6ed9e7b4ab33</t>
  </si>
  <si>
    <t>37176442-a458-49e6-b53e-bc416255665e</t>
  </si>
  <si>
    <t>71abad42-ea98-4e53-a4c9-a5d96377700a</t>
  </si>
  <si>
    <t>Nitrites 0.2</t>
  </si>
  <si>
    <t>52f645c1-c63f-46d9-820a-e2864cb34a0a</t>
  </si>
  <si>
    <t>436ae7b9-338e-458d-841a-204f46277b70</t>
  </si>
  <si>
    <t>5d32d6d0-a283-4ea0-9e92-a74904c401c3</t>
  </si>
  <si>
    <t>Muddy coloured water.</t>
  </si>
  <si>
    <t>51515883-cea3-4f98-9221-e510825ef718</t>
  </si>
  <si>
    <t>Rainy and rising river levels</t>
  </si>
  <si>
    <t>5261eae9-a282-42a8-8fd6-16203985c019</t>
  </si>
  <si>
    <t>8d952e09-7eb6-4b25-a12d-d0dc7a75fed1</t>
  </si>
  <si>
    <t>7c5ee228-3051-42a0-8b77-85ffe3d03ed2</t>
  </si>
  <si>
    <t>Reasonable fast flowing river after rains</t>
  </si>
  <si>
    <t>52a8a557-fadc-47f3-8454-5cb0470bd728</t>
  </si>
  <si>
    <t>Muddy again after day of heavy rain. Jetty submerged</t>
  </si>
  <si>
    <t>6ea8c422-7388-4af6-aa1f-cf68f75bd1ae</t>
  </si>
  <si>
    <t>ce5a240f-c85a-4b25-a1d3-ce3914f4a221</t>
  </si>
  <si>
    <t>Recently flooded. Still a bit high. Brown silty. No scum.</t>
  </si>
  <si>
    <t>b0c6f7cb-c6d5-4e25-830c-6753b53248cb</t>
  </si>
  <si>
    <t>Low slow flow brown some scum</t>
  </si>
  <si>
    <t>51a7cc45-392b-4cb4-a4d4-210f61979328</t>
  </si>
  <si>
    <t>778201f0-1e5f-11ef-8277-51f9655d92c9</t>
  </si>
  <si>
    <t>.</t>
  </si>
  <si>
    <t>d781c5a0-1e5e-11ef-8277-51f9655d92c9</t>
  </si>
  <si>
    <t>cfc56be6-4365-4111-a88c-c273e7ac714f</t>
  </si>
  <si>
    <t>f8971f80-1c36-11ef-bebf-11a8798c6533</t>
  </si>
  <si>
    <t>b93e6b8e-dc2a-4f54-b264-0fa4fa25fd5a</t>
  </si>
  <si>
    <t>ab039903-18e1-4b9f-8574-eb7eb1c37a98</t>
  </si>
  <si>
    <t>fdfe430a-cec1-4d9d-aafd-b3145a00723d</t>
  </si>
  <si>
    <t>d7d8212c-69a9-4df1-8c1a-8a5d485d4471</t>
  </si>
  <si>
    <t>cda2b518-ae00-4d25-9020-13e961719e84</t>
  </si>
  <si>
    <t>Phosphate reading off the scale so under reported</t>
  </si>
  <si>
    <t>a17d41b6-2e00-4b81-a823-d53c8c520a59</t>
  </si>
  <si>
    <t>c831ea12-c860-4454-a250-fa89520278c4</t>
  </si>
  <si>
    <t>881a8c2c-ed99-4d29-9359-9a7d495d0d2c</t>
  </si>
  <si>
    <t>04cf475a-5017-46e5-81a8-ec9c00ae92b0</t>
  </si>
  <si>
    <t>Water is much clear</t>
  </si>
  <si>
    <t>d2e69092-33d2-41e0-9e86-c8de6fd856fe</t>
  </si>
  <si>
    <t>187c2996-922a-4da1-b125-accbb23a51df</t>
  </si>
  <si>
    <t>93b42621-2933-44c9-823c-54a02ced2887</t>
  </si>
  <si>
    <t>7e063a5e-bcb8-47de-afbd-fdb0e08eb8c6</t>
  </si>
  <si>
    <t>dc3800ba-5473-4a42-b7e4-1796bfa468a3</t>
  </si>
  <si>
    <t>71a5fb4c-a5e0-4745-8475-30ed22020985</t>
  </si>
  <si>
    <t>96873b44-ded8-47f6-833f-857414945dab</t>
  </si>
  <si>
    <t>fde5635b-2171-442b-94aa-8ff019a4dc65</t>
  </si>
  <si>
    <t>370489d2-2103-47a5-a111-3c61bfe24ec6</t>
  </si>
  <si>
    <t>Dry, cool, calm. River very slow, low.</t>
  </si>
  <si>
    <t>1ec68b4b-c087-4428-8f8d-c2c21aa0016d</t>
  </si>
  <si>
    <t>Dry cool calm. Slow water</t>
  </si>
  <si>
    <t>a66d1ea1-f2e6-48dd-9f81-8fffd09a222d</t>
  </si>
  <si>
    <t>9d22d2e2-8d1f-4d5c-a04d-ce64e771bb94</t>
  </si>
  <si>
    <t>a0726050-22b5-11ef-b460-cdd46a34a150</t>
  </si>
  <si>
    <t>99e3e493-34ac-41f8-8bb3-54e5b9b306c0</t>
  </si>
  <si>
    <t>0e4524fb-6207-44d3-bd58-0397c8530bac</t>
  </si>
  <si>
    <t>df610d46-9fc7-4bc8-bd3d-fef4dcdae15b</t>
  </si>
  <si>
    <t>Phosphate reading off the scale so under recorded</t>
  </si>
  <si>
    <t>4dd2b617-5567-4f46-844d-21cbfce25cc2</t>
  </si>
  <si>
    <t>Phosphate reading off the scale of is under reported</t>
  </si>
  <si>
    <t>c9a2ee79-fc98-4375-8f37-4ed4d2e1ec66</t>
  </si>
  <si>
    <t>1bfd3f6b-590a-4c18-96fb-21142d99b146</t>
  </si>
  <si>
    <t>Lots of froth - dirty yellow</t>
  </si>
  <si>
    <t>2b40c560-83dc-4414-8a34-7fd88abd8285</t>
  </si>
  <si>
    <t>75121f5c-4fd8-4933-81bc-e21a47f4fa4e</t>
  </si>
  <si>
    <t>Carrant mitton bridge</t>
  </si>
  <si>
    <t>90fa0f55-5b22-4954-ad00-7665fb22e81e</t>
  </si>
  <si>
    <t>Dry and sunny</t>
  </si>
  <si>
    <t>ecc91d8c-eada-48a7-80a8-f0fe54a1040c</t>
  </si>
  <si>
    <t>Water very clear</t>
  </si>
  <si>
    <t>1361d72c-7c42-48ec-8c53-0ee091fb1ba1</t>
  </si>
  <si>
    <t>1f4858b1-e719-45f8-9582-bcd0e713cd87</t>
  </si>
  <si>
    <t>c27a8a1a-3e7b-4a17-a208-5ac38cf92d76</t>
  </si>
  <si>
    <t>a7e537a4-0ddf-451c-a5a8-112d093af65c</t>
  </si>
  <si>
    <t>c2efb53b-f241-4be6-ba7c-d401cf9fae59</t>
  </si>
  <si>
    <t>cf8ba859-8450-404d-9b1b-6bee159f823b</t>
  </si>
  <si>
    <t>e6745736-88ab-4c09-aa3d-792317ffdbc5</t>
  </si>
  <si>
    <t>Water low but fast-flowing</t>
  </si>
  <si>
    <t>a045b662-a58e-43aa-851a-18fe5a37e62c</t>
  </si>
  <si>
    <t>Swillgate TNR 2nd bridge</t>
  </si>
  <si>
    <t>ff86a82f-a71f-4833-925d-7d3a734dcdf3</t>
  </si>
  <si>
    <t>f828ae45-93b8-4c91-9725-e88f2ba9e93f</t>
  </si>
  <si>
    <t>0f150759-29d0-450d-ae33-bf20800f283c</t>
  </si>
  <si>
    <t>a846981f-fb5f-4d4b-beee-cfa8c57dfaff</t>
  </si>
  <si>
    <t>Stratford upon avon by RSC</t>
  </si>
  <si>
    <t>Not known</t>
  </si>
  <si>
    <t>Extra testundertaken as part of big green week.i fo not have the exact longitude and latitude</t>
  </si>
  <si>
    <t>4dd33272-9239-45b6-9ea1-9f316943ff2f</t>
  </si>
  <si>
    <t>c94d340d-fa78-4550-88c4-e0f4dd34b815</t>
  </si>
  <si>
    <t>Dry, no significant recent rain. Slow flow. Sediment in bucket</t>
  </si>
  <si>
    <t>5721a82c-1c0d-4ff2-a160-af7cde4f2845</t>
  </si>
  <si>
    <t>Dry no significant recent rain. Slow flow</t>
  </si>
  <si>
    <t>60ba8dfa-9c41-44bc-bd1f-0f42d9ddb653</t>
  </si>
  <si>
    <t>d490cfef-f1ed-4b0f-934a-9fcb68fb9011</t>
  </si>
  <si>
    <t>f028b59f-1e0b-42b7-b823-166d738f02ab</t>
  </si>
  <si>
    <t>6fc5683d-7900-484e-a257-dd223002dab0</t>
  </si>
  <si>
    <t>Phosphate off the scale so under reported</t>
  </si>
  <si>
    <t>d9d8dbf7-42fe-46b9-9a4d-852e7433d123</t>
  </si>
  <si>
    <t>1d666b71-3dce-44a9-b578-a70e2263ae06</t>
  </si>
  <si>
    <t>f702eebe-d65f-4309-b29e-49219414093f</t>
  </si>
  <si>
    <t>d72b1479-57dc-41ec-87cf-01d78a0319b6</t>
  </si>
  <si>
    <t>a99c8319-21cb-488b-9cd2-0451bf28e616</t>
  </si>
  <si>
    <t>65b7777a-0cb9-439d-bf70-4cedfee48924</t>
  </si>
  <si>
    <t>Lots of scum by weir</t>
  </si>
  <si>
    <t>0aefd38d-01ae-41e9-8dce-ebb96452e4a0</t>
  </si>
  <si>
    <t>Alveston Swiffen Bank</t>
  </si>
  <si>
    <t>Fine weather,  little rain in the last 48 hours</t>
  </si>
  <si>
    <t>0b2f2bf3-f74a-47c1-a9a7-4a761411c215</t>
  </si>
  <si>
    <t>063c7c28-f405-4839-8b4c-b2353c2a3364</t>
  </si>
  <si>
    <t>Stream at standard level</t>
  </si>
  <si>
    <t>93b6b3b0-9bf0-42df-8b97-22c98087e6ec</t>
  </si>
  <si>
    <t>Centre Mill  Bridge, Peopleton</t>
  </si>
  <si>
    <t>6f2ccc50-83f3-4a46-bf06-88e1bfb868c0</t>
  </si>
  <si>
    <t>aa3e7831-0964-4db2-94aa-f1210afbdc16</t>
  </si>
  <si>
    <t>07413e98-c9f2-4cdb-a922-3476d62e5ece</t>
  </si>
  <si>
    <t>a8c95ed1-caad-4699-97dd-0bb9ea6f20cc</t>
  </si>
  <si>
    <t>c404517c-4726-4112-a402-4d7e9bff74b4</t>
  </si>
  <si>
    <t>Wet. Recent rain not heavy. Slow.</t>
  </si>
  <si>
    <t>f32c9013-ec59-4ee5-8fcb-4c99b2ce1f36</t>
  </si>
  <si>
    <t>Wet, recent rain not heavy. Clear, slow</t>
  </si>
  <si>
    <t>66213450-2c2c-11ef-b75d-6fdbb10664f5</t>
  </si>
  <si>
    <t>2b3301e2-5105-48b1-ac67-389d7de829ea</t>
  </si>
  <si>
    <t>08f19baa-46b0-4523-8bee-c8db8ea50586</t>
  </si>
  <si>
    <t>0052e0cb-752c-4bcc-9b82-ac766ae99d88</t>
  </si>
  <si>
    <t>abc6a90a-51a9-4190-aa31-c07c11a4c56d</t>
  </si>
  <si>
    <t>Phosphate off the scale, so under recorded</t>
  </si>
  <si>
    <t>24966a9f-edef-4fdd-8742-3feab3c93d52</t>
  </si>
  <si>
    <t>6c25623a-2a4e-4024-b039-bfdd144994d8</t>
  </si>
  <si>
    <t>92d33c0a-d925-47f0-a442-79dc97e1a1ec</t>
  </si>
  <si>
    <t>ba4275cc-2b00-41b7-9cc7-85c9df95a5a9</t>
  </si>
  <si>
    <t>Clear water, small fry swimming.</t>
  </si>
  <si>
    <t>92bf79a4-697a-4a64-86e2-9562f364ef32</t>
  </si>
  <si>
    <t>347c9b58-e8b3-40d9-b3aa-9f5def6162ed</t>
  </si>
  <si>
    <t>0e9b19af-005e-49f7-a42e-07575a9dfd2b</t>
  </si>
  <si>
    <t>b2b8ecf2-81fb-4a1f-8e58-855ab2342d34</t>
  </si>
  <si>
    <t>5d33584b-3c72-4a6f-b6b1-68eb852207f7</t>
  </si>
  <si>
    <t>55d51474-ca8d-4d7b-9712-36179d161bcf</t>
  </si>
  <si>
    <t>Sunny, minimal rain overnight. RiverLow , Hazy and slow. Re samples and confirmed Phosphate.</t>
  </si>
  <si>
    <t>039601e8-eb2d-42ed-b44e-88756002eb21</t>
  </si>
  <si>
    <t>3544cc13-181b-4db3-ad5a-d0c78e4fc6e4</t>
  </si>
  <si>
    <t>Sunny, minimal overnight rain, river low slow and clear</t>
  </si>
  <si>
    <t>103d1170-315a-11ef-be8a-7f03c842e60e</t>
  </si>
  <si>
    <t>Plenty of damsel flies</t>
  </si>
  <si>
    <t>1f03453f-9510-406d-87f7-0233c6b5cd67</t>
  </si>
  <si>
    <t>c76293bc-6a6e-4d88-8b63-922e5c8e7e9e</t>
  </si>
  <si>
    <t>41ac1c4d-62d2-4cc5-9958-3d5c4d993d5f</t>
  </si>
  <si>
    <t>Clear water</t>
  </si>
  <si>
    <t>826f5e09-a77e-4e6e-a7c1-a254513af100</t>
  </si>
  <si>
    <t>Clearing nicely</t>
  </si>
  <si>
    <t>145b4f5b-834e-485c-a17d-7cce2be0e331</t>
  </si>
  <si>
    <t>Hot and dry weather</t>
  </si>
  <si>
    <t>0664cf3d-d87b-422b-bfa9-586b2c0647b1</t>
  </si>
  <si>
    <t>41ac0a08-f642-452e-be18-f927c0d4ce1f</t>
  </si>
  <si>
    <t>9688508e-5056-409e-8feb-f9ff14228b15</t>
  </si>
  <si>
    <t>c81d35e0-5b96-41ea-b9cd-a71890953034</t>
  </si>
  <si>
    <t>5296e517-02e1-4cec-aa7c-df4962a6344a</t>
  </si>
  <si>
    <t>Sunny dry period</t>
  </si>
  <si>
    <t>4316cdae-4ade-4430-a3ea-9b37e71c3005</t>
  </si>
  <si>
    <t>Centre Mill Bridge, Peopleton</t>
  </si>
  <si>
    <t>Dry period</t>
  </si>
  <si>
    <t>c6c22870-793f-4184-aa50-da495a2d3911</t>
  </si>
  <si>
    <t>Carrant Beckford sewage works</t>
  </si>
  <si>
    <t>55768222-43d5-4c0e-8fa8-ab44887f60c0</t>
  </si>
  <si>
    <t>Carrant back lane Beckford</t>
  </si>
  <si>
    <t>e918c2e9-404a-4746-8b21-4dc3846d6eef</t>
  </si>
  <si>
    <t>59f69a8c-b2f2-4033-aeb8-20e0578a605b</t>
  </si>
  <si>
    <t>8fb5a430-4bad-4074-b95c-b8226fcfff64</t>
  </si>
  <si>
    <t>d974f04f-7e05-489c-b2c9-cfae7ae10578</t>
  </si>
  <si>
    <t>e154523e-c7d1-4968-bdb4-7419a9be48b1</t>
  </si>
  <si>
    <t>Dry and cloudy. Water low, clear and slow.</t>
  </si>
  <si>
    <t>1f1db2fa-0e02-440f-bf8e-4523bf3a345c</t>
  </si>
  <si>
    <t>Dry and cloudy. Water low, clear, slow</t>
  </si>
  <si>
    <t>6e02fb90-3708-11ef-89a2-3fe0a3f4cc59</t>
  </si>
  <si>
    <t>Fell Mill footbridge</t>
  </si>
  <si>
    <t>3cccb78e-f409-4351-8b32-b6e5ffc8cf2c</t>
  </si>
  <si>
    <t>acf3a4a5-ad01-4b4d-92a9-dd84a772a64f</t>
  </si>
  <si>
    <t>4bc1d6a5-ca1e-4db0-9bc2-354484ee7e23</t>
  </si>
  <si>
    <t>34895cdb-79ad-4f0c-9e95-7cf4115f31b4</t>
  </si>
  <si>
    <t>5d3f6490-e0cd-4eaf-9290-3d0e94faab60</t>
  </si>
  <si>
    <t>e0e52fb6-a98b-43a1-b028-484d51449036</t>
  </si>
  <si>
    <t>ff3e43b1-62e2-4d2c-b67a-2dd6fbbe6196</t>
  </si>
  <si>
    <t>b3b7c58d-da61-40a7-858f-91d6b4e535e8</t>
  </si>
  <si>
    <t>d929dc47-d2fc-49b6-b396-3549a6c1b1ae</t>
  </si>
  <si>
    <t>8b65a41c-b4de-4f21-84a8-512a2ed8e1ef</t>
  </si>
  <si>
    <t>Low level</t>
  </si>
  <si>
    <t>dbde660a-34bb-4906-b0f6-ce1c50557e9a</t>
  </si>
  <si>
    <t>Cloudy and dry</t>
  </si>
  <si>
    <t>69cb6fba-c5f2-42cb-b29b-440caf2b676d</t>
  </si>
  <si>
    <t>88bb4153-1d2a-4537-9e61-b09eaad817c2</t>
  </si>
  <si>
    <t>Readings taken day after heavy night rain</t>
  </si>
  <si>
    <t>e6193300-6984-47b5-a155-364daa237133</t>
  </si>
  <si>
    <t>My first reading for SafeAvon</t>
  </si>
  <si>
    <t>71e462ed-e3e8-426a-9549-7abd58f45a19</t>
  </si>
  <si>
    <t>Rain through the night.</t>
  </si>
  <si>
    <t>7045c246-1d15-4b00-9265-ffce36d00b45</t>
  </si>
  <si>
    <t>Raining. Still.Tested at home.</t>
  </si>
  <si>
    <t>6026521f-5b68-423d-9dc9-6852e03d5269</t>
  </si>
  <si>
    <t>Raining. Still. Tested at home.</t>
  </si>
  <si>
    <t>b86cc390-3ca9-11ef-a5b7-a72564a79fba</t>
  </si>
  <si>
    <t>2bff353e-11fb-4be4-b5e9-e5612cb6524d</t>
  </si>
  <si>
    <t>dcb4dc88-060e-4524-a31f-8ed187237d2a</t>
  </si>
  <si>
    <t>ba5591cf-0af8-4310-93b9-e653c8d0f2a8</t>
  </si>
  <si>
    <t>395f1dc4-f3b4-4605-8435-b00542c17917</t>
  </si>
  <si>
    <t>02b0b0c5-c93b-4c9f-8593-b98ca5323427</t>
  </si>
  <si>
    <t>e0b262b7-7b23-4537-9c77-bd289dd0c304</t>
  </si>
  <si>
    <t>2f16671d-3764-44a9-a433-27f828c7c8d3</t>
  </si>
  <si>
    <t>7fcd427e-97e0-4564-b450-1359cfc2d6a7</t>
  </si>
  <si>
    <t>a63405cd-a558-4817-83ae-e1a0515f4092</t>
  </si>
  <si>
    <t>c7c8ddae-cdba-4099-bba8-103758b58c02</t>
  </si>
  <si>
    <t>7e918f72-132f-4ce4-a991-9d7f2bce0fe4</t>
  </si>
  <si>
    <t>1173adc7-a7a1-4fa4-82b7-49005255d400</t>
  </si>
  <si>
    <t>Bredon docklane</t>
  </si>
  <si>
    <t>0abc6c24-bff0-49c8-96a1-39ed761eaac1</t>
  </si>
  <si>
    <t>a8736495-89bb-4676-b21e-9ef45b2e6b41</t>
  </si>
  <si>
    <t>Cool, dry</t>
  </si>
  <si>
    <t>16213d3c-3698-4b47-803b-1d976ff3917a</t>
  </si>
  <si>
    <t>6f277627-3d0a-43d0-94d8-3015252d1a90</t>
  </si>
  <si>
    <t>0d140a73-c83d-445d-b4cb-e6085a38f926</t>
  </si>
  <si>
    <t>Drizzle. Water clear, hardly moving.</t>
  </si>
  <si>
    <t>3f66a26e-0eea-47ed-8021-284cd3a3a901</t>
  </si>
  <si>
    <t>Drizzle. River clear and slow.</t>
  </si>
  <si>
    <t>48f12617-cab4-4329-96e0-1dffa1aaf051</t>
  </si>
  <si>
    <t>Highest Phosphate Level</t>
  </si>
  <si>
    <t>1211a820-4808-11ef-9d6a-515c86fbb5ad</t>
  </si>
  <si>
    <t>Severn Trent Water processing plant outflow</t>
  </si>
  <si>
    <t>After heavy rainfall</t>
  </si>
  <si>
    <t>e21e1d10-4807-11ef-9d6a-515c86fbb5ad</t>
  </si>
  <si>
    <t>Cross Leys culvert</t>
  </si>
  <si>
    <t>a0c523e0-4807-11ef-9d6a-515c86fbb5ad</t>
  </si>
  <si>
    <t>Middle Street</t>
  </si>
  <si>
    <t>Following heavy rain</t>
  </si>
  <si>
    <t>ccf35f00-4806-11ef-b264-cb332efe4c4c</t>
  </si>
  <si>
    <t>a80b2100-4806-11ef-b264-cb332efe4c4c</t>
  </si>
  <si>
    <t>79b148c0-4806-11ef-b264-cb332efe4c4c</t>
  </si>
  <si>
    <t>Dry for several days</t>
  </si>
  <si>
    <t>b4c042f0-4805-11ef-9137-2b62b3d14d1e</t>
  </si>
  <si>
    <t>78dde8a0-4805-11ef-9137-2b62b3d14d1e</t>
  </si>
  <si>
    <t>46d5ae60-4805-11ef-9137-2b62b3d14d1e</t>
  </si>
  <si>
    <t>d826c720-47fe-11ef-b545-71ff5e2f5541</t>
  </si>
  <si>
    <t>a9d8fcd0-47fe-11ef-b545-71ff5e2f5541</t>
  </si>
  <si>
    <t>68579410-47fe-11ef-b545-71ff5e2f5541</t>
  </si>
  <si>
    <t>fa448ff0-47fd-11ef-ad31-bfffe324e33f</t>
  </si>
  <si>
    <t>c83577e0-47fd-11ef-ad31-bfffe324e33f</t>
  </si>
  <si>
    <t>911492b0-47fc-11ef-ad31-bfffe324e33f</t>
  </si>
  <si>
    <t>25296f91-fbc0-4b6c-81c6-dc9d0e5f2187</t>
  </si>
  <si>
    <t>895681df-c8d5-4556-8b2c-0c74c41b6065</t>
  </si>
  <si>
    <t>597ef854-22b0-4ea8-b652-f83581680ec8</t>
  </si>
  <si>
    <t>Dry and very warm for the last 3 days (29 C)</t>
  </si>
  <si>
    <t>95a5cd95-980e-4329-ad47-8253c960347c</t>
  </si>
  <si>
    <t>Dry spell- water low</t>
  </si>
  <si>
    <t>bc65b0e1-8569-4ae4-a39b-497c18d3716d</t>
  </si>
  <si>
    <t>Dry spell - water very low</t>
  </si>
  <si>
    <t>ed188b5e-5baf-4a4b-86bc-b900ab22143f</t>
  </si>
  <si>
    <t>Dry spell - water low</t>
  </si>
  <si>
    <t>0c655d8c-0527-4f65-9249-93534ad36700</t>
  </si>
  <si>
    <t>Saw some freshwater shrimp in the sample</t>
  </si>
  <si>
    <t>c54fa63a-d4bd-466f-9084-827d717ae039</t>
  </si>
  <si>
    <t>Highest ec recorded at this site so far....could be due to building works?</t>
  </si>
  <si>
    <t>72b22da6-ef37-4fb2-b662-aa930429cba5</t>
  </si>
  <si>
    <t>Dry week, little flow</t>
  </si>
  <si>
    <t>eb298c1a-99d5-40e2-8218-ba12760117e6</t>
  </si>
  <si>
    <t>d57fc8d6-c15d-4ccd-9122-7f6b7a2967d6</t>
  </si>
  <si>
    <t>5bcb7406-1d40-41ac-886b-d0fb6d6c8a5f</t>
  </si>
  <si>
    <t>Dru few days</t>
  </si>
  <si>
    <t>dad65a85-6dcd-4c90-8e46-b461e479fdb5</t>
  </si>
  <si>
    <t>1ce1778a-6be5-4dbc-9167-6eba7fcffa18</t>
  </si>
  <si>
    <t>4e4f7e06-5151-4cdb-ac73-3b33f58dff15</t>
  </si>
  <si>
    <t>dd8dec6e-3a34-41db-9e50-c0292e5676a3</t>
  </si>
  <si>
    <t>Relatively dry</t>
  </si>
  <si>
    <t>bbe81ddb-66dc-47eb-9a04-9c09487aae54</t>
  </si>
  <si>
    <t>ab6e1053-7d25-467c-8cae-13918b81cc44</t>
  </si>
  <si>
    <t>dfa4f7db-930a-4c22-941e-7a8d9f975ce2</t>
  </si>
  <si>
    <t>fef68583-b848-45ad-9128-c8fbb7f002c3</t>
  </si>
  <si>
    <t>cbc8386e-2a76-4fbe-bec3-700b4b0a401f</t>
  </si>
  <si>
    <t>Dry with showers</t>
  </si>
  <si>
    <t>0180c2f1-1b17-4266-bc53-19a87bfe46b1</t>
  </si>
  <si>
    <t>69296837-fc2d-4b68-94bc-3ca5bbdb9f51</t>
  </si>
  <si>
    <t>4223d957-9010-478d-bf66-c087d6d5d065</t>
  </si>
  <si>
    <t>f83bdf22-42cb-41d0-9702-e2240eeabd65</t>
  </si>
  <si>
    <t>Warm, dry and shallow stream at this point</t>
  </si>
  <si>
    <t>5f5b18db-cd42-4eaa-8bd5-2ece1d61c8e5</t>
  </si>
  <si>
    <t>5b406ed0-37df-45c7-8d8c-f1d89de810da</t>
  </si>
  <si>
    <t>After a dry week</t>
  </si>
  <si>
    <t>eec13000-c5f3-4f9c-8f5d-c14a8a31cd3f</t>
  </si>
  <si>
    <t>7631907c-2afd-4631-a035-b16926075313</t>
  </si>
  <si>
    <t>a6e77a48-cb03-4bd6-b2b6-f058a23aa989</t>
  </si>
  <si>
    <t>d5964c38-7ac1-416d-acb5-8ce9e5442555</t>
  </si>
  <si>
    <t>61d5e9fa-3fe0-4e98-a80d-a22a4706b92e</t>
  </si>
  <si>
    <t>76a41db1-7002-43bd-944c-e90429d864a5</t>
  </si>
  <si>
    <t>Drizzly, sunny, windy</t>
  </si>
  <si>
    <t>76037bb0-f443-11ee-bb8b-0f5353699b34</t>
  </si>
  <si>
    <t>none</t>
  </si>
  <si>
    <t>3ac02080-f443-11ee-bb8b-0f5353699b34</t>
  </si>
  <si>
    <t>09c75a70-f443-11ee-bb8b-0f5353699b34</t>
  </si>
  <si>
    <t>bb48bfb0-f442-11ee-bb8b-0f5353699b34</t>
  </si>
  <si>
    <t>7fa85060-f442-11ee-bb8b-0f5353699b34</t>
  </si>
  <si>
    <t>1fcd2120-f442-11ee-bb8b-0f5353699b34</t>
  </si>
  <si>
    <t>Heavy rainfall on previous days. Dry today.</t>
  </si>
  <si>
    <t>25ff2510-edd1-11ee-bbaf-f30c03f3512a</t>
  </si>
  <si>
    <t>After very heavy rainfall. Water running down the Armscote Road from the Severn Trent treatment site's gateway.</t>
  </si>
  <si>
    <t>fec99bb0-edd0-11ee-bbaf-f30c03f3512a</t>
  </si>
  <si>
    <t>None</t>
  </si>
  <si>
    <t>a09d06d0-edd0-11ee-8b39-83c0bad69482</t>
  </si>
  <si>
    <t>70f021b0-edd0-11ee-8b39-83c0bad69482</t>
  </si>
  <si>
    <t>44dba590-edd0-11ee-8b39-83c0bad69482</t>
  </si>
  <si>
    <t>058d2260-edd0-11ee-8b39-83c0bad69482</t>
  </si>
  <si>
    <t>After heavy rainfall. The brook was running very fast at this point.</t>
  </si>
  <si>
    <t>d6a42980-edcf-11ee-8b39-83c0bad69482</t>
  </si>
  <si>
    <t>9f605d90-edcf-11ee-8b39-83c0bad69482</t>
  </si>
  <si>
    <t>6fceefb0-edcf-11ee-8b39-83c0bad69482</t>
  </si>
  <si>
    <t>3a758ea0-edcf-11ee-8b39-83c0bad69482</t>
  </si>
  <si>
    <t>7cd2a93b-3b67-4071-876a-4e58ed4ba95f</t>
  </si>
  <si>
    <t>After heavy rainfall. Brook was running really fast at Middle St. Water was running across and down the Armscote Road from the gates into the ST site.</t>
  </si>
  <si>
    <t>390e6ee8-cbab-478e-af56-99cd15568f78</t>
  </si>
  <si>
    <t>No notes</t>
  </si>
  <si>
    <t>edd10ce7-e060-4080-99fe-44db3b9bd73d</t>
  </si>
  <si>
    <t>After heavy rain</t>
  </si>
  <si>
    <t>5e49575b-4cb1-45a3-ba02-c52df288ba9f</t>
  </si>
  <si>
    <t>56aa1f3c-0bce-4208-8034-5c72251ddf24</t>
  </si>
  <si>
    <t>Heavy rainfall for the week leading up to this set of measurements.</t>
  </si>
  <si>
    <t>0dfbd270-50b3-11ef-8ec3-e3dfc32355e8</t>
  </si>
  <si>
    <t>EC Machine failed - batteries needed replacing.  Temp is an estimation.</t>
  </si>
  <si>
    <t>fcd850b0-a1c5-4ce1-9891-6897b50f9a3d</t>
  </si>
  <si>
    <t>f4428f23-e669-4cba-ade8-63149f5d6928</t>
  </si>
  <si>
    <t>No rain recently</t>
  </si>
  <si>
    <t>8b731966-45ae-45ad-b5d5-7523b0c68fae</t>
  </si>
  <si>
    <t>No rain.in past 5 days..very dry</t>
  </si>
  <si>
    <t>603d4de3-60d3-448d-8706-9792af3bf6af</t>
  </si>
  <si>
    <t>d4b56e5b-77d6-4d1f-b8c6-eb2198f8e2f6</t>
  </si>
  <si>
    <t>b6417dfd-0069-4cf7-9349-0f45063086d5</t>
  </si>
  <si>
    <t>Cam Chipping Campden Sewage Works</t>
  </si>
  <si>
    <t>8041a501-03e3-494b-bae6-ab5bcb8873bc</t>
  </si>
  <si>
    <t>Cam Chipping Campden Lady J Gateway</t>
  </si>
  <si>
    <t>5123a886-92d4-4770-a63b-e39731813392</t>
  </si>
  <si>
    <t>94683628-b7e5-4946-aa57-8787d910bdf6</t>
  </si>
  <si>
    <t>Clear, Sunny, Water clear and still.</t>
  </si>
  <si>
    <t>dde2da79-d5bc-4465-8a1b-5cf442d39335</t>
  </si>
  <si>
    <t>Clear. Sunny. Steady clear flow</t>
  </si>
  <si>
    <t>abfd9b1e-4018-4287-b477-bcd42491de20</t>
  </si>
  <si>
    <t>578dab72-4dae-4385-afa5-25e63139067a</t>
  </si>
  <si>
    <t>d1f3598a-8419-43d7-be62-0606b4a73ef8</t>
  </si>
  <si>
    <t>Sunny day. No rain in last 24 hours</t>
  </si>
  <si>
    <t>d5829518-8829-4a02-935d-ba0b8afff99f</t>
  </si>
  <si>
    <t>27de898d-1003-46e8-97d5-0a78e0ba112e</t>
  </si>
  <si>
    <t>Warm, dry</t>
  </si>
  <si>
    <t>d8e48725-dd07-4ebb-87fa-64e412c0e481</t>
  </si>
  <si>
    <t>Carrant Brook Back Lane Beckford</t>
  </si>
  <si>
    <t>523304bc-b5ea-48a3-bd39-4821b4c1891f</t>
  </si>
  <si>
    <t>dfc7eff1-4674-477f-a871-4b51a9966812</t>
  </si>
  <si>
    <t>a19b3837-34bc-4267-8866-b5c82750def3</t>
  </si>
  <si>
    <t>6c35c281-587c-460a-adc3-19089923076d</t>
  </si>
  <si>
    <t>6ed42ffc-3752-4670-a4a6-409e4cc4319e</t>
  </si>
  <si>
    <t>e9f25c4f-a4d4-4e2c-b920-9fe954921451</t>
  </si>
  <si>
    <t>ec0f72a1-c431-47b6-94ac-55b9a379ac54</t>
  </si>
  <si>
    <t>First test</t>
  </si>
  <si>
    <t>3cabfe7a-f66e-4b63-b062-8667781efd91</t>
  </si>
  <si>
    <t>Bredon marina</t>
  </si>
  <si>
    <t>681ed8ac-7879-449b-a316-1144470ca63e</t>
  </si>
  <si>
    <t>86be36a2-e391-40be-b148-2c1932f919fd</t>
  </si>
  <si>
    <t>bfe8757f-5f43-4ad2-9cd8-99302fea5aaf</t>
  </si>
  <si>
    <t>ecc1cd65-0f20-44eb-865b-26da9b9a9eb0</t>
  </si>
  <si>
    <t>Riverwas minus 0.5..slightly lower than usual</t>
  </si>
  <si>
    <t>9ecd261c-c835-4bf0-9323-09a1388e13a6</t>
  </si>
  <si>
    <t>595dd3e3-ff25-4937-90b6-6d77931e799e</t>
  </si>
  <si>
    <t>1a5390d7-563c-40c9-b813-6a09f27e42a0</t>
  </si>
  <si>
    <t>e2e0ef44-4c3f-42a5-86aa-ba2122cd1aa8</t>
  </si>
  <si>
    <t>adb18144-0acb-4c33-a374-ef747fed77ca</t>
  </si>
  <si>
    <t>69d6018a-404d-40f3-8af2-e38a07020bdd</t>
  </si>
  <si>
    <t>f2e36851-a332-4396-b867-72015fc36a8a</t>
  </si>
  <si>
    <t>47b52e0f-2425-403c-9128-68ee57a40e51</t>
  </si>
  <si>
    <t>3f17aed5-a62e-46c7-b0f4-a112f942fe5a</t>
  </si>
  <si>
    <t>10854eee-2b24-4b92-a957-142ab7c73d56</t>
  </si>
  <si>
    <t>e5419810-47a2-11ef-aa3b-fde3b9b8f1fa</t>
  </si>
  <si>
    <t>88310a5d-f8fd-4a0f-b875-9b21c8378990</t>
  </si>
  <si>
    <t>ad8aaa03-ae2d-414e-90e7-9c4b5a4bc31e</t>
  </si>
  <si>
    <t>Morning after rain</t>
  </si>
  <si>
    <t>cecf513d-d0e4-40c3-aaf0-93bba1bc94a3</t>
  </si>
  <si>
    <t>0f1bbb73-d1b4-4c9c-a7f1-8717cc610dd3</t>
  </si>
  <si>
    <t>3c3a1afb-f7af-43f7-aa78-553dcbecbef9</t>
  </si>
  <si>
    <t>099f3b75-e3bd-4509-a4da-78c4860ade51</t>
  </si>
  <si>
    <t>fa3bb001-a89a-40e4-bf04-e34134b9023f</t>
  </si>
  <si>
    <t>Whitsun Brook north of Bishampton</t>
  </si>
  <si>
    <t>Water clear. Hot dry spell.</t>
  </si>
  <si>
    <t>e1e2db2f-a1bb-4903-89a5-454456deddbf</t>
  </si>
  <si>
    <t>Whitsun Brook Rous Lench Bishampton</t>
  </si>
  <si>
    <t>Clear, not brown. Hot dry spell. No Nitrate test done.</t>
  </si>
  <si>
    <t>eae67d9b-4fee-4bd6-9c02-acd2bd2351de</t>
  </si>
  <si>
    <t>Whitsun Brook Church Lench Bridge</t>
  </si>
  <si>
    <t>Brown tinge to water. Wafting smell.</t>
  </si>
  <si>
    <t>f6211097-5039-4516-8c6f-5ee99c267ca4</t>
  </si>
  <si>
    <t>Whitsun Brook Rous Church Lench</t>
  </si>
  <si>
    <t>Warm dry spell. Brown tinge to water. Smelly area</t>
  </si>
  <si>
    <t>241d5710-54c0-43b8-89ce-4a4414b75775</t>
  </si>
  <si>
    <t>Piddle Brook North of Radford</t>
  </si>
  <si>
    <t>f49bf4d5-e704-401b-bede-119b8ad8f5f2</t>
  </si>
  <si>
    <t>Piddle Brook Norton Beachamp Bridge</t>
  </si>
  <si>
    <t>8c1b6e71-3184-42ee-b960-e3d8b44534ac</t>
  </si>
  <si>
    <t>Piddle Brook Long Lane Pinvin</t>
  </si>
  <si>
    <t>0f6f17f2-810d-4482-89f2-9b1aff86179b</t>
  </si>
  <si>
    <t>Dry hot spell. River low slow and clear.</t>
  </si>
  <si>
    <t>18f98523-e57e-4e68-b107-c49113cc3d83</t>
  </si>
  <si>
    <t>Dry hot spell. Now cloudy. Clear low water.</t>
  </si>
  <si>
    <t>94b729ea-e01f-465a-a107-865619d09a22</t>
  </si>
  <si>
    <t>Carrant Brook Beckford BackLane</t>
  </si>
  <si>
    <t>Zero level on Gov website but some flow.</t>
  </si>
  <si>
    <t>5c62ba1b-6d31-4f39-9284-2829fcce3b11</t>
  </si>
  <si>
    <t>24c20dce-a5a1-4d14-bd1a-6879c51e9229</t>
  </si>
  <si>
    <t>8ab3259c-ced4-4c99-ada2-9d715ad6198d</t>
  </si>
  <si>
    <t>Very warm and dry</t>
  </si>
  <si>
    <t>c1134ba0-11f9-42e9-bbf7-58a22ace65ed</t>
  </si>
  <si>
    <t>Dry. There had been a sewage spill from CSO on 10th July 2024</t>
  </si>
  <si>
    <t>b5f288b0-fec3-4bcb-b01e-894553069d5d</t>
  </si>
  <si>
    <t>943628ff-dd07-4eba-9202-2a40b8071e22</t>
  </si>
  <si>
    <t>57766fb3-6051-4108-b407-ad3371a56eab</t>
  </si>
  <si>
    <t>d11aa80c-69cd-4b1c-8d53-62ec7eab3cad</t>
  </si>
  <si>
    <t>038889d4-bcec-4f9a-8ad3-330f36e84e03</t>
  </si>
  <si>
    <t>e9a70072-d0fd-4b62-a85b-1be0b00470a9</t>
  </si>
  <si>
    <t>f2303e3e-686e-4ebf-808a-563b63baf6e9</t>
  </si>
  <si>
    <t>Latitude Range</t>
  </si>
  <si>
    <t>Longitude Range</t>
  </si>
  <si>
    <t>Group As</t>
  </si>
  <si>
    <t>Waterway</t>
  </si>
  <si>
    <t>Designation</t>
  </si>
  <si>
    <t>Pitch 16 (Linda)</t>
  </si>
  <si>
    <t>Avon</t>
  </si>
  <si>
    <t>Swilgate</t>
  </si>
  <si>
    <t>Bell Brook</t>
  </si>
  <si>
    <t>Bredon Dock Lane</t>
  </si>
  <si>
    <t>Carrant Back Lane Beckford</t>
  </si>
  <si>
    <t>Carrant</t>
  </si>
  <si>
    <t>Carrant Beckford Sewage Works</t>
  </si>
  <si>
    <t>Carrant M5 Bridge</t>
  </si>
  <si>
    <t>Stour Ascott Village</t>
  </si>
  <si>
    <t>Carrant Mitton Bridge</t>
  </si>
  <si>
    <t>Clifford Chambers Mill Bridge</t>
  </si>
  <si>
    <t>Stour</t>
  </si>
  <si>
    <t>Clifford Chambers Road Bridge</t>
  </si>
  <si>
    <t>Stour Cherington Sewage Works</t>
  </si>
  <si>
    <t>Stour Stretton-on-Fosse Sewage Works</t>
  </si>
  <si>
    <t>Bow Brook</t>
  </si>
  <si>
    <t>Stour Shipston Mill Bridge</t>
  </si>
  <si>
    <t>Pershore Leisure Centre</t>
  </si>
  <si>
    <t>Piddle Brook</t>
  </si>
  <si>
    <t>Preston-on-Stour River Bridge</t>
  </si>
  <si>
    <t>Sherbourne Brook</t>
  </si>
  <si>
    <t>Stour Newbold Mill</t>
  </si>
  <si>
    <t>Stratford RSC</t>
  </si>
  <si>
    <t>Trinity Church</t>
  </si>
  <si>
    <t>Weston-on-Avon</t>
  </si>
  <si>
    <t>Pitch16</t>
  </si>
  <si>
    <t>Summer = Jun/Jul/Aug</t>
  </si>
  <si>
    <t>Pollution Categories</t>
  </si>
  <si>
    <t>Autumn = Sep/Oct/Nov</t>
  </si>
  <si>
    <t>Nitrate</t>
  </si>
  <si>
    <r>
      <t>0.0-0.5 =</t>
    </r>
    <r>
      <rPr>
        <sz val="11"/>
        <color theme="1"/>
        <rFont val="Bahnschrift SemiBold"/>
        <family val="2"/>
      </rPr>
      <t xml:space="preserve"> No Evidence</t>
    </r>
  </si>
  <si>
    <r>
      <t xml:space="preserve">0.5-1.0 = </t>
    </r>
    <r>
      <rPr>
        <sz val="11"/>
        <color theme="1"/>
        <rFont val="Bahnschrift SemiBold"/>
        <family val="2"/>
      </rPr>
      <t>Some Evidence</t>
    </r>
  </si>
  <si>
    <r>
      <t xml:space="preserve">1.0-2.0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</si>
  <si>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&gt;2.0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</si>
  <si>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t>Winter = Dec/Jan/Feb</t>
  </si>
  <si>
    <t>Phosphate</t>
  </si>
  <si>
    <r>
      <t xml:space="preserve">0.00-0.05 = </t>
    </r>
    <r>
      <rPr>
        <sz val="11"/>
        <color theme="1"/>
        <rFont val="Bahnschrift SemiBold"/>
        <family val="2"/>
      </rPr>
      <t>No Evidence</t>
    </r>
  </si>
  <si>
    <r>
      <t xml:space="preserve">0.05-0.10 = </t>
    </r>
    <r>
      <rPr>
        <sz val="11"/>
        <color theme="1"/>
        <rFont val="Bahnschrift SemiBold"/>
        <family val="2"/>
      </rPr>
      <t>Some Evidence</t>
    </r>
  </si>
  <si>
    <r>
      <t xml:space="preserve">0.10-0.50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</si>
  <si>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&gt;0.50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</si>
  <si>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t>Spring = Mar/Apr/May</t>
  </si>
  <si>
    <t>Pollution Categories from here:</t>
  </si>
  <si>
    <t>https://content.freshwaterhabitats.org.uk/2015/10/CWfWTechnicalDocumentFINAL.pdf</t>
  </si>
  <si>
    <t>Methodology here:</t>
  </si>
  <si>
    <t>https://www.wyeuskfoundation.org/wp-content/uploads/2023/10/aguidetocitizenscienceriverwatersamplingandwaterqualitytestinginthefield.pdf</t>
  </si>
  <si>
    <t>Field testing.</t>
  </si>
  <si>
    <t>TABLE 1: Summary by Test Site</t>
  </si>
  <si>
    <t>Seasonal Baselines</t>
  </si>
  <si>
    <t>All Time</t>
  </si>
  <si>
    <t>Summer</t>
  </si>
  <si>
    <t>Autumn</t>
  </si>
  <si>
    <t>Winter</t>
  </si>
  <si>
    <t>Spring</t>
  </si>
  <si>
    <t>River/Stream/Brook</t>
  </si>
  <si>
    <t>Samples</t>
  </si>
  <si>
    <t>% Nitrate Readings 
"High" or "Very High"</t>
  </si>
  <si>
    <t>% Phosphate Readings 
"High" or "Very High"</t>
  </si>
  <si>
    <t>Deviation from Site
Avg (N)</t>
  </si>
  <si>
    <t>Deviation from Site
Avg (P)</t>
  </si>
  <si>
    <t>Change from Previous Year
(N)</t>
  </si>
  <si>
    <t>Change from Previous Year
(P)</t>
  </si>
  <si>
    <t>Total</t>
  </si>
  <si>
    <t>test sites</t>
  </si>
  <si>
    <t>Summer '23</t>
  </si>
  <si>
    <t>Autumn '23</t>
  </si>
  <si>
    <t>Winter '23/24</t>
  </si>
  <si>
    <t>Spring '24</t>
  </si>
  <si>
    <t>Other</t>
  </si>
  <si>
    <t>Summer '24</t>
  </si>
  <si>
    <t>TOTAL</t>
  </si>
  <si>
    <t>Test Type</t>
  </si>
  <si>
    <t>Count</t>
  </si>
  <si>
    <t>Sites Sampled</t>
  </si>
  <si>
    <t>Sites Sampled 10+ times</t>
  </si>
  <si>
    <t>Electrical Conductivity</t>
  </si>
  <si>
    <t>Sites Sampled Every Season</t>
  </si>
  <si>
    <t>Pollution Thresholds</t>
  </si>
  <si>
    <t>No evidence</t>
  </si>
  <si>
    <t>Some evidence</t>
  </si>
  <si>
    <t>High levels</t>
  </si>
  <si>
    <t>Very high levels</t>
  </si>
  <si>
    <t>Bredon Marina</t>
  </si>
  <si>
    <t>Chipping Campden Lady J Gateway</t>
  </si>
  <si>
    <t>Chipping Campden Sewage Works</t>
  </si>
  <si>
    <t>Whitsun Brook</t>
  </si>
  <si>
    <t>3621c971-d4b5-486f-8b16-7d41213c78e4</t>
  </si>
  <si>
    <t>5e5e7300-696b-11ef-a220-cf9109a76d16</t>
  </si>
  <si>
    <t>38c969ef-05f9-485d-b36f-a332600e2661</t>
  </si>
  <si>
    <t>f31f71b3-7494-4f35-b751-9b6e52605843</t>
  </si>
  <si>
    <t>943f5b11-9160-47fa-b8d6-6237db7a6c6b</t>
  </si>
  <si>
    <t>ad9343d6-b529-4151-a706-3eab19ec047e</t>
  </si>
  <si>
    <t>9a11ae29-028c-446a-b90b-297db0fe0f64</t>
  </si>
  <si>
    <t>cbe2cd96-7e09-4758-ae99-2995e50d42b6</t>
  </si>
  <si>
    <t>d42c76aa-a9c5-448f-a5dc-65da72387e8e</t>
  </si>
  <si>
    <t>bf330650-7ebd-48c4-b4c4-55be9d178e2c</t>
  </si>
  <si>
    <t>35df6e3c-a2ca-49fe-a8e8-b24d0c410a44</t>
  </si>
  <si>
    <t>4c18b982-74d0-4fbf-a8aa-fc5644c99fdd</t>
  </si>
  <si>
    <t>6a5d2cca-95df-41d8-94fd-e9dc5fd8b68c</t>
  </si>
  <si>
    <t>1c370900-6778-11ef-a9e5-57dde72569b0</t>
  </si>
  <si>
    <t>dd435000-6777-11ef-a9e5-57dde72569b0</t>
  </si>
  <si>
    <t>a0fda000-6777-11ef-a9e5-57dde72569b0</t>
  </si>
  <si>
    <t>4d1f49c0-6777-11ef-a9e5-57dde72569b0</t>
  </si>
  <si>
    <t>d007ffcf-e2d7-46e9-9683-b8e5b234b969</t>
  </si>
  <si>
    <t>5e505974-0612-407b-ac5c-c0634e30f04d</t>
  </si>
  <si>
    <t>775f88d5-4a55-4afe-8fce-4bc4ab7d14f8</t>
  </si>
  <si>
    <t>cf37382c-bb9c-436d-a472-fb7b4817f9e7</t>
  </si>
  <si>
    <t>1e59cb14-2e85-40da-8597-f046b3db75e2</t>
  </si>
  <si>
    <t>e2c990d0-64ba-11ef-b7a3-11d7e66f0fd9</t>
  </si>
  <si>
    <t>71191ffa-4faa-4a55-ac23-ba3dfedba44d</t>
  </si>
  <si>
    <t>493f4a89-9996-43be-8ed2-1f49241de50b</t>
  </si>
  <si>
    <t>dcc6d72a-1361-4e3f-9f2c-4460bfa61590</t>
  </si>
  <si>
    <t>f889e142-dac7-4768-ab99-36171d468cfd</t>
  </si>
  <si>
    <t>bdbc14dd-86a3-43a0-bc4c-13a3aed505c5</t>
  </si>
  <si>
    <t>8c38ffff-8990-4ba0-bf18-3b3e96fc221e</t>
  </si>
  <si>
    <t>168c4434-09a5-4893-a817-e869e192b467</t>
  </si>
  <si>
    <t>99e1f50f-3d05-4af9-9f4d-c5eedd3344f6</t>
  </si>
  <si>
    <t>999086f8-4c89-4e63-ba17-add023e5d43b</t>
  </si>
  <si>
    <t>a8dc7600-bcb8-401c-b3f5-7509c73e4a56</t>
  </si>
  <si>
    <t>9c6062de-f4e0-4ea5-883f-5617551af021</t>
  </si>
  <si>
    <t>64bb43d8-c126-4140-8ee9-dda3f3eac9b7</t>
  </si>
  <si>
    <t>38c7cda7-f30e-44a6-b81d-faac69836c4d</t>
  </si>
  <si>
    <t>25b5ca37-881a-4df2-9515-fe1a29018d25</t>
  </si>
  <si>
    <t>b3b5502e-75d5-4be6-b03f-41f5c4667dd5</t>
  </si>
  <si>
    <t>48e6b0fb-32c3-4d67-955b-81ba89ab1f63</t>
  </si>
  <si>
    <t>8381be3f-95ac-48dd-bfae-a1875afddcfd</t>
  </si>
  <si>
    <t>c2f200d0-ed93-450e-839f-d1773022a386</t>
  </si>
  <si>
    <t>a94c39b3-6cad-48c3-9911-d5845fd7ddad</t>
  </si>
  <si>
    <t>29847322-c8e6-44fb-a2d5-caad68710dcc</t>
  </si>
  <si>
    <t>9146db30-2bbe-4252-8913-b2e76fb80faa</t>
  </si>
  <si>
    <t>7c0f6277-d83f-44fe-94f7-f700176351ee</t>
  </si>
  <si>
    <t>539ffe7f-46d4-4b74-87e8-8d9dcae4d88c</t>
  </si>
  <si>
    <t>e66c46a7-cfcc-4b2b-ad91-b397dee0af97</t>
  </si>
  <si>
    <t>5e5df17e-a809-4a64-a6e4-0648552388c9</t>
  </si>
  <si>
    <t>511df0e8-109f-4ae4-9650-9d65685037a3</t>
  </si>
  <si>
    <t>00167682-6898-40b9-9f15-ba34ce364348</t>
  </si>
  <si>
    <t>acb8e2e6-a856-4f87-94ca-9bf45611883e</t>
  </si>
  <si>
    <t>44b5aeb5-72c3-499a-b83d-929ab8d452f2</t>
  </si>
  <si>
    <t>346366b4-7b36-4e62-bdd2-41c42804c053</t>
  </si>
  <si>
    <t>f164b819-0783-4f09-9273-b72ac87013e4</t>
  </si>
  <si>
    <t>4eeaa2a2-d420-4942-8631-7cba76cfdd5b</t>
  </si>
  <si>
    <t>59f509e9-f4f5-4012-af87-873848715bfc</t>
  </si>
  <si>
    <t>fd548a59-ace2-44ed-b4aa-af497d90a327</t>
  </si>
  <si>
    <t>016b3c43-9a22-4362-b22f-294556ff6de9</t>
  </si>
  <si>
    <t>3a3f0f19-2335-4ede-a7c0-3fe5da3911c6</t>
  </si>
  <si>
    <t>65a0de00-f1d3-4a1a-8a89-1744ab49a45d</t>
  </si>
  <si>
    <t>6ecacb01-4e72-4e79-8502-0ca733a21802</t>
  </si>
  <si>
    <t>3a399b66-2b52-4d9d-bf5b-8c631e648280</t>
  </si>
  <si>
    <t>2502a857-29fa-4e31-bbc6-1488110eeb0d</t>
  </si>
  <si>
    <t>3713b671-5b2c-422d-94b3-53803ff34140</t>
  </si>
  <si>
    <t>74185210-c94e-4052-aa71-9cf6daac914a</t>
  </si>
  <si>
    <t>f6b07239-bc49-41f8-a5dd-5f8e37a1d660</t>
  </si>
  <si>
    <t>0f5dec10-1f1d-41e1-86b3-5ad3f30fac5b</t>
  </si>
  <si>
    <t>cb4be598-81a0-4db9-b41c-0d3ae3bb088c</t>
  </si>
  <si>
    <t>2ef77fd1-d1f3-4e0e-9c85-8ccd3f830310</t>
  </si>
  <si>
    <t>91ed7d55-ff95-4c6d-b04e-11a960a5b1bd</t>
  </si>
  <si>
    <t>c2a4c463-cbad-4294-be06-f3bfad89c466</t>
  </si>
  <si>
    <t>edd8ac9f-b5ef-4191-8788-66499cf291bd</t>
  </si>
  <si>
    <t>39d256d0-5cca-11ef-8fb2-39724c024ce1</t>
  </si>
  <si>
    <t>901dddf2-d5ff-42f4-883e-e55879b1a3b7</t>
  </si>
  <si>
    <t>ca4d6eba-1ebe-4dc3-9001-b5d96d786ec8</t>
  </si>
  <si>
    <t>ac90d7dc-0507-4d22-9a09-3de89813a91e</t>
  </si>
  <si>
    <t>07451b57-4c93-4c6c-840c-56c3c3f6d77b</t>
  </si>
  <si>
    <t>5e27df43-b56a-4335-8377-5d221bd386da</t>
  </si>
  <si>
    <t>70db069a-ec3c-4f8f-8a96-40c725d7815b</t>
  </si>
  <si>
    <t>cd9b139e-93ce-4ae0-a537-1886e444f1ee</t>
  </si>
  <si>
    <t>5eb6ff16-3912-4cbf-8487-ea036e784362</t>
  </si>
  <si>
    <t>5ec605b9-4eb1-4994-8605-52d69f34982f</t>
  </si>
  <si>
    <t>9345215b-c057-45e5-a58a-cdc18b469888</t>
  </si>
  <si>
    <t>72a177fd-46a5-475b-906f-069499d66448</t>
  </si>
  <si>
    <t>caf45820-58c4-11ef-89bf-a397d218a523</t>
  </si>
  <si>
    <t>8c6bb7d7-323a-4630-977c-2c6e06e6b374</t>
  </si>
  <si>
    <t>149e0d10-3415-4ace-99db-10518d8cbdc0</t>
  </si>
  <si>
    <t>a6f53e90-5be9-4d16-b29a-7ef878351a67</t>
  </si>
  <si>
    <t>b2bb0a08-03a1-46e1-a7bb-2d2a0ac553ae</t>
  </si>
  <si>
    <t>0e6f1331-ce3a-4da2-a4d4-f256c059b2d0</t>
  </si>
  <si>
    <t>581f0fc7-1ba1-4456-9a9e-7ac6daadaa18</t>
  </si>
  <si>
    <t>1eb84d14-bb1c-4747-88b1-7303f89da1b7</t>
  </si>
  <si>
    <t>90d407fa-ea2e-4dfc-8f34-968b6bc4cbbf</t>
  </si>
  <si>
    <t>eb0e2cce-22a7-4b26-96ba-94a712a0f0cd</t>
  </si>
  <si>
    <t>b021cf42-9100-4893-b08d-9df23df4ef98</t>
  </si>
  <si>
    <t>2bb1df24-05b1-4581-864a-77409e6c30e0</t>
  </si>
  <si>
    <t>1ba471c7-78ec-4bf9-b10e-040c344885a8</t>
  </si>
  <si>
    <t>a318a430-3650-48c8-8bdc-4bd7add25ca1</t>
  </si>
  <si>
    <t>40695b0e-da74-4f2d-a9a3-979ab9bfa760</t>
  </si>
  <si>
    <t>df2274b9-2691-4ad6-a5aa-afe6f0a62769</t>
  </si>
  <si>
    <t>e82e6b84-eaae-4df7-ade2-8eef73031648</t>
  </si>
  <si>
    <t>e27cc6d7-c583-429b-af59-0ff55877e4d9</t>
  </si>
  <si>
    <t>02e4c9d9-f311-4d83-9258-4b0013e38853</t>
  </si>
  <si>
    <t>bf16e1f5-e1e2-4a1c-a2db-e05915c36dc0</t>
  </si>
  <si>
    <t>d82422d1-b2f4-43b7-a6f0-14e44986a512</t>
  </si>
  <si>
    <t>b9890936-4147-49be-b5dc-10fe06c228e8</t>
  </si>
  <si>
    <t>6807e3b4-d092-47f7-bd01-3aa43cb6d311</t>
  </si>
  <si>
    <t>46bc4d03-3219-4b8d-b0e7-614eb91795ca</t>
  </si>
  <si>
    <t>82fe0a52-f7b2-42c5-a93a-03069b033c34</t>
  </si>
  <si>
    <t>1d1ad07e-87b9-4b65-a5e1-508a8d8f9082</t>
  </si>
  <si>
    <t>93d17838-d964-44cc-91e0-c54991887099</t>
  </si>
  <si>
    <t>646584d7-13b5-4cfc-bd0a-ed763812269e</t>
  </si>
  <si>
    <t>8840e389-71d7-416c-836b-f44cb518a508</t>
  </si>
  <si>
    <t>efec8129-baa0-4fb8-9364-c351406b68b9</t>
  </si>
  <si>
    <t>2457c939-5583-4461-9cb8-f5771879633d</t>
  </si>
  <si>
    <t>ec97b557-e3ea-4ce9-aaf6-11c126726fd7</t>
  </si>
  <si>
    <t>874db6df-860e-4a5d-bde9-cbde3f9363c7</t>
  </si>
  <si>
    <t>70112f2d-d401-4ebb-bee3-db62c562333f</t>
  </si>
  <si>
    <t>429f9801-1530-490a-8f13-7dcea5d4148a</t>
  </si>
  <si>
    <t>f8afca6a-5ce8-42d6-a8b8-f04a49c6d05c</t>
  </si>
  <si>
    <t>6339a15e-cee1-4638-b795-cd061bc496a5</t>
  </si>
  <si>
    <t>122bef96-38b6-4f1f-a717-c0344f22f197</t>
  </si>
  <si>
    <t>6438fedf-8f80-4e4e-8e8e-e53fd838eef3</t>
  </si>
  <si>
    <t>a9b345f5-38b0-49bf-9611-d7725f6696a1</t>
  </si>
  <si>
    <t>f6bd584f-432e-491a-a19f-8aa1ac25bf6b</t>
  </si>
  <si>
    <t>b4f30fca-f39b-4bf0-aac6-5fcf55a31315</t>
  </si>
  <si>
    <t>c923b0dc-ca6f-40a7-b4e2-b99bef3d9371</t>
  </si>
  <si>
    <t>0fdd4d34-a731-40bc-938c-9af5ae774bdd</t>
  </si>
  <si>
    <t>45df84b2-126a-41cf-863c-5035b9c62ed4</t>
  </si>
  <si>
    <t>e2f99be6-4583-41ca-ac08-41855364fc8c</t>
  </si>
  <si>
    <t>e40bcf99-77eb-44ac-a955-b16387bdd6fb</t>
  </si>
  <si>
    <t>da985563-7d81-4a1e-a35d-781508111252</t>
  </si>
  <si>
    <t>41a76322-6c34-4729-ae52-137285af5a84</t>
  </si>
  <si>
    <t>df068f8e-1bdd-4af9-a0a0-69c00d474802</t>
  </si>
  <si>
    <t>ff234a72-e083-49ea-83cb-771d22fa0e53</t>
  </si>
  <si>
    <t>6ce05b6f-918c-4eeb-9119-b23f0dc1bd27</t>
  </si>
  <si>
    <t>effa384e-166d-404f-be31-70fe581a3fe0</t>
  </si>
  <si>
    <t>64a4aa16-f386-4f3b-be1e-39ac194dcbea</t>
  </si>
  <si>
    <t>64d54a5c-78f1-4eaf-b374-d88fe163f938</t>
  </si>
  <si>
    <t>69f0d6b5-159d-41d1-bbd4-012f698a1f9c</t>
  </si>
  <si>
    <t>519a0c1b-f797-47cc-b659-4ef6bce8d9a3</t>
  </si>
  <si>
    <t>60b579ef-dcac-4c58-b836-8a2d65135a65</t>
  </si>
  <si>
    <t>8ad6bbe0-f258-43ea-bd27-73b8d33a37f0</t>
  </si>
  <si>
    <t>a6fe3678-64c1-4ca4-a2cc-adee7076ec57</t>
  </si>
  <si>
    <t>e3b9d30f-26d9-4315-9f1d-dbec2c2b58c2</t>
  </si>
  <si>
    <t>b204c7ba-4815-4d70-bbf7-de7ba004e536</t>
  </si>
  <si>
    <t>58b1b143-cb55-4186-91dd-380ba6daa5d3</t>
  </si>
  <si>
    <t>226831fd-b517-4f60-a397-334e71b53d0b</t>
  </si>
  <si>
    <t>a3384cef-3d82-4872-82de-3e99703a1e77</t>
  </si>
  <si>
    <t>2bb46e54-d5d6-408b-8faf-83202755b3a9</t>
  </si>
  <si>
    <t>02535598-0664-4890-849e-0922f3d19a64</t>
  </si>
  <si>
    <t>dceff4b0-20ea-4fb8-a84b-cfdf7f3eb480</t>
  </si>
  <si>
    <t>43af4544-99e1-4e85-90d2-4fbb44d67fa5</t>
  </si>
  <si>
    <t>ac283e28-9613-45c8-a303-c397130f586e</t>
  </si>
  <si>
    <t>b459a524-6de0-432a-8fca-159ad739ad23</t>
  </si>
  <si>
    <t>d21341f6-0982-499d-8a90-76cb5bbf08a2</t>
  </si>
  <si>
    <t>30b65453-9a5e-48a8-96e6-d733005c0877</t>
  </si>
  <si>
    <t>1167301b-f2e9-46a1-9421-a6f58660198e</t>
  </si>
  <si>
    <t>f76ce364-24bc-404a-a158-245318cc9368</t>
  </si>
  <si>
    <t>69da1d42-6820-4c1e-8a82-be395c6cfb5a</t>
  </si>
  <si>
    <t>f28e5e7e-4537-47de-bb5e-abd4ea6e1b0a</t>
  </si>
  <si>
    <t>078abea9-de61-44e5-b952-a5386bcb6e24</t>
  </si>
  <si>
    <t>59c73089-3263-4d1d-ba6f-fe7441645d13</t>
  </si>
  <si>
    <t>6f45768c-ce47-4d0b-990e-6594a1f40e35</t>
  </si>
  <si>
    <t>0c32bf35-a627-4e2c-bf85-0be55b9b9b09</t>
  </si>
  <si>
    <t>ed2c6b1c-afa4-4814-8a21-dabd6d03be1e</t>
  </si>
  <si>
    <t>8edd2f0d-bf71-4a7b-9712-406991dbd9d5</t>
  </si>
  <si>
    <t>3171b82b-694c-4d0d-bdca-59edef05b898</t>
  </si>
  <si>
    <t>870f76e2-6739-4bbc-9e3b-a9c49e11cae3</t>
  </si>
  <si>
    <t>98ec0b0a-1500-442d-8f7e-1d1960e0bb80</t>
  </si>
  <si>
    <t>059dbd98-215b-45bd-9028-6a3c7e6b9584</t>
  </si>
  <si>
    <t>3aea7ea6-9d7e-4b93-94b6-5b1c031dce7d</t>
  </si>
  <si>
    <t>51eb7901-6d36-4e05-aa04-327f94202fb0</t>
  </si>
  <si>
    <t>86ee4cfa-4753-4dda-aec3-483e7d314c36</t>
  </si>
  <si>
    <t>6b405265-ab07-4dbb-8e51-9475ee3739ad</t>
  </si>
  <si>
    <t>0a09936e-b998-4521-b617-3ff39c512be7</t>
  </si>
  <si>
    <t>f45c744c-cdfd-4253-9b19-2111e36d2f51</t>
  </si>
  <si>
    <t>adfed117-3ef3-4d1d-a02d-b0d32f2ebb76</t>
  </si>
  <si>
    <t>22ba2dac-7f32-4c58-b69b-cf3530098df6</t>
  </si>
  <si>
    <t>21afa1ca-4426-4a8e-a623-e09c93f3c15d</t>
  </si>
  <si>
    <t>15be20c4-fc59-4301-b537-7a721d3ba58a</t>
  </si>
  <si>
    <t>b0103f45-623d-4dc6-9a7b-26567c70ea17</t>
  </si>
  <si>
    <t>f85f25eb-5cd6-49d9-b723-18aac06db929</t>
  </si>
  <si>
    <t>c051e1e0-c78f-4069-91e7-a00949ccb156</t>
  </si>
  <si>
    <t>5d0be5c0-528a-11ef-a1a1-3d9d2be9a0bb</t>
  </si>
  <si>
    <t>320ad2e7-4234-490a-9e47-24440c901dcb</t>
  </si>
  <si>
    <t>8709035e-726c-4139-8391-13eb128d7ab6</t>
  </si>
  <si>
    <t>f193bc06-36f0-473e-b601-91245f0d971e</t>
  </si>
  <si>
    <t>f12593b1-2b3f-46eb-9d61-2ef07927e45f</t>
  </si>
  <si>
    <t>ff0f158a-673f-4a5c-bfa9-9cf551f35b40</t>
  </si>
  <si>
    <t>020c61d2-bb53-46b6-b1ac-c7be3ebbcf2b</t>
  </si>
  <si>
    <t>8260b404-e830-4c0d-969e-4ab17714b2e4</t>
  </si>
  <si>
    <t>5fc4d5b2-9b1c-47ff-9541-1e81987b3b8a</t>
  </si>
  <si>
    <t>e64435d3-9271-4a2c-9146-3dd73cc2a37f</t>
  </si>
  <si>
    <t>c254e340-f641-47d0-9587-360b2076245b</t>
  </si>
  <si>
    <t>Fell Mill Footbridge, River Stour</t>
  </si>
  <si>
    <t>Fosseway Brook, ST outflow</t>
  </si>
  <si>
    <t>Fosseway Brook, Middle Street</t>
  </si>
  <si>
    <t>fosseway Brook, Cross Leys</t>
  </si>
  <si>
    <t>Fell Mill footbridge - River Stour</t>
  </si>
  <si>
    <t>ST Outflow</t>
  </si>
  <si>
    <t>Cross Leys</t>
  </si>
  <si>
    <t>Whitsun Brook Atch Lench Road, Church Lench.</t>
  </si>
  <si>
    <t>Whitsun Brook. Low road, Church Lench</t>
  </si>
  <si>
    <t>Cam chipping Campden craves</t>
  </si>
  <si>
    <t>Carrant Brook Back 8</t>
  </si>
  <si>
    <t>Site 1  :  Middle Street</t>
  </si>
  <si>
    <t>Site 2  :  Cross Leys culvert</t>
  </si>
  <si>
    <t>Site 3  :  Severn Trent Water processing plant outflow</t>
  </si>
  <si>
    <t>Cam Chipping Campden Craves</t>
  </si>
  <si>
    <t>Carrant A38</t>
  </si>
  <si>
    <t>After sewage works</t>
  </si>
  <si>
    <t>Cross leys</t>
  </si>
  <si>
    <t>Middle street</t>
  </si>
  <si>
    <t>Riverbank field ploughed and harrowed</t>
  </si>
  <si>
    <t>There were a lot of recently cut plant strimmings in the river channel partially obstructing the flow (someone has cut back undergrowth around the river bank).</t>
  </si>
  <si>
    <t>After very dry spell</t>
  </si>
  <si>
    <t>After very dry spell (unable to sample the Cross Leys site this week dilute to insufficient water /accessibility)</t>
  </si>
  <si>
    <t>V dry</t>
  </si>
  <si>
    <t>Very dry...so low flow</t>
  </si>
  <si>
    <t>Little rain within the last 36 hours</t>
  </si>
  <si>
    <t>A little rain 36 hours ago</t>
  </si>
  <si>
    <t>Cattle loose at bridge!</t>
  </si>
  <si>
    <t>On track with Phosphate accuracy</t>
  </si>
  <si>
    <t>Heavy rain during day</t>
  </si>
  <si>
    <t>Taken after heavy morning rain</t>
  </si>
  <si>
    <t>Clear, brown</t>
  </si>
  <si>
    <t>Water clear, brown, sample from bridge culvert outfall.</t>
  </si>
  <si>
    <t>Raining. Nitrate and phosphate done at home. Slow clear brook.</t>
  </si>
  <si>
    <t>Raining. Water clear and slow.</t>
  </si>
  <si>
    <t>Sunny and calm, water clear, hardly moving.</t>
  </si>
  <si>
    <t>Sunny and calm. River slow and clear.</t>
  </si>
  <si>
    <t>Sunny, windy. Dry period.</t>
  </si>
  <si>
    <t>Ph checker fault observed</t>
  </si>
  <si>
    <t>Phosphate reading off the scale so under</t>
  </si>
  <si>
    <t>Cloudy and breezy, water slow and clear.</t>
  </si>
  <si>
    <t>Slow clear flow. Cloudy and breezy</t>
  </si>
  <si>
    <t>Heavy rain overnight and continuing light rain all morning</t>
  </si>
  <si>
    <t>Heavy rain during the previous  night I.e. within the last 24 hours.</t>
  </si>
  <si>
    <t>Point just low cso</t>
  </si>
  <si>
    <t>Hot day</t>
  </si>
  <si>
    <t>Nitrites: 0; Heavy rainfall for the week leading up to this set of measurements.. Time not accurate.</t>
  </si>
  <si>
    <t>Nitrites: 0; No notes. Time not accurate.</t>
  </si>
  <si>
    <t>Nitrites: 0; After heavy rain. Time not accurate.</t>
  </si>
  <si>
    <t>Nitrites: 0; After heavy rainfall. Brook was running really fast at Middle St. Water was running across and down the Armscote Road from the gates into the ST site.. Time not accurate.</t>
  </si>
  <si>
    <t>Nitrites: 0; After heavy rainfall. Time not accurate.</t>
  </si>
  <si>
    <t>Nitrites: 0; None. Time not accurate.</t>
  </si>
  <si>
    <t>Nitrites: 0; After heavy rainfall. The brook was running very fast at this point.. Time not accurate.</t>
  </si>
  <si>
    <t>Nitrites: 0.15; After heavy rainfall. Time not accurate.</t>
  </si>
  <si>
    <t>Nitrites: 0.15; None. Time not accurate.</t>
  </si>
  <si>
    <t>Nitrites: 0; After very heavy rainfall. Water running down the Armscote Road from the Severn Trent treatment site's gateway.. Time not accurate.</t>
  </si>
  <si>
    <t>Nitrites: 0; Heavy rainfall on previous days. Dry today.. Time not accurate.</t>
  </si>
  <si>
    <t>Nitrites: 0; none. Time not accurate.</t>
  </si>
  <si>
    <t>Nitrites: 0.15; none. Time not accurate.</t>
  </si>
  <si>
    <t>Nitrites: 0.3; none. Time not accurate.</t>
  </si>
  <si>
    <t>Nitrites: 0; Drizzly, sunny, windy. Time not accurate.</t>
  </si>
  <si>
    <t>Nitrites: 0; . Time not accurate.</t>
  </si>
  <si>
    <t>Nitrites: 0.15; . Time not accurate.</t>
  </si>
  <si>
    <t>Nitrites: 0.15; After a dry week. Time not accurate.</t>
  </si>
  <si>
    <t>Nitrites: 0.3; . Time not accurate.</t>
  </si>
  <si>
    <t>Nitrites: 0; Warm, dry and shallow stream at this point. Time not accurate.</t>
  </si>
  <si>
    <t>Nitrites: 0.1; Dry with showers. Time not accurate.</t>
  </si>
  <si>
    <t>Nitrites: 0.1; . Time not accurate.</t>
  </si>
  <si>
    <t>Nitrites: 0.2; . Time not accurate.</t>
  </si>
  <si>
    <t>Nitrites: 0; Relatively dry. Time not accurate.</t>
  </si>
  <si>
    <t>Nitrites: 0; Dru few days. Time not accurate.</t>
  </si>
  <si>
    <t>Nitrites: 0; Dry week, little flow. Time not accurate.</t>
  </si>
  <si>
    <t>Nitrites: 0; Highest ec recorded at this site so far....could be due to building works?. Time not accurate.</t>
  </si>
  <si>
    <t>Nitrites: 0; Saw some freshwater shrimp in the sample. Time not accurate.</t>
  </si>
  <si>
    <t>Nitrites: 0; Dry spell - water low. Time not accurate.</t>
  </si>
  <si>
    <t>Nitrites: 0; Dry spell - water very low. Time not accurate.</t>
  </si>
  <si>
    <t>Nitrites: 0.3; Dry spell- water low. Time not accurate.</t>
  </si>
  <si>
    <t>Nitrites: 0; Dry and very warm for the last 3 days (29 C). Time not accurate.</t>
  </si>
  <si>
    <t>Nitrites: 0; Dry for several days. Time not accurate.</t>
  </si>
  <si>
    <t>Nitrites: 0; Following heavy rain. Time not accurate.</t>
  </si>
  <si>
    <t>River low,after many warm days</t>
  </si>
  <si>
    <t>Low flow</t>
  </si>
  <si>
    <t>No rain in the previous 48 hours.</t>
  </si>
  <si>
    <t>Battery replacement for P</t>
  </si>
  <si>
    <t>Steady flow but surprisingly clear after thunder shower on Thursday.  Swallows, house martins, damsel flies and butterflies around.</t>
  </si>
  <si>
    <t>Followsthunderstirmandheavy rain 18 hours ago</t>
  </si>
  <si>
    <t>Clear but green. Dry sunny warm. Light breeze. Very little rain here.</t>
  </si>
  <si>
    <t>Dry warm overcast. Rain elsewhere. Water slow clear green.</t>
  </si>
  <si>
    <t>River low after days of hot weather</t>
  </si>
  <si>
    <t>Fosseway Brook, Cross Leys</t>
  </si>
  <si>
    <t>Chipping Campden Craves</t>
  </si>
  <si>
    <t>All Site Name Variations</t>
  </si>
  <si>
    <t>Unique Site Names</t>
  </si>
  <si>
    <t>Dry spell, warm. River hazy and slow. Above the Tip. Below confluence with Whitsun Brook</t>
  </si>
  <si>
    <t>Hot dry spell. Slow and clear. Above all STWs</t>
  </si>
  <si>
    <t>Hot dry spell. River hazy and slow. Upstream of confluence with WhitsunBrook</t>
  </si>
  <si>
    <t>Note: Up-to-date as of end of 02 September 2024</t>
  </si>
  <si>
    <t>Town</t>
  </si>
  <si>
    <t>Beckford</t>
  </si>
  <si>
    <t>Peopleton</t>
  </si>
  <si>
    <t>Radford</t>
  </si>
  <si>
    <t>Cam Brook</t>
  </si>
  <si>
    <t>Tilesford</t>
  </si>
  <si>
    <t>Willington</t>
  </si>
  <si>
    <t>Norton Beauchamp</t>
  </si>
  <si>
    <t>Cherington</t>
  </si>
  <si>
    <t>Langley</t>
  </si>
  <si>
    <t>Twyning Green</t>
  </si>
  <si>
    <t>District</t>
  </si>
  <si>
    <t>TABLE 2: Summary by District</t>
  </si>
  <si>
    <t>N District Pollution Rank 
(4 = Least Polluted)</t>
  </si>
  <si>
    <t>P Disctrict Pollution Rank
(4 = Least Polluted)</t>
  </si>
  <si>
    <t>Fosseway Brook</t>
  </si>
  <si>
    <t>https://www.mapcustomizer.com/map/Safe%20Avon%20Test%20Sites%2003-09-2024</t>
  </si>
  <si>
    <t>To open Excel map:</t>
  </si>
  <si>
    <r>
      <t xml:space="preserve">Insert &gt; Tours &gt; 3D Map &gt; </t>
    </r>
    <r>
      <rPr>
        <i/>
        <sz val="11"/>
        <color theme="1"/>
        <rFont val="Calibri"/>
        <family val="2"/>
        <scheme val="minor"/>
      </rPr>
      <t>Safe Avon 02-09-2024</t>
    </r>
  </si>
  <si>
    <t>(if the link gives an error, refresh the page)</t>
  </si>
  <si>
    <t>Up to 2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</si>
</sst>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
    <numFmt numFmtId="167" formatCode="0.000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Bahnschrift SemiLight"/>
      <family val="2"/>
    </font>
    <font>
      <sz val="11"/>
      <color theme="1"/>
      <name val="Bahnschrift SemiBold"/>
      <family val="2"/>
    </font>
    <font>
      <sz val="11"/>
      <color theme="0"/>
      <name val="Bahnschrift SemiLight"/>
      <family val="2"/>
    </font>
    <font>
      <sz val="16"/>
      <color theme="1"/>
      <name val="Bahnschrift SemiLight"/>
      <family val="2"/>
    </font>
    <font>
      <b/>
      <sz val="11"/>
      <color theme="1"/>
      <name val="Calibri"/>
      <family val="2"/>
      <scheme val="minor"/>
    </font>
    <font>
      <u/>
      <sz val="11"/>
      <color theme="10"/>
      <name val="Calibri"/>
      <family val="2"/>
      <scheme val="minor"/>
    </font>
    <font>
      <b/>
      <sz val="11"/>
      <color theme="1"/>
      <name val="Bahnschrift SemiLight"/>
      <family val="2"/>
    </font>
    <font>
      <sz val="11"/>
      <color theme="1"/>
      <name val="Bahnschrift"/>
      <family val="2"/>
    </font>
    <font>
      <sz val="18"/>
      <color theme="0"/>
      <name val="Bahnschrift SemiBold"/>
      <family val="2"/>
    </font>
    <font>
      <b/>
      <sz val="11"/>
      <color theme="1"/>
      <name val="Bahnschrift"/>
      <family val="2"/>
    </font>
    <font>
      <u/>
      <sz val="11"/>
      <color theme="10"/>
      <name val="Bahnschrift"/>
      <family val="2"/>
    </font>
    <font>
      <i/>
      <sz val="11"/>
      <color theme="1"/>
      <name val="Calibri"/>
      <family val="2"/>
      <scheme val="minor"/>
    </font>
  </fonts>
  <fills count="13">
    <fill>
      <patternFill patternType="none"/>
    </fill>
    <fill>
      <patternFill patternType="gray125"/>
    </fill>
    <fill>
      <patternFill patternType="solid">
        <fgColor theme="6"/>
        <bgColor theme="6"/>
      </patternFill>
    </fill>
    <fill>
      <patternFill patternType="solid">
        <fgColor theme="6" tint="0.59999389629810485"/>
        <bgColor theme="6" tint="0.59999389629810485"/>
      </patternFill>
    </fill>
    <fill>
      <patternFill patternType="solid">
        <fgColor theme="7"/>
        <bgColor indexed="64"/>
      </patternFill>
    </fill>
    <fill>
      <patternFill patternType="solid">
        <fgColor theme="1" tint="0.499984740745262"/>
        <bgColor indexed="64"/>
      </patternFill>
    </fill>
    <fill>
      <patternFill patternType="solid">
        <fgColor theme="5"/>
        <bgColor indexed="64"/>
      </patternFill>
    </fill>
    <fill>
      <patternFill patternType="solid">
        <fgColor rgb="FFFFAFAF"/>
        <bgColor indexed="64"/>
      </patternFill>
    </fill>
    <fill>
      <patternFill patternType="solid">
        <fgColor theme="4"/>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s>
  <borders count="53">
    <border>
      <left/>
      <right/>
      <top/>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right style="thin">
        <color theme="0"/>
      </right>
      <top/>
      <bottom style="thick">
        <color theme="0"/>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left/>
      <right style="medium">
        <color indexed="64"/>
      </right>
      <top style="double">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double">
        <color indexed="64"/>
      </bottom>
      <diagonal/>
    </border>
    <border>
      <left/>
      <right/>
      <top style="medium">
        <color indexed="64"/>
      </top>
      <bottom/>
      <diagonal/>
    </border>
    <border>
      <left/>
      <right style="thin">
        <color indexed="64"/>
      </right>
      <top/>
      <bottom style="double">
        <color indexed="64"/>
      </bottom>
      <diagonal/>
    </border>
    <border>
      <left style="thin">
        <color theme="0"/>
      </left>
      <right style="thin">
        <color theme="0"/>
      </right>
      <top style="thin">
        <color theme="0"/>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4"/>
      </right>
      <top/>
      <bottom style="medium">
        <color indexed="64"/>
      </bottom>
      <diagonal/>
    </border>
    <border>
      <left/>
      <right style="thin">
        <color indexed="64"/>
      </right>
      <top style="double">
        <color indexed="64"/>
      </top>
      <bottom style="double">
        <color indexed="64"/>
      </bottom>
      <diagonal/>
    </border>
    <border>
      <left/>
      <right style="thin">
        <color indexed="64"/>
      </right>
      <top style="hair">
        <color indexed="64"/>
      </top>
      <bottom style="double">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223">
    <xf numFmtId="0" fontId="0" fillId="0" borderId="0" xfId="0"/>
    <xf numFmtId="20" fontId="0" fillId="0" borderId="0" xfId="0" applyNumberFormat="1"/>
    <xf numFmtId="14" fontId="0" fillId="0" borderId="0" xfId="0" applyNumberFormat="1"/>
    <xf numFmtId="164" fontId="0" fillId="0" borderId="0" xfId="0" applyNumberFormat="1"/>
    <xf numFmtId="2" fontId="0" fillId="0" borderId="0" xfId="0" applyNumberFormat="1"/>
    <xf numFmtId="0" fontId="2" fillId="2" borderId="1" xfId="0" applyFont="1" applyFill="1" applyBorder="1"/>
    <xf numFmtId="0" fontId="2" fillId="2" borderId="2" xfId="0" applyFont="1" applyFill="1" applyBorder="1"/>
    <xf numFmtId="0" fontId="0" fillId="3" borderId="3" xfId="0" applyFill="1" applyBorder="1"/>
    <xf numFmtId="0" fontId="2" fillId="2" borderId="4" xfId="0" applyFont="1" applyFill="1" applyBorder="1"/>
    <xf numFmtId="14" fontId="2" fillId="2" borderId="1" xfId="0" applyNumberFormat="1" applyFont="1" applyFill="1" applyBorder="1"/>
    <xf numFmtId="20" fontId="2" fillId="2" borderId="1" xfId="0" applyNumberFormat="1" applyFont="1" applyFill="1" applyBorder="1"/>
    <xf numFmtId="0" fontId="0" fillId="0" borderId="0" xfId="0" applyAlignment="1">
      <alignment wrapText="1"/>
    </xf>
    <xf numFmtId="165" fontId="0" fillId="0" borderId="0" xfId="0" applyNumberFormat="1"/>
    <xf numFmtId="0" fontId="3" fillId="0" borderId="0" xfId="0" applyFont="1"/>
    <xf numFmtId="0" fontId="3" fillId="4" borderId="5" xfId="0" applyFont="1" applyFill="1" applyBorder="1"/>
    <xf numFmtId="0" fontId="3" fillId="6" borderId="9" xfId="0" applyFont="1" applyFill="1" applyBorder="1"/>
    <xf numFmtId="0" fontId="3" fillId="7" borderId="10" xfId="0" applyFont="1" applyFill="1" applyBorder="1"/>
    <xf numFmtId="0" fontId="3" fillId="0" borderId="11" xfId="0" applyFont="1" applyBorder="1" applyAlignment="1">
      <alignment horizontal="left" vertical="center"/>
    </xf>
    <xf numFmtId="0" fontId="5" fillId="8" borderId="9" xfId="0" applyFont="1" applyFill="1" applyBorder="1"/>
    <xf numFmtId="0" fontId="3" fillId="0" borderId="16" xfId="0" applyFont="1" applyBorder="1" applyAlignment="1">
      <alignment horizontal="left" vertical="center"/>
    </xf>
    <xf numFmtId="0" fontId="3" fillId="9" borderId="20" xfId="0" applyFont="1" applyFill="1" applyBorder="1"/>
    <xf numFmtId="0" fontId="3" fillId="0" borderId="18" xfId="0" applyFont="1" applyBorder="1"/>
    <xf numFmtId="0" fontId="3" fillId="0" borderId="19" xfId="0" applyFont="1" applyBorder="1"/>
    <xf numFmtId="0" fontId="3" fillId="10" borderId="7" xfId="0" applyFont="1" applyFill="1" applyBorder="1" applyAlignment="1">
      <alignment horizontal="center" vertical="center"/>
    </xf>
    <xf numFmtId="0" fontId="3" fillId="10" borderId="8"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13" xfId="0" applyFont="1" applyFill="1" applyBorder="1" applyAlignment="1">
      <alignment horizontal="center" vertical="center" wrapText="1"/>
    </xf>
    <xf numFmtId="0" fontId="3" fillId="0" borderId="24" xfId="0" applyFont="1" applyBorder="1"/>
    <xf numFmtId="0" fontId="3" fillId="0" borderId="23" xfId="0" applyFont="1" applyBorder="1" applyAlignment="1">
      <alignment horizontal="center"/>
    </xf>
    <xf numFmtId="165" fontId="3" fillId="0" borderId="0" xfId="0" applyNumberFormat="1" applyFont="1" applyAlignment="1">
      <alignment horizontal="center"/>
    </xf>
    <xf numFmtId="2" fontId="3" fillId="0" borderId="0" xfId="0" applyNumberFormat="1" applyFont="1" applyAlignment="1">
      <alignment horizontal="center"/>
    </xf>
    <xf numFmtId="9" fontId="3" fillId="0" borderId="0" xfId="1" applyFont="1" applyBorder="1" applyAlignment="1">
      <alignment horizontal="center"/>
    </xf>
    <xf numFmtId="0" fontId="3" fillId="0" borderId="0" xfId="0" applyFont="1" applyAlignment="1">
      <alignment horizontal="center"/>
    </xf>
    <xf numFmtId="9" fontId="3" fillId="0" borderId="25" xfId="1" applyFont="1" applyBorder="1" applyAlignment="1">
      <alignment horizontal="center"/>
    </xf>
    <xf numFmtId="0" fontId="3" fillId="0" borderId="27" xfId="0" applyFont="1" applyBorder="1"/>
    <xf numFmtId="0" fontId="3" fillId="0" borderId="28" xfId="0" applyFont="1" applyBorder="1"/>
    <xf numFmtId="0" fontId="3" fillId="0" borderId="26" xfId="0" applyFont="1" applyBorder="1" applyAlignment="1">
      <alignment horizontal="center"/>
    </xf>
    <xf numFmtId="2" fontId="3" fillId="0" borderId="27" xfId="0" applyNumberFormat="1" applyFont="1" applyBorder="1" applyAlignment="1">
      <alignment horizontal="center"/>
    </xf>
    <xf numFmtId="9" fontId="3" fillId="0" borderId="27" xfId="1" applyFont="1" applyBorder="1" applyAlignment="1">
      <alignment horizontal="center"/>
    </xf>
    <xf numFmtId="0" fontId="3" fillId="0" borderId="27" xfId="0" applyFont="1" applyBorder="1" applyAlignment="1">
      <alignment horizontal="center"/>
    </xf>
    <xf numFmtId="165" fontId="3" fillId="0" borderId="27" xfId="0" applyNumberFormat="1" applyFont="1" applyBorder="1" applyAlignment="1">
      <alignment horizontal="center"/>
    </xf>
    <xf numFmtId="0" fontId="0" fillId="0" borderId="24" xfId="0" applyBorder="1"/>
    <xf numFmtId="165" fontId="6" fillId="0" borderId="18" xfId="0" applyNumberFormat="1" applyFont="1" applyBorder="1" applyAlignment="1">
      <alignment horizontal="center" vertical="center"/>
    </xf>
    <xf numFmtId="2" fontId="6" fillId="0" borderId="18" xfId="0" applyNumberFormat="1" applyFont="1" applyBorder="1" applyAlignment="1">
      <alignment horizontal="center" vertical="center"/>
    </xf>
    <xf numFmtId="0" fontId="6" fillId="0" borderId="29" xfId="0" applyFont="1" applyBorder="1" applyAlignment="1">
      <alignmen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15" xfId="0" applyFont="1" applyBorder="1" applyAlignment="1">
      <alignment horizontal="center" vertical="center"/>
    </xf>
    <xf numFmtId="9" fontId="6" fillId="0" borderId="18" xfId="1" applyFont="1" applyBorder="1" applyAlignment="1">
      <alignment horizontal="center" vertical="center"/>
    </xf>
    <xf numFmtId="0" fontId="6" fillId="0" borderId="0" xfId="0" applyFont="1" applyAlignment="1">
      <alignment vertical="center"/>
    </xf>
    <xf numFmtId="0" fontId="3" fillId="10" borderId="21" xfId="0" applyFont="1" applyFill="1" applyBorder="1" applyAlignment="1">
      <alignment horizontal="center" vertical="center" wrapText="1"/>
    </xf>
    <xf numFmtId="1" fontId="3" fillId="0" borderId="23" xfId="0" applyNumberFormat="1" applyFont="1" applyBorder="1" applyAlignment="1">
      <alignment horizontal="center"/>
    </xf>
    <xf numFmtId="0" fontId="6" fillId="0" borderId="30" xfId="0" applyFont="1" applyBorder="1" applyAlignment="1">
      <alignment horizontal="center" vertical="center"/>
    </xf>
    <xf numFmtId="165" fontId="6" fillId="0" borderId="29" xfId="0" applyNumberFormat="1" applyFont="1" applyBorder="1" applyAlignment="1">
      <alignment horizontal="center" vertical="center"/>
    </xf>
    <xf numFmtId="9" fontId="6" fillId="0" borderId="29" xfId="1" applyFont="1" applyBorder="1" applyAlignment="1">
      <alignment horizontal="center" vertical="center"/>
    </xf>
    <xf numFmtId="2" fontId="6" fillId="0" borderId="29" xfId="0" applyNumberFormat="1" applyFont="1" applyBorder="1" applyAlignment="1">
      <alignment horizontal="center" vertical="center"/>
    </xf>
    <xf numFmtId="9" fontId="6" fillId="0" borderId="31" xfId="1" applyFont="1" applyBorder="1" applyAlignment="1">
      <alignment horizontal="center" vertical="center"/>
    </xf>
    <xf numFmtId="0" fontId="3" fillId="0" borderId="32" xfId="0" applyFont="1" applyBorder="1" applyAlignment="1">
      <alignment horizontal="center"/>
    </xf>
    <xf numFmtId="9" fontId="3" fillId="0" borderId="28" xfId="1" applyFont="1" applyBorder="1" applyAlignment="1">
      <alignment horizontal="center"/>
    </xf>
    <xf numFmtId="0" fontId="3" fillId="10" borderId="14" xfId="0" applyFont="1" applyFill="1" applyBorder="1" applyAlignment="1">
      <alignment horizontal="center" vertical="center" wrapText="1"/>
    </xf>
    <xf numFmtId="9" fontId="3" fillId="0" borderId="24" xfId="1" applyFont="1" applyBorder="1" applyAlignment="1">
      <alignment horizontal="center"/>
    </xf>
    <xf numFmtId="9" fontId="6" fillId="0" borderId="33" xfId="1" applyFont="1" applyBorder="1" applyAlignment="1">
      <alignment horizontal="center" vertical="center"/>
    </xf>
    <xf numFmtId="0" fontId="6" fillId="0" borderId="24" xfId="0" applyFont="1" applyBorder="1" applyAlignment="1">
      <alignment vertical="center"/>
    </xf>
    <xf numFmtId="0" fontId="6" fillId="0" borderId="0" xfId="0" applyFont="1" applyAlignment="1">
      <alignment horizontal="center" vertical="center"/>
    </xf>
    <xf numFmtId="165" fontId="6" fillId="0" borderId="0" xfId="0" applyNumberFormat="1" applyFont="1" applyAlignment="1">
      <alignment horizontal="center" vertical="center"/>
    </xf>
    <xf numFmtId="2" fontId="6" fillId="0" borderId="0" xfId="0" applyNumberFormat="1" applyFont="1" applyAlignment="1">
      <alignment horizontal="center" vertical="center"/>
    </xf>
    <xf numFmtId="166" fontId="6" fillId="0" borderId="0" xfId="1" applyNumberFormat="1" applyFont="1" applyBorder="1" applyAlignment="1">
      <alignment horizontal="center" vertical="center"/>
    </xf>
    <xf numFmtId="9" fontId="6" fillId="0" borderId="0" xfId="1" applyFont="1" applyBorder="1" applyAlignment="1">
      <alignment horizontal="center" vertical="center"/>
    </xf>
    <xf numFmtId="0" fontId="3" fillId="12" borderId="0" xfId="0" applyFont="1" applyFill="1"/>
    <xf numFmtId="0" fontId="3" fillId="12" borderId="24" xfId="0" applyFont="1" applyFill="1" applyBorder="1"/>
    <xf numFmtId="0" fontId="3" fillId="12" borderId="23" xfId="0" applyFont="1" applyFill="1" applyBorder="1" applyAlignment="1">
      <alignment horizontal="center"/>
    </xf>
    <xf numFmtId="165" fontId="3" fillId="12" borderId="0" xfId="0" applyNumberFormat="1" applyFont="1" applyFill="1" applyAlignment="1">
      <alignment horizontal="center"/>
    </xf>
    <xf numFmtId="2" fontId="3" fillId="12" borderId="0" xfId="0" applyNumberFormat="1" applyFont="1" applyFill="1" applyAlignment="1">
      <alignment horizontal="center"/>
    </xf>
    <xf numFmtId="9" fontId="3" fillId="12" borderId="0" xfId="1" applyFont="1" applyFill="1" applyBorder="1" applyAlignment="1">
      <alignment horizontal="center"/>
    </xf>
    <xf numFmtId="0" fontId="3" fillId="12" borderId="0" xfId="0" applyFont="1" applyFill="1" applyAlignment="1">
      <alignment horizontal="center"/>
    </xf>
    <xf numFmtId="9" fontId="3" fillId="12" borderId="25" xfId="1" applyFont="1" applyFill="1" applyBorder="1" applyAlignment="1">
      <alignment horizontal="center"/>
    </xf>
    <xf numFmtId="9" fontId="3" fillId="12" borderId="24" xfId="1" applyFont="1" applyFill="1" applyBorder="1" applyAlignment="1">
      <alignment horizontal="center"/>
    </xf>
    <xf numFmtId="0" fontId="3" fillId="10" borderId="0" xfId="0" applyFont="1" applyFill="1"/>
    <xf numFmtId="0" fontId="3" fillId="10" borderId="24" xfId="0" applyFont="1" applyFill="1" applyBorder="1"/>
    <xf numFmtId="0" fontId="3" fillId="10" borderId="23" xfId="0" applyFont="1" applyFill="1" applyBorder="1" applyAlignment="1">
      <alignment horizontal="center"/>
    </xf>
    <xf numFmtId="165" fontId="3" fillId="10" borderId="0" xfId="0" applyNumberFormat="1" applyFont="1" applyFill="1" applyAlignment="1">
      <alignment horizontal="center"/>
    </xf>
    <xf numFmtId="2" fontId="3" fillId="10" borderId="0" xfId="0" applyNumberFormat="1" applyFont="1" applyFill="1" applyAlignment="1">
      <alignment horizontal="center"/>
    </xf>
    <xf numFmtId="9" fontId="3" fillId="10" borderId="0" xfId="1" applyFont="1" applyFill="1" applyBorder="1" applyAlignment="1">
      <alignment horizontal="center"/>
    </xf>
    <xf numFmtId="0" fontId="3" fillId="10" borderId="0" xfId="0" applyFont="1" applyFill="1" applyAlignment="1">
      <alignment horizontal="center"/>
    </xf>
    <xf numFmtId="9" fontId="3" fillId="10" borderId="25" xfId="1" applyFont="1" applyFill="1" applyBorder="1" applyAlignment="1">
      <alignment horizontal="center"/>
    </xf>
    <xf numFmtId="9" fontId="3" fillId="10" borderId="24" xfId="1" applyFont="1" applyFill="1" applyBorder="1" applyAlignment="1">
      <alignment horizontal="center"/>
    </xf>
    <xf numFmtId="0" fontId="9" fillId="12" borderId="23" xfId="0" applyFont="1" applyFill="1" applyBorder="1" applyAlignment="1">
      <alignment horizontal="center"/>
    </xf>
    <xf numFmtId="0" fontId="7" fillId="0" borderId="0" xfId="0" applyFont="1"/>
    <xf numFmtId="9" fontId="9" fillId="12" borderId="0" xfId="1" applyFont="1" applyFill="1" applyBorder="1" applyAlignment="1">
      <alignment horizontal="center"/>
    </xf>
    <xf numFmtId="9" fontId="9" fillId="12" borderId="25" xfId="1" applyFont="1" applyFill="1" applyBorder="1" applyAlignment="1">
      <alignment horizontal="center"/>
    </xf>
    <xf numFmtId="0" fontId="7" fillId="0" borderId="24" xfId="0" applyFont="1" applyBorder="1"/>
    <xf numFmtId="0" fontId="9" fillId="12" borderId="34" xfId="0" applyFont="1" applyFill="1" applyBorder="1"/>
    <xf numFmtId="0" fontId="9" fillId="12" borderId="35" xfId="0" applyFont="1" applyFill="1" applyBorder="1" applyAlignment="1">
      <alignment horizontal="center"/>
    </xf>
    <xf numFmtId="165" fontId="9" fillId="12" borderId="36" xfId="0" applyNumberFormat="1" applyFont="1" applyFill="1" applyBorder="1" applyAlignment="1">
      <alignment horizontal="center"/>
    </xf>
    <xf numFmtId="2" fontId="9" fillId="12" borderId="36" xfId="0" applyNumberFormat="1" applyFont="1" applyFill="1" applyBorder="1" applyAlignment="1">
      <alignment horizontal="center"/>
    </xf>
    <xf numFmtId="9" fontId="9" fillId="12" borderId="36" xfId="1" applyFont="1" applyFill="1" applyBorder="1" applyAlignment="1">
      <alignment horizontal="center"/>
    </xf>
    <xf numFmtId="0" fontId="9" fillId="12" borderId="36" xfId="0" applyFont="1" applyFill="1" applyBorder="1" applyAlignment="1">
      <alignment horizontal="center"/>
    </xf>
    <xf numFmtId="9" fontId="9" fillId="12" borderId="37" xfId="1" applyFont="1" applyFill="1" applyBorder="1" applyAlignment="1">
      <alignment horizontal="center"/>
    </xf>
    <xf numFmtId="0" fontId="9" fillId="12" borderId="36" xfId="0" applyFont="1" applyFill="1" applyBorder="1"/>
    <xf numFmtId="0" fontId="9" fillId="12" borderId="36" xfId="0" quotePrefix="1" applyFont="1" applyFill="1" applyBorder="1" applyAlignment="1">
      <alignment horizontal="center"/>
    </xf>
    <xf numFmtId="0" fontId="9" fillId="10" borderId="36" xfId="0" applyFont="1" applyFill="1" applyBorder="1"/>
    <xf numFmtId="0" fontId="9" fillId="10" borderId="35" xfId="0" applyFont="1" applyFill="1" applyBorder="1" applyAlignment="1">
      <alignment horizontal="center"/>
    </xf>
    <xf numFmtId="9" fontId="9" fillId="10" borderId="36" xfId="1" applyFont="1" applyFill="1" applyBorder="1" applyAlignment="1">
      <alignment horizontal="center"/>
    </xf>
    <xf numFmtId="0" fontId="9" fillId="10" borderId="36" xfId="0" applyFont="1" applyFill="1" applyBorder="1" applyAlignment="1">
      <alignment horizontal="center"/>
    </xf>
    <xf numFmtId="165" fontId="9" fillId="10" borderId="36" xfId="0" applyNumberFormat="1" applyFont="1" applyFill="1" applyBorder="1" applyAlignment="1">
      <alignment horizontal="center"/>
    </xf>
    <xf numFmtId="2" fontId="9" fillId="10" borderId="36" xfId="0" applyNumberFormat="1" applyFont="1" applyFill="1" applyBorder="1" applyAlignment="1">
      <alignment horizontal="center"/>
    </xf>
    <xf numFmtId="9" fontId="9" fillId="10" borderId="37" xfId="1" applyFont="1" applyFill="1" applyBorder="1" applyAlignment="1">
      <alignment horizontal="center"/>
    </xf>
    <xf numFmtId="0" fontId="9" fillId="10" borderId="34" xfId="0" applyFont="1" applyFill="1" applyBorder="1"/>
    <xf numFmtId="9" fontId="9" fillId="12" borderId="34" xfId="1" applyFont="1" applyFill="1" applyBorder="1" applyAlignment="1">
      <alignment horizontal="center"/>
    </xf>
    <xf numFmtId="9" fontId="9" fillId="10" borderId="34" xfId="1" applyFont="1" applyFill="1" applyBorder="1" applyAlignment="1">
      <alignment horizontal="center"/>
    </xf>
    <xf numFmtId="165" fontId="9" fillId="12" borderId="0" xfId="0" applyNumberFormat="1" applyFont="1" applyFill="1" applyAlignment="1">
      <alignment horizontal="center"/>
    </xf>
    <xf numFmtId="2" fontId="9" fillId="12" borderId="0" xfId="0" applyNumberFormat="1" applyFont="1" applyFill="1" applyAlignment="1">
      <alignment horizontal="center"/>
    </xf>
    <xf numFmtId="0" fontId="9" fillId="12" borderId="0" xfId="0" applyFont="1" applyFill="1" applyAlignment="1">
      <alignment horizontal="center"/>
    </xf>
    <xf numFmtId="0" fontId="3" fillId="0" borderId="41" xfId="0" applyFont="1" applyBorder="1"/>
    <xf numFmtId="0" fontId="3" fillId="0" borderId="26" xfId="0" applyFont="1" applyBorder="1"/>
    <xf numFmtId="9" fontId="3" fillId="0" borderId="42" xfId="1" applyFont="1" applyBorder="1" applyAlignment="1">
      <alignment horizontal="center"/>
    </xf>
    <xf numFmtId="1" fontId="3" fillId="0" borderId="26" xfId="0" applyNumberFormat="1" applyFont="1" applyBorder="1" applyAlignment="1">
      <alignment horizontal="center"/>
    </xf>
    <xf numFmtId="0" fontId="10" fillId="0" borderId="0" xfId="0" applyFont="1"/>
    <xf numFmtId="0" fontId="3" fillId="0" borderId="0" xfId="0" applyFont="1" applyAlignment="1">
      <alignment vertical="center"/>
    </xf>
    <xf numFmtId="0" fontId="3" fillId="8" borderId="15" xfId="0" applyFont="1" applyFill="1" applyBorder="1"/>
    <xf numFmtId="9" fontId="0" fillId="0" borderId="0" xfId="1" applyFont="1"/>
    <xf numFmtId="2" fontId="0" fillId="0" borderId="0" xfId="1" applyNumberFormat="1" applyFont="1"/>
    <xf numFmtId="165" fontId="0" fillId="0" borderId="0" xfId="1" applyNumberFormat="1" applyFont="1"/>
    <xf numFmtId="0" fontId="12" fillId="4" borderId="0" xfId="0" applyFont="1" applyFill="1"/>
    <xf numFmtId="0" fontId="13" fillId="0" borderId="0" xfId="2" applyFont="1"/>
    <xf numFmtId="0" fontId="0" fillId="3" borderId="43" xfId="0" applyFill="1" applyBorder="1"/>
    <xf numFmtId="0" fontId="0" fillId="3" borderId="0" xfId="0" applyFill="1"/>
    <xf numFmtId="0" fontId="0" fillId="0" borderId="3" xfId="0" applyBorder="1"/>
    <xf numFmtId="0" fontId="6" fillId="0" borderId="29" xfId="0" applyFont="1" applyBorder="1" applyAlignment="1">
      <alignment horizontal="center" vertical="center"/>
    </xf>
    <xf numFmtId="0" fontId="6" fillId="0" borderId="41" xfId="0" applyFont="1" applyBorder="1" applyAlignment="1">
      <alignment vertical="center"/>
    </xf>
    <xf numFmtId="2" fontId="6" fillId="0" borderId="41" xfId="0" applyNumberFormat="1" applyFont="1" applyBorder="1" applyAlignment="1">
      <alignment horizontal="center" vertical="center"/>
    </xf>
    <xf numFmtId="0" fontId="0" fillId="0" borderId="43" xfId="0" applyBorder="1"/>
    <xf numFmtId="2" fontId="0" fillId="3" borderId="0" xfId="0" applyNumberFormat="1" applyFill="1"/>
    <xf numFmtId="2" fontId="0" fillId="0" borderId="3" xfId="0" applyNumberFormat="1" applyBorder="1"/>
    <xf numFmtId="2" fontId="0" fillId="3" borderId="3" xfId="0" applyNumberFormat="1" applyFill="1" applyBorder="1"/>
    <xf numFmtId="2" fontId="0" fillId="0" borderId="43" xfId="0" applyNumberFormat="1" applyBorder="1"/>
    <xf numFmtId="167" fontId="3" fillId="0" borderId="0" xfId="0" applyNumberFormat="1" applyFont="1"/>
    <xf numFmtId="0" fontId="9" fillId="10" borderId="38" xfId="0" applyFont="1" applyFill="1" applyBorder="1"/>
    <xf numFmtId="0" fontId="9" fillId="10" borderId="40" xfId="0" applyFont="1" applyFill="1" applyBorder="1"/>
    <xf numFmtId="0" fontId="9" fillId="10" borderId="38" xfId="0" applyFont="1" applyFill="1" applyBorder="1" applyAlignment="1">
      <alignment horizontal="center"/>
    </xf>
    <xf numFmtId="9" fontId="9" fillId="10" borderId="40" xfId="1" applyFont="1" applyFill="1" applyBorder="1" applyAlignment="1">
      <alignment horizontal="center"/>
    </xf>
    <xf numFmtId="0" fontId="9" fillId="10" borderId="40" xfId="0" applyFont="1" applyFill="1" applyBorder="1" applyAlignment="1">
      <alignment horizontal="center"/>
    </xf>
    <xf numFmtId="0" fontId="9" fillId="10" borderId="39" xfId="0" applyFont="1" applyFill="1" applyBorder="1" applyAlignment="1">
      <alignment horizontal="center"/>
    </xf>
    <xf numFmtId="165" fontId="9" fillId="10" borderId="40" xfId="0" applyNumberFormat="1" applyFont="1" applyFill="1" applyBorder="1" applyAlignment="1">
      <alignment horizontal="center"/>
    </xf>
    <xf numFmtId="2" fontId="9" fillId="10" borderId="40" xfId="0" applyNumberFormat="1" applyFont="1" applyFill="1" applyBorder="1" applyAlignment="1">
      <alignment horizontal="center"/>
    </xf>
    <xf numFmtId="9" fontId="3" fillId="10" borderId="0" xfId="1" applyFont="1" applyFill="1" applyAlignment="1">
      <alignment horizontal="center"/>
    </xf>
    <xf numFmtId="167" fontId="3" fillId="0" borderId="27" xfId="0" applyNumberFormat="1" applyFont="1" applyBorder="1"/>
    <xf numFmtId="0" fontId="0" fillId="0" borderId="48" xfId="0" applyBorder="1"/>
    <xf numFmtId="0" fontId="0" fillId="0" borderId="47" xfId="0" applyBorder="1"/>
    <xf numFmtId="0" fontId="0" fillId="0" borderId="49" xfId="0" applyBorder="1" applyAlignment="1">
      <alignment horizontal="center"/>
    </xf>
    <xf numFmtId="1" fontId="0" fillId="0" borderId="48" xfId="0" applyNumberFormat="1" applyBorder="1" applyAlignment="1">
      <alignment horizontal="center"/>
    </xf>
    <xf numFmtId="2" fontId="0" fillId="0" borderId="48" xfId="0" applyNumberFormat="1" applyBorder="1" applyAlignment="1">
      <alignment horizontal="center"/>
    </xf>
    <xf numFmtId="0" fontId="0" fillId="0" borderId="48" xfId="0" applyBorder="1" applyAlignment="1">
      <alignment horizontal="center"/>
    </xf>
    <xf numFmtId="0" fontId="0" fillId="0" borderId="47" xfId="0" applyBorder="1" applyAlignment="1">
      <alignment horizontal="center"/>
    </xf>
    <xf numFmtId="9" fontId="6" fillId="0" borderId="50" xfId="1" applyFont="1" applyBorder="1" applyAlignment="1">
      <alignment horizontal="center" vertical="center"/>
    </xf>
    <xf numFmtId="0" fontId="6" fillId="0" borderId="18" xfId="0" applyFont="1" applyBorder="1" applyAlignment="1">
      <alignment horizontal="center" vertical="center"/>
    </xf>
    <xf numFmtId="9" fontId="6" fillId="0" borderId="19" xfId="1" applyFont="1" applyBorder="1" applyAlignment="1">
      <alignment horizontal="center" vertical="center"/>
    </xf>
    <xf numFmtId="165" fontId="0" fillId="0" borderId="48" xfId="0" applyNumberFormat="1" applyBorder="1" applyAlignment="1">
      <alignment horizontal="center"/>
    </xf>
    <xf numFmtId="2" fontId="0" fillId="0" borderId="51" xfId="0" applyNumberFormat="1" applyBorder="1" applyAlignment="1">
      <alignment horizontal="center"/>
    </xf>
    <xf numFmtId="2" fontId="0" fillId="0" borderId="49" xfId="0" applyNumberFormat="1" applyBorder="1" applyAlignment="1">
      <alignment horizontal="center"/>
    </xf>
    <xf numFmtId="0" fontId="0" fillId="0" borderId="51" xfId="0" applyBorder="1" applyAlignment="1">
      <alignment horizontal="center"/>
    </xf>
    <xf numFmtId="1" fontId="0" fillId="0" borderId="47" xfId="0" applyNumberFormat="1" applyBorder="1" applyAlignment="1">
      <alignment horizontal="center"/>
    </xf>
    <xf numFmtId="2" fontId="3" fillId="10" borderId="25" xfId="0" applyNumberFormat="1" applyFont="1" applyFill="1" applyBorder="1" applyAlignment="1">
      <alignment horizontal="center"/>
    </xf>
    <xf numFmtId="0" fontId="9" fillId="12" borderId="49" xfId="0" applyFont="1" applyFill="1" applyBorder="1"/>
    <xf numFmtId="0" fontId="9" fillId="12" borderId="47" xfId="0" applyFont="1" applyFill="1" applyBorder="1"/>
    <xf numFmtId="0" fontId="9" fillId="12" borderId="49" xfId="0" applyFont="1" applyFill="1" applyBorder="1" applyAlignment="1">
      <alignment horizontal="center"/>
    </xf>
    <xf numFmtId="165" fontId="9" fillId="12" borderId="48" xfId="0" applyNumberFormat="1" applyFont="1" applyFill="1" applyBorder="1" applyAlignment="1">
      <alignment horizontal="center"/>
    </xf>
    <xf numFmtId="2" fontId="9" fillId="12" borderId="48" xfId="0" applyNumberFormat="1" applyFont="1" applyFill="1" applyBorder="1" applyAlignment="1">
      <alignment horizontal="center"/>
    </xf>
    <xf numFmtId="9" fontId="9" fillId="12" borderId="48" xfId="1" applyFont="1" applyFill="1" applyBorder="1" applyAlignment="1">
      <alignment horizontal="center"/>
    </xf>
    <xf numFmtId="0" fontId="9" fillId="12" borderId="48" xfId="0" applyFont="1" applyFill="1" applyBorder="1" applyAlignment="1">
      <alignment horizontal="center"/>
    </xf>
    <xf numFmtId="0" fontId="9" fillId="12" borderId="47" xfId="0" quotePrefix="1" applyFont="1" applyFill="1" applyBorder="1" applyAlignment="1">
      <alignment horizontal="center"/>
    </xf>
    <xf numFmtId="9" fontId="9" fillId="10" borderId="52" xfId="1" applyFont="1" applyFill="1" applyBorder="1" applyAlignment="1">
      <alignment horizontal="center"/>
    </xf>
    <xf numFmtId="9" fontId="9" fillId="10" borderId="39" xfId="1" applyFont="1" applyFill="1" applyBorder="1" applyAlignment="1">
      <alignment horizontal="center"/>
    </xf>
    <xf numFmtId="167" fontId="0" fillId="0" borderId="0" xfId="0" applyNumberFormat="1"/>
    <xf numFmtId="0" fontId="8" fillId="0" borderId="0" xfId="2"/>
    <xf numFmtId="0" fontId="3" fillId="11" borderId="22" xfId="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4"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5" fillId="5" borderId="8" xfId="0" applyFont="1" applyFill="1" applyBorder="1" applyAlignment="1">
      <alignment horizontal="center"/>
    </xf>
    <xf numFmtId="0" fontId="3" fillId="9" borderId="10" xfId="0" applyFont="1" applyFill="1" applyBorder="1" applyAlignment="1">
      <alignment horizontal="center"/>
    </xf>
    <xf numFmtId="0" fontId="3" fillId="9" borderId="13" xfId="0" applyFont="1" applyFill="1" applyBorder="1" applyAlignment="1">
      <alignment horizontal="center"/>
    </xf>
    <xf numFmtId="0" fontId="3" fillId="9" borderId="21" xfId="0" applyFont="1" applyFill="1" applyBorder="1" applyAlignment="1">
      <alignment horizontal="center"/>
    </xf>
    <xf numFmtId="0" fontId="3" fillId="11" borderId="10" xfId="0" applyFont="1" applyFill="1" applyBorder="1" applyAlignment="1">
      <alignment horizontal="center"/>
    </xf>
    <xf numFmtId="0" fontId="3" fillId="11" borderId="13" xfId="0" applyFont="1" applyFill="1" applyBorder="1" applyAlignment="1">
      <alignment horizontal="center"/>
    </xf>
    <xf numFmtId="0" fontId="3" fillId="11" borderId="14" xfId="0" applyFont="1" applyFill="1" applyBorder="1" applyAlignment="1">
      <alignment horizontal="center"/>
    </xf>
    <xf numFmtId="0" fontId="3" fillId="4" borderId="45" xfId="0" applyFont="1" applyFill="1" applyBorder="1" applyAlignment="1">
      <alignment horizontal="center"/>
    </xf>
    <xf numFmtId="0" fontId="3" fillId="4" borderId="46" xfId="0" applyFont="1" applyFill="1" applyBorder="1" applyAlignment="1">
      <alignment horizontal="center"/>
    </xf>
    <xf numFmtId="0" fontId="11" fillId="5" borderId="0" xfId="0" applyFont="1" applyFill="1" applyAlignment="1">
      <alignment horizontal="center" vertical="center"/>
    </xf>
    <xf numFmtId="0" fontId="3" fillId="10" borderId="10" xfId="0" applyFont="1" applyFill="1" applyBorder="1" applyAlignment="1">
      <alignment horizontal="center" vertical="center"/>
    </xf>
    <xf numFmtId="0" fontId="3" fillId="10" borderId="13" xfId="0" applyFont="1" applyFill="1" applyBorder="1" applyAlignment="1">
      <alignment horizontal="center" vertical="center"/>
    </xf>
    <xf numFmtId="0" fontId="3" fillId="4" borderId="10" xfId="0" applyFont="1" applyFill="1" applyBorder="1" applyAlignment="1">
      <alignment horizontal="center"/>
    </xf>
    <xf numFmtId="0" fontId="3" fillId="4" borderId="13" xfId="0" applyFont="1" applyFill="1" applyBorder="1" applyAlignment="1">
      <alignment horizontal="center"/>
    </xf>
    <xf numFmtId="0" fontId="3" fillId="4" borderId="21" xfId="0" applyFont="1" applyFill="1" applyBorder="1" applyAlignment="1">
      <alignment horizontal="center"/>
    </xf>
    <xf numFmtId="0" fontId="3" fillId="6" borderId="22" xfId="0" applyFont="1" applyFill="1" applyBorder="1" applyAlignment="1">
      <alignment horizontal="center"/>
    </xf>
    <xf numFmtId="0" fontId="3" fillId="6" borderId="13" xfId="0" applyFont="1" applyFill="1" applyBorder="1" applyAlignment="1">
      <alignment horizontal="center"/>
    </xf>
    <xf numFmtId="0" fontId="3" fillId="6" borderId="21" xfId="0" applyFont="1" applyFill="1" applyBorder="1" applyAlignment="1">
      <alignment horizontal="center"/>
    </xf>
    <xf numFmtId="0" fontId="5" fillId="8" borderId="22" xfId="0" applyFont="1" applyFill="1" applyBorder="1" applyAlignment="1">
      <alignment horizontal="center"/>
    </xf>
    <xf numFmtId="0" fontId="5" fillId="8" borderId="13" xfId="0" applyFont="1" applyFill="1" applyBorder="1" applyAlignment="1">
      <alignment horizontal="center"/>
    </xf>
    <xf numFmtId="0" fontId="5" fillId="8" borderId="14" xfId="0" applyFont="1" applyFill="1" applyBorder="1" applyAlignment="1">
      <alignment horizontal="center"/>
    </xf>
    <xf numFmtId="0" fontId="3" fillId="10" borderId="44" xfId="0" applyFont="1" applyFill="1" applyBorder="1" applyAlignment="1">
      <alignment horizontal="center"/>
    </xf>
    <xf numFmtId="0" fontId="3" fillId="10" borderId="45" xfId="0" applyFont="1" applyFill="1" applyBorder="1" applyAlignment="1">
      <alignment horizontal="center"/>
    </xf>
    <xf numFmtId="0" fontId="3" fillId="10" borderId="46" xfId="0" applyFont="1" applyFill="1" applyBorder="1" applyAlignment="1">
      <alignment horizontal="center"/>
    </xf>
    <xf numFmtId="0" fontId="3" fillId="4" borderId="22" xfId="0" applyFont="1" applyFill="1" applyBorder="1" applyAlignment="1">
      <alignment horizontal="center"/>
    </xf>
    <xf numFmtId="0" fontId="3" fillId="4" borderId="14" xfId="0" applyFont="1" applyFill="1" applyBorder="1" applyAlignment="1">
      <alignment horizontal="center"/>
    </xf>
    <xf numFmtId="0" fontId="3" fillId="0" borderId="12"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8" xfId="0" applyFont="1" applyBorder="1" applyAlignment="1">
      <alignment horizontal="left" vertical="center"/>
    </xf>
    <xf numFmtId="0" fontId="3" fillId="0" borderId="19" xfId="0" applyFont="1" applyBorder="1" applyAlignment="1">
      <alignment horizontal="left" vertical="center"/>
    </xf>
    <xf numFmtId="1" fontId="0" fillId="0" borderId="0" xfId="0" applyNumberFormat="1"/>
    <xf numFmtId="0" fontId="0" fillId="0" borderId="0" xfId="0" applyBorder="1"/>
    <xf numFmtId="0" fontId="0" fillId="3" borderId="0" xfId="0" applyFill="1" applyBorder="1"/>
    <xf numFmtId="2" fontId="0" fillId="0" borderId="0" xfId="0" applyNumberFormat="1" applyBorder="1"/>
    <xf numFmtId="2" fontId="0" fillId="3" borderId="0" xfId="0" applyNumberFormat="1" applyFill="1" applyBorder="1"/>
  </cellXfs>
  <cellStyles count="3">
    <cellStyle name="Hyperlink" xfId="2" builtinId="8"/>
    <cellStyle name="Normal" xfId="0" builtinId="0"/>
    <cellStyle name="Percent" xfId="1" builtinId="5"/>
  </cellStyles>
  <dxfs count="38">
    <dxf>
      <font>
        <color rgb="FF9C0006"/>
      </font>
    </dxf>
    <dxf>
      <font>
        <color theme="9" tint="-0.24994659260841701"/>
      </font>
    </dxf>
    <dxf>
      <font>
        <color rgb="FF9C0006"/>
      </font>
      <fill>
        <patternFill>
          <bgColor rgb="FFFFC7CE"/>
        </patternFill>
      </fill>
    </dxf>
    <dxf>
      <font>
        <color rgb="FF9C5700"/>
      </font>
      <fill>
        <patternFill>
          <bgColor rgb="FFFFEB9C"/>
        </patternFill>
      </fill>
    </dxf>
    <dxf>
      <font>
        <color theme="9" tint="-0.499984740745262"/>
      </font>
      <fill>
        <patternFill>
          <bgColor theme="9" tint="0.59996337778862885"/>
        </patternFill>
      </fill>
    </dxf>
    <dxf>
      <font>
        <color rgb="FF006100"/>
      </font>
      <fill>
        <patternFill>
          <bgColor rgb="FFC6EFCE"/>
        </patternFill>
      </fill>
    </dxf>
    <dxf>
      <numFmt numFmtId="25" formatCode="hh:mm"/>
    </dxf>
    <dxf>
      <numFmt numFmtId="19" formatCode="dd/mm/yyyy"/>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6"/>
          <bgColor theme="6"/>
        </patternFill>
      </fill>
      <border diagonalUp="0" diagonalDown="0" outline="0">
        <left style="thin">
          <color theme="0"/>
        </left>
        <right style="thin">
          <color theme="0"/>
        </right>
        <top/>
        <bottom/>
      </border>
    </dxf>
    <dxf>
      <numFmt numFmtId="0" formatCode="General"/>
    </dxf>
    <dxf>
      <numFmt numFmtId="164" formatCode="0.000"/>
    </dxf>
    <dxf>
      <numFmt numFmtId="164" formatCode="0.000"/>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numFmt numFmtId="0" formatCode="General"/>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5" formatCode="hh:mm"/>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5" formatCode="hh:mm"/>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numFmt numFmtId="19" formatCode="dd/mm/yyyy"/>
    </dxf>
    <dxf>
      <font>
        <b val="0"/>
        <i val="0"/>
        <strike val="0"/>
        <condense val="0"/>
        <extend val="0"/>
        <outline val="0"/>
        <shadow val="0"/>
        <u val="none"/>
        <vertAlign val="baseline"/>
        <sz val="11"/>
        <color theme="1"/>
        <name val="Calibri"/>
        <family val="2"/>
        <scheme val="minor"/>
      </font>
      <numFmt numFmtId="19" formatCode="dd/mm/yyyy"/>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6"/>
          <bgColor theme="6"/>
        </patternFill>
      </fill>
      <border diagonalUp="0" diagonalDown="0" outline="0">
        <left style="thin">
          <color theme="0"/>
        </left>
        <right style="thin">
          <color theme="0"/>
        </right>
        <top/>
        <bottom/>
      </border>
    </dxf>
  </dxfs>
  <tableStyles count="0" defaultTableStyle="TableStyleMedium2" defaultPivotStyle="PivotStyleLight16"/>
  <colors>
    <mruColors>
      <color rgb="FFFF6161"/>
      <color rgb="FFFF2121"/>
      <color rgb="FFFF9797"/>
      <color rgb="FFFF2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20/07/relationships/rdRichValueWebImage" Target="richData/rdRichValueWebImage.xml"/><Relationship Id="rId18" Type="http://schemas.microsoft.com/office/2017/06/relationships/rdSupportingPropertyBagStructure" Target="richData/rdsupportingpropertybagstructure.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ichStyles" Target="richData/richStyles.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17/06/relationships/rdArray" Target="richData/rdarray.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17/06/relationships/rdRichValueStructure" Target="richData/rdrichvaluestructure.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styles" Target="styles.xml"/><Relationship Id="rId19" Type="http://schemas.microsoft.com/office/2017/06/relationships/rdSupportingPropertyBag" Target="richData/rdsupportingpropertybag.xml"/><Relationship Id="rId4" Type="http://schemas.openxmlformats.org/officeDocument/2006/relationships/worksheet" Target="worksheets/sheet4.xml"/><Relationship Id="rId9" Type="http://schemas.openxmlformats.org/officeDocument/2006/relationships/connections" Target="connections.xml"/><Relationship Id="rId14" Type="http://schemas.microsoft.com/office/2017/06/relationships/rdRichValue" Target="richData/rdrichvalue.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Samples</a:t>
            </a:r>
          </a:p>
          <a:p>
            <a:pPr>
              <a:defRPr sz="3200"/>
            </a:pPr>
            <a:r>
              <a:rPr lang="en-US" sz="3200">
                <a:solidFill>
                  <a:schemeClr val="accent6"/>
                </a:solidFill>
              </a:rPr>
              <a:t>by district</a:t>
            </a:r>
          </a:p>
        </c:rich>
      </c:tx>
      <c:layout>
        <c:manualLayout>
          <c:xMode val="edge"/>
          <c:yMode val="edge"/>
          <c:x val="2.2717981784753514E-2"/>
          <c:y val="0.27987118600181449"/>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6750102839086859"/>
          <c:w val="0.2752378715306501"/>
          <c:h val="0.58946777486147561"/>
        </c:manualLayout>
      </c:layout>
      <c:pieChart>
        <c:varyColors val="1"/>
        <c:ser>
          <c:idx val="0"/>
          <c:order val="0"/>
          <c:tx>
            <c:strRef>
              <c:f>Charts!$B$3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649-4005-804E-3F374CA98F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49-4005-804E-3F374CA98F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9649-4005-804E-3F374CA98F9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1-9649-4005-804E-3F374CA98F93}"/>
              </c:ext>
            </c:extLst>
          </c:dPt>
          <c:dLbls>
            <c:dLbl>
              <c:idx val="0"/>
              <c:layout>
                <c:manualLayout>
                  <c:x val="6.8312997958283828E-2"/>
                  <c:y val="-3.1105760806829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649-4005-804E-3F374CA98F93}"/>
                </c:ext>
              </c:extLst>
            </c:dLbl>
            <c:dLbl>
              <c:idx val="1"/>
              <c:layout>
                <c:manualLayout>
                  <c:x val="2.3778642455685256E-2"/>
                  <c:y val="1.85185185185185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9-4005-804E-3F374CA98F93}"/>
                </c:ext>
              </c:extLst>
            </c:dLbl>
            <c:dLbl>
              <c:idx val="2"/>
              <c:layout>
                <c:manualLayout>
                  <c:x val="6.4850843060959796E-3"/>
                  <c:y val="2.31481481481481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649-4005-804E-3F374CA98F93}"/>
                </c:ext>
              </c:extLst>
            </c:dLbl>
            <c:dLbl>
              <c:idx val="3"/>
              <c:layout>
                <c:manualLayout>
                  <c:x val="-5.4042369217466496E-2"/>
                  <c:y val="-1.38888888888890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9-4005-804E-3F374CA98F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Charts!$A$4:$A$7</c:f>
              <c:strCache>
                <c:ptCount val="4"/>
                <c:pt idx="0">
                  <c:v>Cotswold District</c:v>
                </c:pt>
                <c:pt idx="1">
                  <c:v>Stratford-on-Avon District</c:v>
                </c:pt>
                <c:pt idx="2">
                  <c:v>Tewkesbury</c:v>
                </c:pt>
                <c:pt idx="3">
                  <c:v>Wychavon</c:v>
                </c:pt>
              </c:strCache>
            </c:strRef>
          </c:cat>
          <c:val>
            <c:numRef>
              <c:f>Charts!$B$4:$B$7</c:f>
              <c:numCache>
                <c:formatCode>General</c:formatCode>
                <c:ptCount val="4"/>
                <c:pt idx="0">
                  <c:v>26</c:v>
                </c:pt>
                <c:pt idx="1">
                  <c:v>824</c:v>
                </c:pt>
                <c:pt idx="2">
                  <c:v>294</c:v>
                </c:pt>
                <c:pt idx="3">
                  <c:v>93</c:v>
                </c:pt>
              </c:numCache>
            </c:numRef>
          </c:val>
          <c:extLst>
            <c:ext xmlns:c16="http://schemas.microsoft.com/office/drawing/2014/chart" uri="{C3380CC4-5D6E-409C-BE32-E72D297353CC}">
              <c16:uniqueId val="{00000000-9649-4005-804E-3F374CA98F93}"/>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Samples</a:t>
            </a:r>
          </a:p>
          <a:p>
            <a:pPr>
              <a:defRPr sz="3200"/>
            </a:pPr>
            <a:r>
              <a:rPr lang="en-US" sz="3200">
                <a:solidFill>
                  <a:schemeClr val="accent5"/>
                </a:solidFill>
              </a:rPr>
              <a:t>by river</a:t>
            </a:r>
          </a:p>
        </c:rich>
      </c:tx>
      <c:layout>
        <c:manualLayout>
          <c:xMode val="edge"/>
          <c:yMode val="edge"/>
          <c:x val="7.1137746706522689E-2"/>
          <c:y val="0.30279488193829318"/>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2324855024189938"/>
          <c:w val="0.3200139068437341"/>
          <c:h val="0.59475538858613552"/>
        </c:manualLayout>
      </c:layout>
      <c:pieChart>
        <c:varyColors val="1"/>
        <c:ser>
          <c:idx val="0"/>
          <c:order val="0"/>
          <c:tx>
            <c:strRef>
              <c:f>Charts!$J$3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62-4EC9-8F44-63ED3480FB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62-4EC9-8F44-63ED3480FB7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62-4EC9-8F44-63ED3480FB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62-4EC9-8F44-63ED3480FB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62-4EC9-8F44-63ED3480FB7B}"/>
              </c:ext>
            </c:extLst>
          </c:dPt>
          <c:dLbls>
            <c:dLbl>
              <c:idx val="4"/>
              <c:layout>
                <c:manualLayout>
                  <c:x val="1.9900497512437811E-2"/>
                  <c:y val="-4.374453193350831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A62-4EC9-8F44-63ED3480FB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Charts!$I$4:$I$8</c:f>
              <c:strCache>
                <c:ptCount val="5"/>
                <c:pt idx="0">
                  <c:v>Avon</c:v>
                </c:pt>
                <c:pt idx="1">
                  <c:v>Stour</c:v>
                </c:pt>
                <c:pt idx="2">
                  <c:v>Carrant</c:v>
                </c:pt>
                <c:pt idx="3">
                  <c:v>Swilgate</c:v>
                </c:pt>
                <c:pt idx="4">
                  <c:v>Other</c:v>
                </c:pt>
              </c:strCache>
            </c:strRef>
          </c:cat>
          <c:val>
            <c:numRef>
              <c:f>Charts!$J$4:$J$8</c:f>
              <c:numCache>
                <c:formatCode>General</c:formatCode>
                <c:ptCount val="5"/>
                <c:pt idx="0">
                  <c:v>454</c:v>
                </c:pt>
                <c:pt idx="1">
                  <c:v>278</c:v>
                </c:pt>
                <c:pt idx="2">
                  <c:v>103</c:v>
                </c:pt>
                <c:pt idx="3">
                  <c:v>55</c:v>
                </c:pt>
                <c:pt idx="4">
                  <c:v>347</c:v>
                </c:pt>
              </c:numCache>
            </c:numRef>
          </c:val>
          <c:extLst>
            <c:ext xmlns:c16="http://schemas.microsoft.com/office/drawing/2014/chart" uri="{C3380CC4-5D6E-409C-BE32-E72D297353CC}">
              <c16:uniqueId val="{0000000A-5A62-4EC9-8F44-63ED3480FB7B}"/>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2"/>
                </a:solidFill>
              </a:rPr>
              <a:t>by season</a:t>
            </a:r>
            <a:endParaRPr lang="en-US" sz="1200">
              <a:solidFill>
                <a:schemeClr val="accent2"/>
              </a:solidFill>
            </a:endParaRPr>
          </a:p>
        </c:rich>
      </c:tx>
      <c:layout>
        <c:manualLayout>
          <c:xMode val="edge"/>
          <c:yMode val="edge"/>
          <c:x val="7.3610983451971201E-2"/>
          <c:y val="0.1435185185185185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39338883116557966"/>
          <c:y val="0.12968126352626971"/>
          <c:w val="0.52775100250783435"/>
          <c:h val="0.68832269650504219"/>
        </c:manualLayout>
      </c:layout>
      <c:lineChart>
        <c:grouping val="standard"/>
        <c:varyColors val="0"/>
        <c:ser>
          <c:idx val="0"/>
          <c:order val="0"/>
          <c:tx>
            <c:strRef>
              <c:f>Charts!$S$3</c:f>
              <c:strCache>
                <c:ptCount val="1"/>
                <c:pt idx="0">
                  <c:v>Samples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Charts!$R$4:$R$8</c:f>
              <c:strCache>
                <c:ptCount val="5"/>
                <c:pt idx="0">
                  <c:v>Summer '23</c:v>
                </c:pt>
                <c:pt idx="1">
                  <c:v>Autumn '23</c:v>
                </c:pt>
                <c:pt idx="2">
                  <c:v>Winter '23/24</c:v>
                </c:pt>
                <c:pt idx="3">
                  <c:v>Spring '24</c:v>
                </c:pt>
                <c:pt idx="4">
                  <c:v>Summer '24</c:v>
                </c:pt>
              </c:strCache>
            </c:strRef>
          </c:cat>
          <c:val>
            <c:numRef>
              <c:f>Charts!$S$4:$S$8</c:f>
              <c:numCache>
                <c:formatCode>General</c:formatCode>
                <c:ptCount val="5"/>
                <c:pt idx="0">
                  <c:v>65</c:v>
                </c:pt>
                <c:pt idx="1">
                  <c:v>166</c:v>
                </c:pt>
                <c:pt idx="2">
                  <c:v>246</c:v>
                </c:pt>
                <c:pt idx="3">
                  <c:v>400</c:v>
                </c:pt>
                <c:pt idx="4">
                  <c:v>355</c:v>
                </c:pt>
              </c:numCache>
            </c:numRef>
          </c:val>
          <c:smooth val="0"/>
          <c:extLst>
            <c:ext xmlns:c16="http://schemas.microsoft.com/office/drawing/2014/chart" uri="{C3380CC4-5D6E-409C-BE32-E72D297353CC}">
              <c16:uniqueId val="{0000000A-2228-4255-8E82-06502EAA2553}"/>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800"/>
              <a:t>Tests Performed</a:t>
            </a:r>
          </a:p>
          <a:p>
            <a:pPr>
              <a:defRPr sz="2800"/>
            </a:pPr>
            <a:r>
              <a:rPr lang="en-US" sz="1800">
                <a:solidFill>
                  <a:schemeClr val="accent2"/>
                </a:solidFill>
              </a:rPr>
              <a:t>since July 2023</a:t>
            </a:r>
            <a:endParaRPr lang="en-US" sz="2800">
              <a:solidFill>
                <a:schemeClr val="accent2"/>
              </a:solidFill>
            </a:endParaRPr>
          </a:p>
        </c:rich>
      </c:tx>
      <c:layout>
        <c:manualLayout>
          <c:xMode val="edge"/>
          <c:yMode val="edge"/>
          <c:x val="0.2003249876954811"/>
          <c:y val="4.9768873147518773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9511918126664258E-2"/>
          <c:y val="0.28060146919245249"/>
          <c:w val="0.85311374444531052"/>
          <c:h val="0.58946777486147561"/>
        </c:manualLayout>
      </c:layout>
      <c:barChart>
        <c:barDir val="col"/>
        <c:grouping val="clustered"/>
        <c:varyColors val="0"/>
        <c:ser>
          <c:idx val="0"/>
          <c:order val="0"/>
          <c:tx>
            <c:strRef>
              <c:f>Charts!$B$19</c:f>
              <c:strCache>
                <c:ptCount val="1"/>
                <c:pt idx="0">
                  <c:v>Count</c:v>
                </c:pt>
              </c:strCache>
            </c:strRef>
          </c:tx>
          <c:spPr>
            <a:solidFill>
              <a:schemeClr val="accent1"/>
            </a:solidFill>
            <a:ln w="19050">
              <a:solidFill>
                <a:schemeClr val="lt1"/>
              </a:solidFill>
            </a:ln>
            <a:effectLst/>
          </c:spPr>
          <c:invertIfNegative val="0"/>
          <c:dPt>
            <c:idx val="0"/>
            <c:invertIfNegative val="0"/>
            <c:bubble3D val="0"/>
            <c:spPr>
              <a:solidFill>
                <a:srgbClr val="FF6161"/>
              </a:solidFill>
              <a:ln w="19050">
                <a:solidFill>
                  <a:schemeClr val="lt1"/>
                </a:solidFill>
              </a:ln>
              <a:effectLst/>
            </c:spPr>
            <c:extLst>
              <c:ext xmlns:c16="http://schemas.microsoft.com/office/drawing/2014/chart" uri="{C3380CC4-5D6E-409C-BE32-E72D297353CC}">
                <c16:uniqueId val="{00000001-B2C0-4218-97E9-27B1364CCB98}"/>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5-B2C0-4218-97E9-27B1364CCB98}"/>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Charts!$A$20:$A$22</c:f>
              <c:strCache>
                <c:ptCount val="3"/>
                <c:pt idx="0">
                  <c:v>Nitrate</c:v>
                </c:pt>
                <c:pt idx="1">
                  <c:v>Phosphate</c:v>
                </c:pt>
                <c:pt idx="2">
                  <c:v>Electrical Conductivity</c:v>
                </c:pt>
              </c:strCache>
            </c:strRef>
          </c:cat>
          <c:val>
            <c:numRef>
              <c:f>Charts!$B$20:$B$22</c:f>
              <c:numCache>
                <c:formatCode>General</c:formatCode>
                <c:ptCount val="3"/>
                <c:pt idx="0">
                  <c:v>1233</c:v>
                </c:pt>
                <c:pt idx="1">
                  <c:v>1236</c:v>
                </c:pt>
                <c:pt idx="2">
                  <c:v>1209</c:v>
                </c:pt>
              </c:numCache>
            </c:numRef>
          </c:val>
          <c:extLst>
            <c:ext xmlns:c16="http://schemas.microsoft.com/office/drawing/2014/chart" uri="{C3380CC4-5D6E-409C-BE32-E72D297353CC}">
              <c16:uniqueId val="{0000000A-B2C0-4218-97E9-27B1364CCB98}"/>
            </c:ext>
          </c:extLst>
        </c:ser>
        <c:dLbls>
          <c:dLblPos val="outEnd"/>
          <c:showLegendKey val="0"/>
          <c:showVal val="1"/>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Unique</a:t>
            </a:r>
            <a:r>
              <a:rPr lang="en-US" sz="3200" baseline="0"/>
              <a:t> S</a:t>
            </a:r>
            <a:r>
              <a:rPr lang="en-US" sz="3200"/>
              <a:t>ites</a:t>
            </a:r>
            <a:r>
              <a:rPr lang="en-US" sz="3200" baseline="0"/>
              <a:t> Sampled</a:t>
            </a:r>
            <a:endParaRPr lang="en-US" sz="3200"/>
          </a:p>
          <a:p>
            <a:pPr algn="ctr">
              <a:defRPr sz="3200"/>
            </a:pPr>
            <a:r>
              <a:rPr lang="en-US" sz="3200">
                <a:solidFill>
                  <a:schemeClr val="accent2"/>
                </a:solidFill>
              </a:rPr>
              <a:t>by season</a:t>
            </a:r>
          </a:p>
        </c:rich>
      </c:tx>
      <c:layout>
        <c:manualLayout>
          <c:xMode val="edge"/>
          <c:yMode val="edge"/>
          <c:x val="0.21208549175203006"/>
          <c:y val="3.9537107423209629E-2"/>
        </c:manualLayout>
      </c:layout>
      <c:overlay val="0"/>
      <c:spPr>
        <a:noFill/>
        <a:ln>
          <a:noFill/>
        </a:ln>
        <a:effectLst/>
      </c:spPr>
      <c:txPr>
        <a:bodyPr rot="0" spcFirstLastPara="1" vertOverflow="ellipsis" vert="horz" wrap="square" anchor="ctr" anchorCtr="1"/>
        <a:lstStyle/>
        <a:p>
          <a:pPr algn="ct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1352549521053458"/>
          <c:y val="0.28573245164219785"/>
          <c:w val="0.81157861677546717"/>
          <c:h val="0.5322711586012463"/>
        </c:manualLayout>
      </c:layout>
      <c:lineChart>
        <c:grouping val="standard"/>
        <c:varyColors val="0"/>
        <c:ser>
          <c:idx val="0"/>
          <c:order val="0"/>
          <c:tx>
            <c:strRef>
              <c:f>Charts!$P$19</c:f>
              <c:strCache>
                <c:ptCount val="1"/>
                <c:pt idx="0">
                  <c:v>Sites Sampled</c:v>
                </c:pt>
              </c:strCache>
            </c:strRef>
          </c:tx>
          <c:spPr>
            <a:ln w="28575" cap="rnd">
              <a:solidFill>
                <a:schemeClr val="accent2"/>
              </a:solidFill>
              <a:round/>
            </a:ln>
            <a:effectLst/>
          </c:spPr>
          <c:marker>
            <c:symbol val="circle"/>
            <c:size val="5"/>
            <c:spPr>
              <a:solidFill>
                <a:schemeClr val="accent2">
                  <a:lumMod val="75000"/>
                </a:schemeClr>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Charts!$O$20:$O$24</c:f>
              <c:strCache>
                <c:ptCount val="5"/>
                <c:pt idx="0">
                  <c:v>Summer '23</c:v>
                </c:pt>
                <c:pt idx="1">
                  <c:v>Autumn '23</c:v>
                </c:pt>
                <c:pt idx="2">
                  <c:v>Winter '23/24</c:v>
                </c:pt>
                <c:pt idx="3">
                  <c:v>Spring '24</c:v>
                </c:pt>
                <c:pt idx="4">
                  <c:v>Summer '24</c:v>
                </c:pt>
              </c:strCache>
            </c:strRef>
          </c:cat>
          <c:val>
            <c:numRef>
              <c:f>Charts!$P$20:$P$24</c:f>
              <c:numCache>
                <c:formatCode>General</c:formatCode>
                <c:ptCount val="5"/>
                <c:pt idx="0">
                  <c:v>14</c:v>
                </c:pt>
                <c:pt idx="1">
                  <c:v>22</c:v>
                </c:pt>
                <c:pt idx="2">
                  <c:v>33</c:v>
                </c:pt>
                <c:pt idx="3">
                  <c:v>36</c:v>
                </c:pt>
                <c:pt idx="4">
                  <c:v>48</c:v>
                </c:pt>
              </c:numCache>
            </c:numRef>
          </c:val>
          <c:smooth val="0"/>
          <c:extLst>
            <c:ext xmlns:c16="http://schemas.microsoft.com/office/drawing/2014/chart" uri="{C3380CC4-5D6E-409C-BE32-E72D297353CC}">
              <c16:uniqueId val="{00000000-2E03-4F0F-AFEB-32C4853B49CE}"/>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r>
              <a:rPr lang="en-GB"/>
              <a:t>Pollution Thresholds</a:t>
            </a:r>
          </a:p>
          <a:p>
            <a:pPr>
              <a:defRPr/>
            </a:pPr>
            <a:r>
              <a:rPr lang="en-GB" i="1">
                <a:solidFill>
                  <a:schemeClr val="accent5"/>
                </a:solidFill>
              </a:rPr>
              <a:t>parts per million</a:t>
            </a:r>
          </a:p>
        </c:rich>
      </c:tx>
      <c:layout>
        <c:manualLayout>
          <c:xMode val="edge"/>
          <c:yMode val="edge"/>
          <c:x val="7.1232253923238648E-2"/>
          <c:y val="2.833111601452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22095111060373462"/>
          <c:y val="0.29324489712263496"/>
          <c:w val="0.77904888939626538"/>
          <c:h val="0.69013901487467244"/>
        </c:manualLayout>
      </c:layout>
      <c:barChart>
        <c:barDir val="bar"/>
        <c:grouping val="clustered"/>
        <c:varyColors val="0"/>
        <c:ser>
          <c:idx val="0"/>
          <c:order val="0"/>
          <c:tx>
            <c:strRef>
              <c:f>Charts!$A$54</c:f>
              <c:strCache>
                <c:ptCount val="1"/>
                <c:pt idx="0">
                  <c:v>Nitrate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Charts!$B$54:$E$54</c:f>
              <c:numCache>
                <c:formatCode>0.0</c:formatCode>
                <c:ptCount val="4"/>
                <c:pt idx="0">
                  <c:v>0</c:v>
                </c:pt>
                <c:pt idx="1">
                  <c:v>0.5</c:v>
                </c:pt>
                <c:pt idx="2">
                  <c:v>1</c:v>
                </c:pt>
                <c:pt idx="3">
                  <c:v>2</c:v>
                </c:pt>
              </c:numCache>
            </c:numRef>
          </c:val>
          <c:extLst>
            <c:ext xmlns:c16="http://schemas.microsoft.com/office/drawing/2014/chart" uri="{C3380CC4-5D6E-409C-BE32-E72D297353CC}">
              <c16:uniqueId val="{00000000-D523-41DA-A185-91ADDDF1DCA9}"/>
            </c:ext>
          </c:extLst>
        </c:ser>
        <c:ser>
          <c:idx val="1"/>
          <c:order val="1"/>
          <c:tx>
            <c:strRef>
              <c:f>Charts!$A$55</c:f>
              <c:strCache>
                <c:ptCount val="1"/>
                <c:pt idx="0">
                  <c:v>Phosphate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Charts!$B$55:$E$55</c:f>
              <c:numCache>
                <c:formatCode>0.00</c:formatCode>
                <c:ptCount val="4"/>
                <c:pt idx="0">
                  <c:v>0</c:v>
                </c:pt>
                <c:pt idx="1">
                  <c:v>0.05</c:v>
                </c:pt>
                <c:pt idx="2">
                  <c:v>0.1</c:v>
                </c:pt>
                <c:pt idx="3">
                  <c:v>0.5</c:v>
                </c:pt>
              </c:numCache>
            </c:numRef>
          </c:val>
          <c:extLst>
            <c:ext xmlns:c16="http://schemas.microsoft.com/office/drawing/2014/chart" uri="{C3380CC4-5D6E-409C-BE32-E72D297353CC}">
              <c16:uniqueId val="{00000001-D523-41DA-A185-91ADDDF1DCA9}"/>
            </c:ext>
          </c:extLst>
        </c:ser>
        <c:dLbls>
          <c:dLblPos val="outEnd"/>
          <c:showLegendKey val="0"/>
          <c:showVal val="1"/>
          <c:showCatName val="0"/>
          <c:showSerName val="0"/>
          <c:showPercent val="0"/>
          <c:showBubbleSize val="0"/>
        </c:dLbls>
        <c:gapWidth val="182"/>
        <c:axId val="492674783"/>
        <c:axId val="492669983"/>
      </c:barChart>
      <c:catAx>
        <c:axId val="492674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69983"/>
        <c:crosses val="autoZero"/>
        <c:auto val="1"/>
        <c:lblAlgn val="ctr"/>
        <c:lblOffset val="100"/>
        <c:noMultiLvlLbl val="0"/>
      </c:catAx>
      <c:valAx>
        <c:axId val="492669983"/>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492674783"/>
        <c:crosses val="autoZero"/>
        <c:crossBetween val="between"/>
      </c:valAx>
      <c:spPr>
        <a:noFill/>
        <a:ln w="25400">
          <a:noFill/>
        </a:ln>
        <a:effectLst/>
      </c:spPr>
    </c:plotArea>
    <c:legend>
      <c:legendPos val="t"/>
      <c:layout>
        <c:manualLayout>
          <c:xMode val="edge"/>
          <c:yMode val="edge"/>
          <c:x val="0.31469585950745094"/>
          <c:y val="0.19339528069415696"/>
          <c:w val="0.33450510818416795"/>
          <c:h val="6.7562937712631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Unique</a:t>
            </a:r>
            <a:r>
              <a:rPr lang="en-US" sz="2000" baseline="0"/>
              <a:t> </a:t>
            </a:r>
            <a:r>
              <a:rPr lang="en-US" sz="2000"/>
              <a:t>Sites</a:t>
            </a:r>
            <a:r>
              <a:rPr lang="en-US" sz="2000" baseline="0"/>
              <a:t> Sampled</a:t>
            </a:r>
            <a:endParaRPr lang="en-US" sz="2000"/>
          </a:p>
        </c:rich>
      </c:tx>
      <c:layout>
        <c:manualLayout>
          <c:xMode val="edge"/>
          <c:yMode val="edge"/>
          <c:x val="0.10038412580401698"/>
          <c:y val="6.0075287015760821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6656377255168685E-2"/>
          <c:y val="0.24115063680281071"/>
          <c:w val="0.85311374444531052"/>
          <c:h val="0.58946777486147561"/>
        </c:manualLayout>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Charts!$H$20:$H$22</c:f>
              <c:strCache>
                <c:ptCount val="3"/>
                <c:pt idx="0">
                  <c:v>Sites Sampled</c:v>
                </c:pt>
                <c:pt idx="1">
                  <c:v>Sites Sampled 10+ times</c:v>
                </c:pt>
                <c:pt idx="2">
                  <c:v>Sites Sampled Every Season</c:v>
                </c:pt>
              </c:strCache>
            </c:strRef>
          </c:cat>
          <c:val>
            <c:numRef>
              <c:f>Charts!$I$20:$I$22</c:f>
              <c:numCache>
                <c:formatCode>General</c:formatCode>
                <c:ptCount val="3"/>
                <c:pt idx="0">
                  <c:v>66</c:v>
                </c:pt>
                <c:pt idx="1">
                  <c:v>37</c:v>
                </c:pt>
                <c:pt idx="2">
                  <c:v>8</c:v>
                </c:pt>
              </c:numCache>
            </c:numRef>
          </c:val>
          <c:extLst>
            <c:ext xmlns:c16="http://schemas.microsoft.com/office/drawing/2014/chart" uri="{C3380CC4-5D6E-409C-BE32-E72D297353CC}">
              <c16:uniqueId val="{00000004-51C0-4D05-8759-3EC309F0AD26}"/>
            </c:ext>
          </c:extLst>
        </c:ser>
        <c:dLbls>
          <c:showLegendKey val="0"/>
          <c:showVal val="0"/>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44824</xdr:colOff>
      <xdr:row>1</xdr:row>
      <xdr:rowOff>0</xdr:rowOff>
    </xdr:from>
    <xdr:to>
      <xdr:col>7</xdr:col>
      <xdr:colOff>295467</xdr:colOff>
      <xdr:row>16</xdr:row>
      <xdr:rowOff>93111</xdr:rowOff>
    </xdr:to>
    <xdr:graphicFrame macro="">
      <xdr:nvGraphicFramePr>
        <xdr:cNvPr id="2" name="Chart 1">
          <a:extLst>
            <a:ext uri="{FF2B5EF4-FFF2-40B4-BE49-F238E27FC236}">
              <a16:creationId xmlns:a16="http://schemas.microsoft.com/office/drawing/2014/main" id="{D6E0F5A7-9CF0-4E22-684A-84A5EEC71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320898</xdr:colOff>
      <xdr:row>0</xdr:row>
      <xdr:rowOff>178371</xdr:rowOff>
    </xdr:from>
    <xdr:to>
      <xdr:col>15</xdr:col>
      <xdr:colOff>561200</xdr:colOff>
      <xdr:row>16</xdr:row>
      <xdr:rowOff>81536</xdr:rowOff>
    </xdr:to>
    <xdr:graphicFrame macro="">
      <xdr:nvGraphicFramePr>
        <xdr:cNvPr id="3" name="Chart 2">
          <a:extLst>
            <a:ext uri="{FF2B5EF4-FFF2-40B4-BE49-F238E27FC236}">
              <a16:creationId xmlns:a16="http://schemas.microsoft.com/office/drawing/2014/main" id="{5FB622BE-DC6A-4990-A909-19DC0841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59839</xdr:colOff>
      <xdr:row>0</xdr:row>
      <xdr:rowOff>185648</xdr:rowOff>
    </xdr:from>
    <xdr:to>
      <xdr:col>26</xdr:col>
      <xdr:colOff>550035</xdr:colOff>
      <xdr:row>16</xdr:row>
      <xdr:rowOff>66451</xdr:rowOff>
    </xdr:to>
    <xdr:graphicFrame macro="">
      <xdr:nvGraphicFramePr>
        <xdr:cNvPr id="4" name="Chart 3">
          <a:extLst>
            <a:ext uri="{FF2B5EF4-FFF2-40B4-BE49-F238E27FC236}">
              <a16:creationId xmlns:a16="http://schemas.microsoft.com/office/drawing/2014/main" id="{3529AAE8-9232-479E-9387-F6D8A6EC5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34370</xdr:colOff>
      <xdr:row>17</xdr:row>
      <xdr:rowOff>13065</xdr:rowOff>
    </xdr:from>
    <xdr:to>
      <xdr:col>6</xdr:col>
      <xdr:colOff>30560</xdr:colOff>
      <xdr:row>36</xdr:row>
      <xdr:rowOff>121403</xdr:rowOff>
    </xdr:to>
    <xdr:graphicFrame macro="">
      <xdr:nvGraphicFramePr>
        <xdr:cNvPr id="5" name="Chart 4">
          <a:extLst>
            <a:ext uri="{FF2B5EF4-FFF2-40B4-BE49-F238E27FC236}">
              <a16:creationId xmlns:a16="http://schemas.microsoft.com/office/drawing/2014/main" id="{C6A13F35-F14E-4735-82B8-7BDF5EFC3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69701</xdr:colOff>
      <xdr:row>16</xdr:row>
      <xdr:rowOff>167636</xdr:rowOff>
    </xdr:from>
    <xdr:to>
      <xdr:col>24</xdr:col>
      <xdr:colOff>408119</xdr:colOff>
      <xdr:row>45</xdr:row>
      <xdr:rowOff>25359</xdr:rowOff>
    </xdr:to>
    <xdr:graphicFrame macro="">
      <xdr:nvGraphicFramePr>
        <xdr:cNvPr id="8" name="Chart 7">
          <a:extLst>
            <a:ext uri="{FF2B5EF4-FFF2-40B4-BE49-F238E27FC236}">
              <a16:creationId xmlns:a16="http://schemas.microsoft.com/office/drawing/2014/main" id="{A529E932-C906-4744-9A87-0F7112C75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144220</xdr:colOff>
      <xdr:row>37</xdr:row>
      <xdr:rowOff>75136</xdr:rowOff>
    </xdr:from>
    <xdr:to>
      <xdr:col>7</xdr:col>
      <xdr:colOff>273660</xdr:colOff>
      <xdr:row>62</xdr:row>
      <xdr:rowOff>177870</xdr:rowOff>
    </xdr:to>
    <xdr:grpSp>
      <xdr:nvGrpSpPr>
        <xdr:cNvPr id="14" name="Group 13">
          <a:extLst>
            <a:ext uri="{FF2B5EF4-FFF2-40B4-BE49-F238E27FC236}">
              <a16:creationId xmlns:a16="http://schemas.microsoft.com/office/drawing/2014/main" id="{F5CD42D2-576F-54B2-8FBA-43CB3D344FE8}"/>
            </a:ext>
          </a:extLst>
        </xdr:cNvPr>
        <xdr:cNvGrpSpPr/>
      </xdr:nvGrpSpPr>
      <xdr:grpSpPr>
        <a:xfrm>
          <a:off x="144220" y="7314136"/>
          <a:ext cx="5116058" cy="4865234"/>
          <a:chOff x="141356" y="7294985"/>
          <a:chExt cx="4996814" cy="4627067"/>
        </a:xfrm>
      </xdr:grpSpPr>
      <xdr:graphicFrame macro="">
        <xdr:nvGraphicFramePr>
          <xdr:cNvPr id="12" name="Chart 11">
            <a:extLst>
              <a:ext uri="{FF2B5EF4-FFF2-40B4-BE49-F238E27FC236}">
                <a16:creationId xmlns:a16="http://schemas.microsoft.com/office/drawing/2014/main" id="{F80F09F4-9AF8-3AD4-896A-3C0A99225AB6}"/>
              </a:ext>
            </a:extLst>
          </xdr:cNvPr>
          <xdr:cNvGraphicFramePr/>
        </xdr:nvGraphicFramePr>
        <xdr:xfrm>
          <a:off x="141356" y="7294985"/>
          <a:ext cx="4996814" cy="3589973"/>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3" name="TextBox 10">
            <a:extLst>
              <a:ext uri="{FF2B5EF4-FFF2-40B4-BE49-F238E27FC236}">
                <a16:creationId xmlns:a16="http://schemas.microsoft.com/office/drawing/2014/main" id="{4C3CB9D6-674E-4669-FA78-99C71C6B231C}"/>
              </a:ext>
            </a:extLst>
          </xdr:cNvPr>
          <xdr:cNvSpPr txBox="1"/>
        </xdr:nvSpPr>
        <xdr:spPr>
          <a:xfrm>
            <a:off x="243224" y="10801912"/>
            <a:ext cx="2528570" cy="1120140"/>
          </a:xfrm>
          <a:prstGeom prst="rect">
            <a:avLst/>
          </a:prstGeom>
          <a:solidFill>
            <a:schemeClr val="lt1">
              <a:alpha val="72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1">
                <a:latin typeface="Bahnschrift" panose="020B0502040204020203" pitchFamily="34" charset="0"/>
              </a:rPr>
              <a:t>Note</a:t>
            </a:r>
          </a:p>
          <a:p>
            <a:r>
              <a:rPr lang="en-GB" sz="1050" b="0">
                <a:latin typeface="Bahnschrift" panose="020B0502040204020203" pitchFamily="34" charset="0"/>
              </a:rPr>
              <a:t>These</a:t>
            </a:r>
            <a:r>
              <a:rPr lang="en-GB" sz="1050" b="0" baseline="0">
                <a:latin typeface="Bahnschrift" panose="020B0502040204020203" pitchFamily="34" charset="0"/>
              </a:rPr>
              <a:t> are the 'lower bounds'. </a:t>
            </a:r>
          </a:p>
          <a:p>
            <a:r>
              <a:rPr lang="en-GB" sz="1050" b="0" baseline="0">
                <a:latin typeface="Bahnschrift" panose="020B0502040204020203" pitchFamily="34" charset="0"/>
              </a:rPr>
              <a:t>For example, a nitrate reading between 1.5ppm indicates 'high levels', and a nitrate reading of 2.1ppm+ indicates 'very high levels' of pollution.</a:t>
            </a:r>
            <a:endParaRPr lang="en-GB" sz="1000" b="0">
              <a:latin typeface="Bahnschrift" panose="020B0502040204020203" pitchFamily="34" charset="0"/>
            </a:endParaRPr>
          </a:p>
        </xdr:txBody>
      </xdr:sp>
    </xdr:grpSp>
    <xdr:clientData/>
  </xdr:twoCellAnchor>
  <xdr:twoCellAnchor>
    <xdr:from>
      <xdr:col>6</xdr:col>
      <xdr:colOff>40225</xdr:colOff>
      <xdr:row>17</xdr:row>
      <xdr:rowOff>5040</xdr:rowOff>
    </xdr:from>
    <xdr:to>
      <xdr:col>14</xdr:col>
      <xdr:colOff>6610</xdr:colOff>
      <xdr:row>34</xdr:row>
      <xdr:rowOff>71715</xdr:rowOff>
    </xdr:to>
    <xdr:graphicFrame macro="">
      <xdr:nvGraphicFramePr>
        <xdr:cNvPr id="7" name="Chart 6">
          <a:extLst>
            <a:ext uri="{FF2B5EF4-FFF2-40B4-BE49-F238E27FC236}">
              <a16:creationId xmlns:a16="http://schemas.microsoft.com/office/drawing/2014/main" id="{08AB1A4C-89C6-4E51-86C8-585F03C11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40</xdr:row>
      <xdr:rowOff>114269</xdr:rowOff>
    </xdr:from>
    <xdr:to>
      <xdr:col>7</xdr:col>
      <xdr:colOff>373316</xdr:colOff>
      <xdr:row>56</xdr:row>
      <xdr:rowOff>173322</xdr:rowOff>
    </xdr:to>
    <xdr:pic>
      <xdr:nvPicPr>
        <xdr:cNvPr id="43" name="Picture 42">
          <a:extLst>
            <a:ext uri="{FF2B5EF4-FFF2-40B4-BE49-F238E27FC236}">
              <a16:creationId xmlns:a16="http://schemas.microsoft.com/office/drawing/2014/main" id="{5B033BF6-F1C9-462D-43C6-8DB6FC574D84}"/>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225" t="15448" r="2045" b="41896"/>
        <a:stretch/>
      </xdr:blipFill>
      <xdr:spPr bwMode="auto">
        <a:xfrm>
          <a:off x="0" y="7924769"/>
          <a:ext cx="5359934" cy="3107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0.46801</cdr:x>
      <cdr:y>0.01328</cdr:y>
    </cdr:from>
    <cdr:to>
      <cdr:x>0.96375</cdr:x>
      <cdr:y>0.17716</cdr:y>
    </cdr:to>
    <cdr:sp macro="" textlink="">
      <cdr:nvSpPr>
        <cdr:cNvPr id="2" name="TextBox 10">
          <a:extLst xmlns:a="http://schemas.openxmlformats.org/drawingml/2006/main">
            <a:ext uri="{FF2B5EF4-FFF2-40B4-BE49-F238E27FC236}">
              <a16:creationId xmlns:a16="http://schemas.microsoft.com/office/drawing/2014/main" id="{32F1F7EF-BA64-0C3D-0533-5EB7067656CB}"/>
            </a:ext>
          </a:extLst>
        </cdr:cNvPr>
        <cdr:cNvSpPr txBox="1"/>
      </cdr:nvSpPr>
      <cdr:spPr>
        <a:xfrm xmlns:a="http://schemas.openxmlformats.org/drawingml/2006/main">
          <a:off x="2336800" y="47625"/>
          <a:ext cx="2475230" cy="587693"/>
        </a:xfrm>
        <a:prstGeom xmlns:a="http://schemas.openxmlformats.org/drawingml/2006/main" prst="rect">
          <a:avLst/>
        </a:prstGeom>
        <a:solidFill xmlns:a="http://schemas.openxmlformats.org/drawingml/2006/main">
          <a:schemeClr val="lt1">
            <a:alpha val="72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latin typeface="Bahnschrift" panose="020B0502040204020203" pitchFamily="34" charset="0"/>
            </a:rPr>
            <a:t>Source:</a:t>
          </a:r>
        </a:p>
        <a:p xmlns:a="http://schemas.openxmlformats.org/drawingml/2006/main">
          <a:r>
            <a:rPr lang="en-GB" sz="900">
              <a:latin typeface="Bahnschrift" panose="020B0502040204020203" pitchFamily="34" charset="0"/>
            </a:rPr>
            <a:t>https://content.freshwaterhabitats.org.uk/2015/10/CWfWTechnicalDocumentFINAL.pdf</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95250</xdr:colOff>
      <xdr:row>5</xdr:row>
      <xdr:rowOff>104775</xdr:rowOff>
    </xdr:from>
    <xdr:to>
      <xdr:col>18</xdr:col>
      <xdr:colOff>477835</xdr:colOff>
      <xdr:row>43</xdr:row>
      <xdr:rowOff>48627</xdr:rowOff>
    </xdr:to>
    <xdr:pic>
      <xdr:nvPicPr>
        <xdr:cNvPr id="2" name="Picture 1">
          <a:extLst>
            <a:ext uri="{FF2B5EF4-FFF2-40B4-BE49-F238E27FC236}">
              <a16:creationId xmlns:a16="http://schemas.microsoft.com/office/drawing/2014/main" id="{807E42CB-BB55-CAEB-5A3C-DB7E1E3B1603}"/>
            </a:ext>
          </a:extLst>
        </xdr:cNvPr>
        <xdr:cNvPicPr>
          <a:picLocks noChangeAspect="1"/>
        </xdr:cNvPicPr>
      </xdr:nvPicPr>
      <xdr:blipFill>
        <a:blip xmlns:r="http://schemas.openxmlformats.org/officeDocument/2006/relationships" r:embed="rId1"/>
        <a:stretch>
          <a:fillRect/>
        </a:stretch>
      </xdr:blipFill>
      <xdr:spPr>
        <a:xfrm>
          <a:off x="95250" y="1057275"/>
          <a:ext cx="11355385" cy="718285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7855e76d04259bb8e4b10d5be07184b1&amp;qlt=95" TargetMode="External"/><Relationship Id="rId18" Type="http://schemas.openxmlformats.org/officeDocument/2006/relationships/hyperlink" Target="https://www.bing.com/images/search?form=xlimg&amp;q=Newbold%20on%20Stour" TargetMode="External"/><Relationship Id="rId26" Type="http://schemas.openxmlformats.org/officeDocument/2006/relationships/hyperlink" Target="https://www.bing.com/images/search?form=xlimg&amp;q=Clifford%20Chambers" TargetMode="External"/><Relationship Id="rId39" Type="http://schemas.openxmlformats.org/officeDocument/2006/relationships/hyperlink" Target="https://www.bing.com/th?id=OSK.15a2e4102d8b33f43623475214de22f8&amp;qlt=95" TargetMode="External"/><Relationship Id="rId21" Type="http://schemas.openxmlformats.org/officeDocument/2006/relationships/hyperlink" Target="https://www.bing.com/th?id=OSK.47fdd6b10b6a3744b129b5aa1bb2846b&amp;qlt=95" TargetMode="External"/><Relationship Id="rId34" Type="http://schemas.openxmlformats.org/officeDocument/2006/relationships/hyperlink" Target="https://www.bing.com/images/search?form=xlimg&amp;q=Norton%20Lindsey" TargetMode="External"/><Relationship Id="rId42" Type="http://schemas.openxmlformats.org/officeDocument/2006/relationships/hyperlink" Target="https://www.bing.com/images/search?form=xlimg&amp;q=Wyre%20Piddle" TargetMode="External"/><Relationship Id="rId47" Type="http://schemas.openxmlformats.org/officeDocument/2006/relationships/hyperlink" Target="https://www.bing.com/th?id=OSK.e2a7e73af77e975efb482292a1a170f9&amp;qlt=95" TargetMode="External"/><Relationship Id="rId50" Type="http://schemas.openxmlformats.org/officeDocument/2006/relationships/hyperlink" Target="https://www.bing.com/images/search?form=xlimg&amp;q=Chipping%20Campden" TargetMode="External"/><Relationship Id="rId55" Type="http://schemas.openxmlformats.org/officeDocument/2006/relationships/hyperlink" Target="https://www.bing.com/th?id=OSK.d81098dba3fc79a5c16b987e723b28a4&amp;qlt=95" TargetMode="External"/><Relationship Id="rId7" Type="http://schemas.openxmlformats.org/officeDocument/2006/relationships/hyperlink" Target="https://www.bing.com/th?id=OSK.0b57176809381ecb388267d2d04719e4&amp;qlt=95" TargetMode="External"/><Relationship Id="rId2" Type="http://schemas.openxmlformats.org/officeDocument/2006/relationships/hyperlink" Target="https://www.bing.com/images/search?form=xlimg&amp;q=Tewkesbury" TargetMode="External"/><Relationship Id="rId16" Type="http://schemas.openxmlformats.org/officeDocument/2006/relationships/hyperlink" Target="https://www.bing.com/images/search?form=xlimg&amp;q=Stratford-upon-Avon" TargetMode="External"/><Relationship Id="rId29" Type="http://schemas.openxmlformats.org/officeDocument/2006/relationships/hyperlink" Target="https://www.bing.com/th?id=OSK.92d23b062000cb1474063ffc5da64955&amp;qlt=95" TargetMode="External"/><Relationship Id="rId11" Type="http://schemas.openxmlformats.org/officeDocument/2006/relationships/hyperlink" Target="https://www.bing.com/th?id=OSK.81d6314f2d64446cf58918176df406c9&amp;qlt=95" TargetMode="External"/><Relationship Id="rId24" Type="http://schemas.openxmlformats.org/officeDocument/2006/relationships/hyperlink" Target="https://www.bing.com/images/search?form=xlimg&amp;q=Ilmington" TargetMode="External"/><Relationship Id="rId32" Type="http://schemas.openxmlformats.org/officeDocument/2006/relationships/hyperlink" Target="https://www.bing.com/images/search?form=xlimg&amp;q=Snitterfield" TargetMode="External"/><Relationship Id="rId37" Type="http://schemas.openxmlformats.org/officeDocument/2006/relationships/hyperlink" Target="https://www.bing.com/th?id=OSK.97ae49f05455ba4f7020f012c42fca95&amp;qlt=95" TargetMode="External"/><Relationship Id="rId40" Type="http://schemas.openxmlformats.org/officeDocument/2006/relationships/hyperlink" Target="https://www.bing.com/images/search?form=xlimg&amp;q=Preston%20Bagot" TargetMode="External"/><Relationship Id="rId45" Type="http://schemas.openxmlformats.org/officeDocument/2006/relationships/hyperlink" Target="https://www.bing.com/th?id=OSK.8d769137d9ad32123097eba734de9fb8&amp;qlt=95" TargetMode="External"/><Relationship Id="rId53" Type="http://schemas.openxmlformats.org/officeDocument/2006/relationships/hyperlink" Target="https://www.bing.com/th?id=OSK.c47ce147be2518f0c18dad14298bd5f9&amp;qlt=95" TargetMode="External"/><Relationship Id="rId58" Type="http://schemas.openxmlformats.org/officeDocument/2006/relationships/hyperlink" Target="https://www.bing.com/images/search?form=xlimg&amp;q=Bishampton" TargetMode="External"/><Relationship Id="rId5" Type="http://schemas.openxmlformats.org/officeDocument/2006/relationships/hyperlink" Target="https://www.bing.com/th?id=OSK.tTvhDCodW5_MDLS6UlmjThQfK1uSWcD2JXqgy902jg4&amp;qlt=95" TargetMode="External"/><Relationship Id="rId19" Type="http://schemas.openxmlformats.org/officeDocument/2006/relationships/hyperlink" Target="https://www.bing.com/th?id=OSK.44f490f3c7784a3461cd772535a68913&amp;qlt=95" TargetMode="External"/><Relationship Id="rId4" Type="http://schemas.openxmlformats.org/officeDocument/2006/relationships/hyperlink" Target="https://www.bing.com/images/search?form=xlimg&amp;q=United%20Kingdom" TargetMode="External"/><Relationship Id="rId9" Type="http://schemas.openxmlformats.org/officeDocument/2006/relationships/hyperlink" Target="https://www.bing.com/th?id=OSK.3f87f5bf7eec8c8dfe8c6bf0363eed4c&amp;qlt=95" TargetMode="External"/><Relationship Id="rId14" Type="http://schemas.openxmlformats.org/officeDocument/2006/relationships/hyperlink" Target="https://www.bing.com/images/search?form=xlimg&amp;q=Weston-on-Avon" TargetMode="External"/><Relationship Id="rId22" Type="http://schemas.openxmlformats.org/officeDocument/2006/relationships/hyperlink" Target="https://www.bing.com/images/search?form=xlimg&amp;q=Shipston-on-Stour" TargetMode="External"/><Relationship Id="rId27" Type="http://schemas.openxmlformats.org/officeDocument/2006/relationships/hyperlink" Target="https://www.bing.com/th?id=OSK.9fdf7f89eecb732391064716d7f41469&amp;qlt=95" TargetMode="External"/><Relationship Id="rId30" Type="http://schemas.openxmlformats.org/officeDocument/2006/relationships/hyperlink" Target="https://www.bing.com/images/search?form=xlimg&amp;q=Stretton-on-Fosse" TargetMode="External"/><Relationship Id="rId35" Type="http://schemas.openxmlformats.org/officeDocument/2006/relationships/hyperlink" Target="https://www.bing.com/th?id=OSK.b545b3111d3987d3d33862a65acbe3a4&amp;qlt=95" TargetMode="External"/><Relationship Id="rId43" Type="http://schemas.openxmlformats.org/officeDocument/2006/relationships/hyperlink" Target="https://www.bing.com/th?id=OSK.6596fcb0cb9191d8c1a29747496e07e0&amp;qlt=95" TargetMode="External"/><Relationship Id="rId48" Type="http://schemas.openxmlformats.org/officeDocument/2006/relationships/hyperlink" Target="https://www.bing.com/images/search?form=xlimg&amp;q=Cotswold%20District" TargetMode="External"/><Relationship Id="rId56" Type="http://schemas.openxmlformats.org/officeDocument/2006/relationships/hyperlink" Target="https://www.bing.com/images/search?form=xlimg&amp;q=Ab%20Lench" TargetMode="External"/><Relationship Id="rId8" Type="http://schemas.openxmlformats.org/officeDocument/2006/relationships/hyperlink" Target="https://www.bing.com/images/search?form=xlimg&amp;q=Barford,%20Warwickshire" TargetMode="External"/><Relationship Id="rId51" Type="http://schemas.openxmlformats.org/officeDocument/2006/relationships/hyperlink" Target="https://www.bing.com/th?id=OSK.a5814efaf5f4fb89c113c3426bccc261&amp;qlt=95" TargetMode="External"/><Relationship Id="rId3" Type="http://schemas.openxmlformats.org/officeDocument/2006/relationships/hyperlink" Target="https://www.bing.com/th?id=OSK.1a33b5115bfc290abc8869de29ebd567&amp;qlt=95" TargetMode="External"/><Relationship Id="rId12" Type="http://schemas.openxmlformats.org/officeDocument/2006/relationships/hyperlink" Target="https://www.bing.com/images/search?form=xlimg&amp;q=Welford-on-Avon" TargetMode="External"/><Relationship Id="rId17" Type="http://schemas.openxmlformats.org/officeDocument/2006/relationships/hyperlink" Target="https://www.bing.com/th?id=OSK.d4c318f5f5f5d5bce3a9048866c3bbaf&amp;qlt=95" TargetMode="External"/><Relationship Id="rId25" Type="http://schemas.openxmlformats.org/officeDocument/2006/relationships/hyperlink" Target="https://www.bing.com/th?id=OSK.6e49fac899e4270e80fae9077ffd83a0&amp;qlt=95" TargetMode="External"/><Relationship Id="rId33" Type="http://schemas.openxmlformats.org/officeDocument/2006/relationships/hyperlink" Target="https://www.bing.com/th?id=OSK.0ad92fc3b2c4c5e08c8ee10a6546cbd0&amp;qlt=95" TargetMode="External"/><Relationship Id="rId38" Type="http://schemas.openxmlformats.org/officeDocument/2006/relationships/hyperlink" Target="https://www.bing.com/images/search?form=xlimg&amp;q=Pershore" TargetMode="External"/><Relationship Id="rId46" Type="http://schemas.openxmlformats.org/officeDocument/2006/relationships/hyperlink" Target="https://www.bing.com/images/search?form=xlimg&amp;q=Ascott,%20Warwickshire" TargetMode="External"/><Relationship Id="rId20" Type="http://schemas.openxmlformats.org/officeDocument/2006/relationships/hyperlink" Target="https://www.bing.com/images/search?form=xlimg&amp;q=Preston%20on%20Stour" TargetMode="External"/><Relationship Id="rId41" Type="http://schemas.openxmlformats.org/officeDocument/2006/relationships/hyperlink" Target="https://www.bing.com/th?id=OSK.31d4a369706be365ef18bc5f4ec39a94&amp;qlt=95" TargetMode="External"/><Relationship Id="rId54" Type="http://schemas.openxmlformats.org/officeDocument/2006/relationships/hyperlink" Target="https://www.bing.com/images/search?form=xlimg&amp;q=Church%20Lench" TargetMode="External"/><Relationship Id="rId1" Type="http://schemas.openxmlformats.org/officeDocument/2006/relationships/hyperlink" Target="https://www.bing.com/th?id=OSK.b5cf1301babd3ae50bb871a7991cb47c&amp;qlt=95" TargetMode="External"/><Relationship Id="rId6" Type="http://schemas.openxmlformats.org/officeDocument/2006/relationships/hyperlink" Target="https://www.bing.com/images/search?form=xlimg&amp;q=Stratford-on-Avon%20District" TargetMode="External"/><Relationship Id="rId15" Type="http://schemas.openxmlformats.org/officeDocument/2006/relationships/hyperlink" Target="https://www.bing.com/th?id=OSK.9586f0fbc251506d32d7c049e90e6a74&amp;qlt=95" TargetMode="External"/><Relationship Id="rId23" Type="http://schemas.openxmlformats.org/officeDocument/2006/relationships/hyperlink" Target="https://www.bing.com/th?id=OSK.9e57faf0beafe1443bf132bc32b3b625&amp;qlt=95" TargetMode="External"/><Relationship Id="rId28" Type="http://schemas.openxmlformats.org/officeDocument/2006/relationships/hyperlink" Target="https://www.bing.com/images/search?form=xlimg&amp;q=Alveston,%20Warwickshire" TargetMode="External"/><Relationship Id="rId36" Type="http://schemas.openxmlformats.org/officeDocument/2006/relationships/hyperlink" Target="https://www.bing.com/images/search?form=xlimg&amp;q=Wychavon" TargetMode="External"/><Relationship Id="rId49" Type="http://schemas.openxmlformats.org/officeDocument/2006/relationships/hyperlink" Target="https://www.bing.com/th?id=OSK.49032948ad0fa6fa1e66a59a860233ab&amp;qlt=95" TargetMode="External"/><Relationship Id="rId57" Type="http://schemas.openxmlformats.org/officeDocument/2006/relationships/hyperlink" Target="https://www.bing.com/th?id=OSK.885fe34627d4220a95aaee21e3474055&amp;qlt=95" TargetMode="External"/><Relationship Id="rId10" Type="http://schemas.openxmlformats.org/officeDocument/2006/relationships/hyperlink" Target="https://www.bing.com/images/search?form=xlimg&amp;q=Hampton%20Lucy" TargetMode="External"/><Relationship Id="rId31" Type="http://schemas.openxmlformats.org/officeDocument/2006/relationships/hyperlink" Target="https://www.bing.com/th?id=OSK.d9794ee7df6863a759dffb438a93b944&amp;qlt=95" TargetMode="External"/><Relationship Id="rId44" Type="http://schemas.openxmlformats.org/officeDocument/2006/relationships/hyperlink" Target="https://www.bing.com/images/search?form=xlimg&amp;q=Whichford" TargetMode="External"/><Relationship Id="rId52" Type="http://schemas.openxmlformats.org/officeDocument/2006/relationships/hyperlink" Target="https://www.bing.com/images/search?form=xlimg&amp;q=Bredon"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Srd>
</file>

<file path=xl/richData/rdarray.xml><?xml version="1.0" encoding="utf-8"?>
<arrayData xmlns="http://schemas.microsoft.com/office/spreadsheetml/2017/richdata2" count="5">
  <a r="2">
    <v t="r">4</v>
    <v t="r">5</v>
  </a>
  <a r="2">
    <v t="r">30</v>
    <v t="r">31</v>
  </a>
  <a r="1">
    <v t="s">English language</v>
  </a>
  <a r="4">
    <v t="r">50</v>
    <v t="r">51</v>
    <v t="r">52</v>
    <v t="r">53</v>
  </a>
  <a r="2">
    <v t="s">Greenwich Mean Time</v>
    <v t="s">Western European Time</v>
  </a>
</arrayData>
</file>

<file path=xl/richData/rdrichvalue.xml><?xml version="1.0" encoding="utf-8"?>
<rvData xmlns="http://schemas.microsoft.com/office/spreadsheetml/2017/richdata" count="252">
  <rv s="0">
    <v>536870912</v>
    <v>Tewkesbury</v>
    <v>374e6878-2737-523b-3b5e-666e2ec0ade8</v>
    <v>en-GB</v>
    <v>Map</v>
  </rv>
  <rv s="0">
    <v>536870912</v>
    <v>United Kingdom</v>
    <v>b1a5155a-6bb2-4646-8f7c-3e6b3a53c831</v>
    <v>en-GB</v>
    <v>Map</v>
  </rv>
  <rv s="1">
    <v>0</v>
    <v>7</v>
    <v>0</v>
    <v>7</v>
    <v>0</v>
    <v>Image of Tewkesbury</v>
  </rv>
  <rv s="2">
    <fb>51.985999999999997</fb>
    <v>9</v>
  </rv>
  <rv s="0">
    <v>805306368</v>
    <v>Cllr Christine Danter (Mayor)</v>
    <v>8dbf4c9e-99a1-c9ce-681b-46ecee3437e2</v>
    <v>en-GB</v>
    <v>Generic</v>
  </rv>
  <rv s="0">
    <v>805306368</v>
    <v>Cllr Paul Jones (Deputy mayor)</v>
    <v>a4d3b711-f2cd-d1b6-9249-8f6cc14086de</v>
    <v>en-GB</v>
    <v>Generic</v>
  </rv>
  <rv s="3">
    <v>0</v>
  </rv>
  <rv s="4">
    <v>https://www.bing.com/search?q=tewkesbury&amp;form=skydnc</v>
    <v>Learn more on Bing</v>
  </rv>
  <rv s="2">
    <fb>-2.1360000000000001</fb>
    <v>9</v>
  </rv>
  <rv s="2">
    <fb>19778</fb>
    <v>10</v>
  </rv>
  <rv s="5">
    <v>#VALUE!</v>
    <v>en-GB</v>
    <v>374e6878-2737-523b-3b5e-666e2ec0ade8</v>
    <v>536870912</v>
    <v>1</v>
    <v>2</v>
    <v>3</v>
    <v>Tewkesbury</v>
    <v>5</v>
    <v>6</v>
    <v>Map</v>
    <v>7</v>
    <v>8</v>
    <v>1</v>
    <v>Tewkesbury is a market town and civil parish in the north of Gloucestershire, England. The town grew following the construction of Tewkesbury Abbey in the twelfth century and played a significant role in the Wars of the Roses. It stands at the ...</v>
    <v>2</v>
    <v>3</v>
    <v>6</v>
    <v>7</v>
    <v>8</v>
    <v>Tewkesbury</v>
    <v>9</v>
    <v>Tewkesbury</v>
    <v>mdp/vdpid/5471416010965778433</v>
  </rv>
  <rv s="2">
    <fb>0.71714878141404492</fb>
    <v>30</v>
  </rv>
  <rv s="2">
    <fb>242495</fb>
    <v>10</v>
  </rv>
  <rv s="2">
    <fb>148000</fb>
    <v>10</v>
  </rv>
  <rv s="2">
    <fb>11</fb>
    <v>31</v>
  </rv>
  <rv s="2">
    <fb>44</fb>
    <v>32</v>
  </rv>
  <rv s="0">
    <v>536870912</v>
    <v>London</v>
    <v>8e0ba7b6-4225-fa8a-6369-1b5294e602a5</v>
    <v>en-GB</v>
    <v>Map</v>
  </rv>
  <rv s="2">
    <fb>379024.78700000001</fb>
    <v>10</v>
  </rv>
  <rv s="2">
    <fb>119.622711300166</fb>
    <v>33</v>
  </rv>
  <rv s="2">
    <fb>1.7381046008651101E-2</fb>
    <v>30</v>
  </rv>
  <rv s="2">
    <fb>5129.5277927901998</fb>
    <v>10</v>
  </rv>
  <rv s="2">
    <fb>1.68</fb>
    <v>31</v>
  </rv>
  <rv s="2">
    <fb>0.130657628239573</fb>
    <v>30</v>
  </rv>
  <rv s="2">
    <fb>80.351771267255202</fb>
    <v>34</v>
  </rv>
  <rv s="2">
    <fb>1.46</fb>
    <v>35</v>
  </rv>
  <rv s="2">
    <fb>2827113184695.5801</fb>
    <v>36</v>
  </rv>
  <rv s="2">
    <fb>1.0115456</fb>
    <v>30</v>
  </rv>
  <rv s="2">
    <fb>0.59995569999999998</fb>
    <v>30</v>
  </rv>
  <rv s="1">
    <v>1</v>
    <v>7</v>
    <v>13</v>
    <v>7</v>
    <v>0</v>
    <v>Image of United Kingdom</v>
  </rv>
  <rv s="2">
    <fb>3.6</fb>
    <v>34</v>
  </rv>
  <rv s="0">
    <v>805306368</v>
    <v>Charles III (Monarch)</v>
    <v>afc6f6a9-5b55-9178-3e6f-2c8b6d16ee9c</v>
    <v>en-GB</v>
    <v>Generic</v>
  </rv>
  <rv s="0">
    <v>805306368</v>
    <v>Rishi Sunak (Prime minister)</v>
    <v>79551c5d-075b-e493-70a2-f5b22a4876e1</v>
    <v>en-GB</v>
    <v>Generic</v>
  </rv>
  <rv s="3">
    <v>1</v>
  </rv>
  <rv s="4">
    <v>https://www.bing.com/search?q=united+kingdom&amp;form=skydnc</v>
    <v>Learn more on Bing</v>
  </rv>
  <rv s="2">
    <fb>81.256097560975604</fb>
    <v>34</v>
  </rv>
  <rv s="2">
    <fb>1868152970000</fb>
    <v>36</v>
  </rv>
  <rv s="2">
    <fb>7</fb>
    <v>34</v>
  </rv>
  <rv s="2">
    <fb>10.130000000000001</fb>
    <v>35</v>
  </rv>
  <rv s="3">
    <v>2</v>
  </rv>
  <rv s="2">
    <fb>0.14794489889999998</fb>
    <v>30</v>
  </rv>
  <rv s="2">
    <fb>2.8117000000000001</fb>
    <v>31</v>
  </rv>
  <rv s="2">
    <fb>67326569</fb>
    <v>10</v>
  </rv>
  <rv s="2">
    <fb>0.22500000000000001</fb>
    <v>30</v>
  </rv>
  <rv s="2">
    <fb>0.26800000000000002</fb>
    <v>30</v>
  </rv>
  <rv s="2">
    <fb>0.42100000000000004</fb>
    <v>30</v>
  </rv>
  <rv s="2">
    <fb>2.7999999999999997E-2</fb>
    <v>30</v>
  </rv>
  <rv s="2">
    <fb>7.0999999999999994E-2</fb>
    <v>30</v>
  </rv>
  <rv s="2">
    <fb>0.11900000000000001</fb>
    <v>30</v>
  </rv>
  <rv s="2">
    <fb>0.16399999999999998</fb>
    <v>30</v>
  </rv>
  <rv s="2">
    <fb>0.62773998260497998</fb>
    <v>30</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3">
    <v>3</v>
  </rv>
  <rv s="2">
    <fb>0.255052921600669</fb>
    <v>30</v>
  </rv>
  <rv s="3">
    <v>4</v>
  </rv>
  <rv s="2">
    <fb>0.30599999999999999</fb>
    <v>30</v>
  </rv>
  <rv s="2">
    <fb>3.8510000705719E-2</fb>
    <v>37</v>
  </rv>
  <rv s="2">
    <fb>55908316</fb>
    <v>10</v>
  </rv>
  <rv s="6">
    <v>#VALUE!</v>
    <v>en-GB</v>
    <v>b1a5155a-6bb2-4646-8f7c-3e6b3a53c831</v>
    <v>536870912</v>
    <v>1</v>
    <v>27</v>
    <v>28</v>
    <v>United Kingdom</v>
    <v>5</v>
    <v>6</v>
    <v>Map</v>
    <v>7</v>
    <v>29</v>
    <v>GB</v>
    <v>11</v>
    <v>12</v>
    <v>13</v>
    <v>14</v>
    <v>15</v>
    <v>16</v>
    <v>17</v>
    <v>18</v>
    <v>19</v>
    <v>GBP</v>
    <v>The United Kingdom of Great Britain and Northern Ireland, commonly known as the United Kingdom or Britain, is a country in Northwestern Europe, off the coast of the continental mainland. It comprises England, Scotland, Wales, and Northern ...</v>
    <v>20</v>
    <v>21</v>
    <v>22</v>
    <v>23</v>
    <v>24</v>
    <v>25</v>
    <v>26</v>
    <v>27</v>
    <v>28</v>
    <v>29</v>
    <v>16</v>
    <v>32</v>
    <v>33</v>
    <v>34</v>
    <v>35</v>
    <v>36</v>
    <v>37</v>
    <v>United Kingdom</v>
    <v>God Save The King</v>
    <v>38</v>
    <v>United Kingdom of Great Britain and Northern Ireland</v>
    <v>39</v>
    <v>40</v>
    <v>41</v>
    <v>42</v>
    <v>43</v>
    <v>44</v>
    <v>45</v>
    <v>46</v>
    <v>47</v>
    <v>48</v>
    <v>49</v>
    <v>54</v>
    <v>55</v>
    <v>56</v>
    <v>57</v>
    <v>58</v>
    <v>United Kingdom</v>
    <v>59</v>
    <v>mdp/vdpid/242</v>
  </rv>
  <rv s="0">
    <v>536870912</v>
    <v>Stratford-on-Avon District</v>
    <v>74e7ce55-5de6-c05b-e9d3-2a0b80786625</v>
    <v>en-GB</v>
    <v>Map</v>
  </rv>
  <rv s="0">
    <v>536870912</v>
    <v>West Midlands</v>
    <v>ebf29d74-994b-4ba6-bb68-c59c3dffec18</v>
    <v>en-GB</v>
    <v>Map</v>
  </rv>
  <rv s="0">
    <v>536870912</v>
    <v>Warwickshire</v>
    <v>f1173647-228f-1554-f0d8-39e325d478af</v>
    <v>en-GB</v>
    <v>Map</v>
  </rv>
  <rv s="2">
    <fb>977.86940000000004</fb>
    <v>10</v>
  </rv>
  <rv s="1">
    <v>2</v>
    <v>7</v>
    <v>38</v>
    <v>7</v>
    <v>0</v>
    <v>Image of Stratford-on-Avon District</v>
  </rv>
  <rv s="2">
    <fb>52.190199999999997</fb>
    <v>9</v>
  </rv>
  <rv s="4">
    <v>https://www.bing.com/search?q=stratford-on-avon+district+england&amp;form=skydnc</v>
    <v>Learn more on Bing</v>
  </rv>
  <rv s="2">
    <fb>-1.7087000000000001</fb>
    <v>9</v>
  </rv>
  <rv s="2">
    <fb>138583</fb>
    <v>10</v>
  </rv>
  <rv s="7">
    <v>#VALUE!</v>
    <v>en-GB</v>
    <v>74e7ce55-5de6-c05b-e9d3-2a0b80786625</v>
    <v>536870912</v>
    <v>1</v>
    <v>39</v>
    <v>40</v>
    <v>Stratford-on-Avon District</v>
    <v>5</v>
    <v>6</v>
    <v>Map</v>
    <v>7</v>
    <v>41</v>
    <v>62</v>
    <v>63</v>
    <v>64</v>
    <v>1</v>
    <v>Stratford-on-Avon is a local government district in Warwickshire, England. The district is named after its largest town of Stratford-upon-Avon, but with a change of preposition; the town uses "upon" and the district uses "on". The council is ...</v>
    <v>65</v>
    <v>66</v>
    <v>67</v>
    <v>68</v>
    <v>Stratford-on-Avon District</v>
    <v>69</v>
    <v>Stratford-on-Avon District</v>
    <v>mdp/vdpid/5471447099767783426</v>
  </rv>
  <rv s="0">
    <v>536870912</v>
    <v>Barford, Warwickshire</v>
    <v>9b8b5184-9458-7b45-bcdd-76e4305efb71</v>
    <v>en-GB</v>
    <v>Map</v>
  </rv>
  <rv s="0">
    <v>536870912</v>
    <v>Warwick District</v>
    <v>3e000995-04cf-3e58-dc3d-856ffbad4443</v>
    <v>en-GB</v>
    <v>Map</v>
  </rv>
  <rv s="1">
    <v>3</v>
    <v>7</v>
    <v>42</v>
    <v>7</v>
    <v>0</v>
    <v>Image of Barford, Warwickshire</v>
  </rv>
  <rv s="2">
    <fb>52.244999999999997</fb>
    <v>9</v>
  </rv>
  <rv s="4">
    <v>https://www.bing.com/search?q=barford+united+kingdom&amp;form=skydnc</v>
    <v>Learn more on Bing</v>
  </rv>
  <rv s="2">
    <fb>-1.605</fb>
    <v>9</v>
  </rv>
  <rv s="2">
    <fb>1336</fb>
    <v>10</v>
  </rv>
  <rv s="8">
    <v>#VALUE!</v>
    <v>en-GB</v>
    <v>9b8b5184-9458-7b45-bcdd-76e4305efb71</v>
    <v>536870912</v>
    <v>1</v>
    <v>44</v>
    <v>45</v>
    <v>Barford, Warwickshire</v>
    <v>5</v>
    <v>6</v>
    <v>Map</v>
    <v>7</v>
    <v>8</v>
    <v>63</v>
    <v>72</v>
    <v>1</v>
    <v>Barford is a village and civil parish in the Warwick district of Warwickshire, England, about three miles south of Warwick. As at the 2001 census the parish had a population of 1,171, that increased to 1,336 at the 2011 census. The Joint parish ...</v>
    <v>73</v>
    <v>74</v>
    <v>75</v>
    <v>76</v>
    <v>Barford, Warwickshire</v>
    <v>77</v>
    <v>Barford, Warwickshire</v>
    <v>mdp/vdpid/5471444652559171585</v>
  </rv>
  <rv s="0">
    <v>536870912</v>
    <v>Hampton Lucy</v>
    <v>637f0cc7-ef3d-d92f-13ae-ab9e3c61e921</v>
    <v>en-GB</v>
    <v>Map</v>
  </rv>
  <rv s="1">
    <v>4</v>
    <v>7</v>
    <v>46</v>
    <v>7</v>
    <v>0</v>
    <v>Image of Hampton Lucy</v>
  </rv>
  <rv s="2">
    <fb>52.211500000000001</fb>
    <v>9</v>
  </rv>
  <rv s="4">
    <v>https://www.bing.com/search?q=hampton+lucy+united+kingdom&amp;form=skydnc</v>
    <v>Learn more on Bing</v>
  </rv>
  <rv s="2">
    <fb>-1.62822</fb>
    <v>9</v>
  </rv>
  <rv s="2">
    <fb>566</fb>
    <v>10</v>
  </rv>
  <rv s="8">
    <v>#VALUE!</v>
    <v>en-GB</v>
    <v>637f0cc7-ef3d-d92f-13ae-ab9e3c61e921</v>
    <v>536870912</v>
    <v>1</v>
    <v>47</v>
    <v>45</v>
    <v>Hampton Lucy</v>
    <v>5</v>
    <v>6</v>
    <v>Map</v>
    <v>7</v>
    <v>8</v>
    <v>63</v>
    <v>61</v>
    <v>1</v>
    <v>Hampton Lucy is a village and civil parish on the River Avon, 4 miles northeast of Stratford-upon-Avon in Warwickshire England. The population of the civil parish as taken at the 2011 census was 566.</v>
    <v>80</v>
    <v>81</v>
    <v>82</v>
    <v>83</v>
    <v>Hampton Lucy</v>
    <v>84</v>
    <v>Hampton Lucy</v>
    <v>mdp/vdpid/5471444598687531009</v>
  </rv>
  <rv s="0">
    <v>536870912</v>
    <v>Welford-on-Avon</v>
    <v>2654f7aa-5723-2a78-f901-bcc7ccce3468</v>
    <v>en-GB</v>
    <v>Map</v>
  </rv>
  <rv s="1">
    <v>5</v>
    <v>7</v>
    <v>48</v>
    <v>7</v>
    <v>0</v>
    <v>Image of Welford-on-Avon</v>
  </rv>
  <rv s="2">
    <fb>52.168056111111099</fb>
    <v>9</v>
  </rv>
  <rv s="4">
    <v>https://www.bing.com/search?q=welford-on-avon+united+kingdom&amp;form=skydnc</v>
    <v>Learn more on Bing</v>
  </rv>
  <rv s="2">
    <fb>-1.78388888888889</fb>
    <v>9</v>
  </rv>
  <rv s="2">
    <fb>1420</fb>
    <v>10</v>
  </rv>
  <rv s="8">
    <v>#VALUE!</v>
    <v>en-GB</v>
    <v>2654f7aa-5723-2a78-f901-bcc7ccce3468</v>
    <v>536870912</v>
    <v>1</v>
    <v>49</v>
    <v>45</v>
    <v>Welford-on-Avon</v>
    <v>5</v>
    <v>6</v>
    <v>Map</v>
    <v>7</v>
    <v>8</v>
    <v>63</v>
    <v>61</v>
    <v>1</v>
    <v>Welford-on-Avon is a village situated some 4 miles west-south-west of Stratford-upon-Avon in the county of Warwickshire, England. The population was measured at 1,420 in the 2011 census. Until 1931, Welford-on-Avon was in Gloucestershire, when ...</v>
    <v>87</v>
    <v>88</v>
    <v>89</v>
    <v>90</v>
    <v>Welford-on-Avon</v>
    <v>91</v>
    <v>Welford-on-Avon</v>
    <v>mdp/vdpid/5471441330368413697</v>
  </rv>
  <rv s="0">
    <v>536870912</v>
    <v>Weston-on-Avon</v>
    <v>3d112dd6-c515-377e-9443-09a6f0a22f05</v>
    <v>en-GB</v>
    <v>Map</v>
  </rv>
  <rv s="1">
    <v>6</v>
    <v>7</v>
    <v>50</v>
    <v>7</v>
    <v>0</v>
    <v>Image of Weston-on-Avon</v>
  </rv>
  <rv s="2">
    <fb>52.164999999999999</fb>
    <v>9</v>
  </rv>
  <rv s="4">
    <v>https://www.bing.com/search?q=weston-on-avon+united+kingdom&amp;form=skydnc</v>
    <v>Learn more on Bing</v>
  </rv>
  <rv s="2">
    <fb>-1.77</fb>
    <v>9</v>
  </rv>
  <rv s="2">
    <fb>170</fb>
    <v>10</v>
  </rv>
  <rv s="8">
    <v>#VALUE!</v>
    <v>en-GB</v>
    <v>3d112dd6-c515-377e-9443-09a6f0a22f05</v>
    <v>536870912</v>
    <v>1</v>
    <v>51</v>
    <v>45</v>
    <v>Weston-on-Avon</v>
    <v>5</v>
    <v>6</v>
    <v>Map</v>
    <v>7</v>
    <v>8</v>
    <v>63</v>
    <v>61</v>
    <v>1</v>
    <v>Weston-on-Avon is a village in Warwickshire, England. The population of the Civil Parish taken at the 2011 census was 170. It is about 3 miles south-west of the town of Stratford-upon-Avon.</v>
    <v>94</v>
    <v>95</v>
    <v>96</v>
    <v>97</v>
    <v>Weston-on-Avon</v>
    <v>98</v>
    <v>Weston-on-Avon</v>
    <v>mdp/vdpid/5471441148872491009</v>
  </rv>
  <rv s="0">
    <v>536870912</v>
    <v>Stratford-upon-Avon</v>
    <v>2b297c45-3f1d-01b3-1073-d7e54eb4913e</v>
    <v>en-GB</v>
    <v>Map</v>
  </rv>
  <rv s="1">
    <v>7</v>
    <v>7</v>
    <v>52</v>
    <v>7</v>
    <v>0</v>
    <v>Image of Stratford-upon-Avon</v>
  </rv>
  <rv s="2">
    <fb>52.192777777777799</fb>
    <v>9</v>
  </rv>
  <rv s="4">
    <v>https://www.bing.com/search?q=stratford-upon-avon&amp;form=skydnc</v>
    <v>Learn more on Bing</v>
  </rv>
  <rv s="2">
    <fb>-1.7063888888888901</fb>
    <v>9</v>
  </rv>
  <rv s="2">
    <fb>30495</fb>
    <v>10</v>
  </rv>
  <rv s="8">
    <v>#VALUE!</v>
    <v>en-GB</v>
    <v>2b297c45-3f1d-01b3-1073-d7e54eb4913e</v>
    <v>536870912</v>
    <v>1</v>
    <v>53</v>
    <v>45</v>
    <v>Stratford-upon-Avon</v>
    <v>5</v>
    <v>6</v>
    <v>Map</v>
    <v>7</v>
    <v>54</v>
    <v>63</v>
    <v>61</v>
    <v>1</v>
    <v>Stratford-upon-Avon, commonly known as just Stratford, is a market town and civil parish in the Stratford-on-Avon district, in the county of Warwickshire, in the West Midlands region of England. It is situated on the River Avon, 91 miles ...</v>
    <v>101</v>
    <v>102</v>
    <v>103</v>
    <v>104</v>
    <v>Stratford-upon-Avon</v>
    <v>105</v>
    <v>Stratford-upon-Avon</v>
    <v>mdp/vdpid/5471543820837453826</v>
  </rv>
  <rv s="0">
    <v>536870912</v>
    <v>Newbold on Stour</v>
    <v>9e9a4b89-29df-7029-dd30-588fa0c3c5f4</v>
    <v>en-GB</v>
    <v>Map</v>
  </rv>
  <rv s="0">
    <v>536870912</v>
    <v>Tredington</v>
    <v>85320d9f-4276-b087-d198-cb8be930e96a</v>
    <v>en-GB</v>
    <v>Map</v>
  </rv>
  <rv s="1">
    <v>8</v>
    <v>7</v>
    <v>55</v>
    <v>7</v>
    <v>0</v>
    <v>Image of Newbold on Stour</v>
  </rv>
  <rv s="2">
    <fb>52.113999999999997</fb>
    <v>9</v>
  </rv>
  <rv s="4">
    <v>https://www.bing.com/search?q=newbold+on+stour+united+kingdom&amp;form=skydnc</v>
    <v>Learn more on Bing</v>
  </rv>
  <rv s="2">
    <fb>-1.64</fb>
    <v>9</v>
  </rv>
  <rv s="9">
    <v>#VALUE!</v>
    <v>en-GB</v>
    <v>9e9a4b89-29df-7029-dd30-588fa0c3c5f4</v>
    <v>536870912</v>
    <v>1</v>
    <v>56</v>
    <v>57</v>
    <v>Newbold on Stour</v>
    <v>5</v>
    <v>6</v>
    <v>Map</v>
    <v>7</v>
    <v>61</v>
    <v>108</v>
    <v>1</v>
    <v>Newbold on Stour is a village in Warwickshire about 6 miles south of Stratford upon Avon. Population details are included within Tredington. The Church of England parish church of Saint David was built in 1833. It was restored in 1884-89 and the ...</v>
    <v>109</v>
    <v>110</v>
    <v>111</v>
    <v>112</v>
    <v>Newbold on Stour</v>
    <v>Newbold on Stour</v>
    <v>mdp/vdpid/5471448644479614978</v>
  </rv>
  <rv s="0">
    <v>536870912</v>
    <v>Preston on Stour</v>
    <v>081246a2-a14a-85d1-10b2-5a0e08853751</v>
    <v>en-GB</v>
    <v>Map</v>
  </rv>
  <rv s="1">
    <v>9</v>
    <v>7</v>
    <v>58</v>
    <v>7</v>
    <v>0</v>
    <v>Image of Preston on Stour</v>
  </rv>
  <rv s="2">
    <fb>52.147300000000001</fb>
    <v>9</v>
  </rv>
  <rv s="4">
    <v>https://www.bing.com/search?q=preston+on+stour+united+kingdom&amp;form=skydnc</v>
    <v>Learn more on Bing</v>
  </rv>
  <rv s="2">
    <fb>-1.70418</fb>
    <v>9</v>
  </rv>
  <rv s="2">
    <fb>244</fb>
    <v>10</v>
  </rv>
  <rv s="8">
    <v>#VALUE!</v>
    <v>en-GB</v>
    <v>081246a2-a14a-85d1-10b2-5a0e08853751</v>
    <v>536870912</v>
    <v>1</v>
    <v>59</v>
    <v>45</v>
    <v>Preston on Stour</v>
    <v>5</v>
    <v>6</v>
    <v>Map</v>
    <v>7</v>
    <v>8</v>
    <v>63</v>
    <v>61</v>
    <v>1</v>
    <v>Preston on Stour is a village and civil parish in Warwickshire, England.</v>
    <v>115</v>
    <v>116</v>
    <v>117</v>
    <v>118</v>
    <v>Preston on Stour</v>
    <v>119</v>
    <v>Preston on Stour</v>
    <v>mdp/vdpid/5471447378202460162</v>
  </rv>
  <rv s="0">
    <v>536870912</v>
    <v>Shipston-on-Stour</v>
    <v>387675ab-9b56-a990-14b5-ec67abe6ff11</v>
    <v>en-GB</v>
    <v>Map</v>
  </rv>
  <rv s="2">
    <fb>4.92</fb>
    <v>10</v>
  </rv>
  <rv s="1">
    <v>10</v>
    <v>7</v>
    <v>61</v>
    <v>7</v>
    <v>0</v>
    <v>Image of Shipston-on-Stour</v>
  </rv>
  <rv s="2">
    <fb>52.06</fb>
    <v>9</v>
  </rv>
  <rv s="4">
    <v>https://www.bing.com/search?q=shipston-on-stour&amp;form=skydnc</v>
    <v>Learn more on Bing</v>
  </rv>
  <rv s="2">
    <fb>-1.623</fb>
    <v>9</v>
  </rv>
  <rv s="2">
    <fb>5038</fb>
    <v>10</v>
  </rv>
  <rv s="10">
    <v>#VALUE!</v>
    <v>en-GB</v>
    <v>387675ab-9b56-a990-14b5-ec67abe6ff11</v>
    <v>536870912</v>
    <v>1</v>
    <v>62</v>
    <v>63</v>
    <v>Shipston-on-Stour</v>
    <v>5</v>
    <v>6</v>
    <v>Map</v>
    <v>7</v>
    <v>64</v>
    <v>61</v>
    <v>122</v>
    <v>1</v>
    <v>Shipston-on-Stour is a town and civil parish in the Stratford-on-Avon District in southern Warwickshire, England. It is located on the banks of the River Stour, 9 miles south-southeast of Stratford-upon-Avon, 10 miles north-northwest of Chipping ...</v>
    <v>123</v>
    <v>124</v>
    <v>125</v>
    <v>126</v>
    <v>Shipston-on-Stour</v>
    <v>127</v>
    <v>Shipston-on-Stour</v>
    <v>mdp/vdpid/5471448928735985665</v>
  </rv>
  <rv s="0">
    <v>536870912</v>
    <v>Ilmington</v>
    <v>ea9dbfd0-e63c-f791-93a0-7cb18f375fae</v>
    <v>en-GB</v>
    <v>Map</v>
  </rv>
  <rv s="1">
    <v>11</v>
    <v>7</v>
    <v>65</v>
    <v>7</v>
    <v>0</v>
    <v>Image of Ilmington</v>
  </rv>
  <rv s="2">
    <fb>52.09</fb>
    <v>9</v>
  </rv>
  <rv s="4">
    <v>https://www.bing.com/search?q=ilmington+united+kingdom&amp;form=skydnc</v>
    <v>Learn more on Bing</v>
  </rv>
  <rv s="2">
    <fb>-1.6930000000000001</fb>
    <v>9</v>
  </rv>
  <rv s="2">
    <fb>712</fb>
    <v>10</v>
  </rv>
  <rv s="8">
    <v>#VALUE!</v>
    <v>en-GB</v>
    <v>ea9dbfd0-e63c-f791-93a0-7cb18f375fae</v>
    <v>536870912</v>
    <v>1</v>
    <v>66</v>
    <v>45</v>
    <v>Ilmington</v>
    <v>5</v>
    <v>6</v>
    <v>Map</v>
    <v>7</v>
    <v>8</v>
    <v>63</v>
    <v>61</v>
    <v>1</v>
    <v>Ilmington is a village and civil parish about 3.5 miles north-west of Shipston-on-Stour and 8 miles south of Stratford-upon-Avon in the Cotswolds in Warwickshire, England. The population of the civil parish taken at the 2011 census was 712. ...</v>
    <v>130</v>
    <v>131</v>
    <v>132</v>
    <v>133</v>
    <v>Ilmington</v>
    <v>134</v>
    <v>Ilmington</v>
    <v>mdp/vdpid/5471448276421050369</v>
  </rv>
  <rv s="0">
    <v>536870912</v>
    <v>Clifford Chambers</v>
    <v>7d0cec8f-2f4e-c646-a92b-77132aad85ce</v>
    <v>en-GB</v>
    <v>Map</v>
  </rv>
  <rv s="0">
    <v>536870912</v>
    <v>Clifford Chambers and Milcote</v>
    <v>7e699753-7a83-45a4-ba7f-e829429e8399</v>
    <v>en-GB</v>
    <v>Map</v>
  </rv>
  <rv s="1">
    <v>12</v>
    <v>7</v>
    <v>67</v>
    <v>7</v>
    <v>0</v>
    <v>Image of Clifford Chambers</v>
  </rv>
  <rv s="2">
    <fb>52.1676</fb>
    <v>9</v>
  </rv>
  <rv s="4">
    <v>https://www.bing.com/search?q=clifford+chambers+united+kingdom&amp;form=skydnc</v>
    <v>Learn more on Bing</v>
  </rv>
  <rv s="2">
    <fb>-1.7126399999999999</fb>
    <v>9</v>
  </rv>
  <rv s="2">
    <fb>418</fb>
    <v>10</v>
  </rv>
  <rv s="8">
    <v>#VALUE!</v>
    <v>en-GB</v>
    <v>7d0cec8f-2f4e-c646-a92b-77132aad85ce</v>
    <v>536870912</v>
    <v>1</v>
    <v>69</v>
    <v>45</v>
    <v>Clifford Chambers</v>
    <v>5</v>
    <v>6</v>
    <v>Map</v>
    <v>7</v>
    <v>70</v>
    <v>61</v>
    <v>137</v>
    <v>1</v>
    <v>Clifford Chambers is a village and former civil parish two miles south of Stratford-upon-Avon town centre, in Warwickshire, England. It is on the B4632 road and one mile south of the A3400. It consists of 150 houses and the population of the ...</v>
    <v>138</v>
    <v>139</v>
    <v>140</v>
    <v>141</v>
    <v>Clifford Chambers</v>
    <v>142</v>
    <v>Clifford Chambers</v>
    <v>mdp/vdpid/5471447065491931137</v>
  </rv>
  <rv s="0">
    <v>536870912</v>
    <v>Alveston, Warwickshire</v>
    <v>9cd58e3e-e90c-faf4-d983-11104102da34</v>
    <v>en-GB</v>
    <v>Map</v>
  </rv>
  <rv s="1">
    <v>13</v>
    <v>7</v>
    <v>71</v>
    <v>7</v>
    <v>0</v>
    <v>Image of Alveston, Warwickshire</v>
  </rv>
  <rv s="2">
    <fb>52.2</fb>
    <v>9</v>
  </rv>
  <rv s="4">
    <v>https://www.bing.com/search?q=alveston%2c+warwickshire+united+kingdom&amp;form=skydnc</v>
    <v>Learn more on Bing</v>
  </rv>
  <rv s="2">
    <fb>-1.66</fb>
    <v>9</v>
  </rv>
  <rv s="9">
    <v>#VALUE!</v>
    <v>en-GB</v>
    <v>9cd58e3e-e90c-faf4-d983-11104102da34</v>
    <v>536870912</v>
    <v>1</v>
    <v>72</v>
    <v>57</v>
    <v>Alveston, Warwickshire</v>
    <v>5</v>
    <v>6</v>
    <v>Map</v>
    <v>7</v>
    <v>61</v>
    <v>100</v>
    <v>1</v>
    <v>Alveston is a village and former civil parish, now in the parish of Stratford-upon-Avon, and around 2 miles north-east of Stratford town centre, in the Stratford-on-Avon district, in the county of Warwickshire, England. It is located to the ...</v>
    <v>145</v>
    <v>146</v>
    <v>147</v>
    <v>148</v>
    <v>Alveston, Warwickshire</v>
    <v>Alveston, Warwickshire</v>
    <v>mdp/vdpid/5471447137331970049</v>
  </rv>
  <rv s="0">
    <v>536870912</v>
    <v>Stretton-on-Fosse</v>
    <v>82fecb08-c3f2-cfcc-f077-5c857d9e6ae8</v>
    <v>en-GB</v>
    <v>Map</v>
  </rv>
  <rv s="1">
    <v>14</v>
    <v>7</v>
    <v>73</v>
    <v>7</v>
    <v>0</v>
    <v>Image of Stretton-on-Fosse</v>
  </rv>
  <rv s="2">
    <fb>52.043999999999997</fb>
    <v>9</v>
  </rv>
  <rv s="4">
    <v>https://www.bing.com/search?q=stretton-on-fosse&amp;form=skydnc</v>
    <v>Learn more on Bing</v>
  </rv>
  <rv s="2">
    <fb>-1.6779999999999999</fb>
    <v>9</v>
  </rv>
  <rv s="2">
    <fb>439</fb>
    <v>10</v>
  </rv>
  <rv s="8">
    <v>#VALUE!</v>
    <v>en-GB</v>
    <v>82fecb08-c3f2-cfcc-f077-5c857d9e6ae8</v>
    <v>536870912</v>
    <v>1</v>
    <v>74</v>
    <v>45</v>
    <v>Stretton-on-Fosse</v>
    <v>5</v>
    <v>6</v>
    <v>Map</v>
    <v>7</v>
    <v>8</v>
    <v>63</v>
    <v>61</v>
    <v>1</v>
    <v>Stretton-on-Fosse is a village in the Stratford-on-Avon District in Warwickshire, England. It is situated between the towns of Moreton-in-Marsh and Shipston-on-Stour. The village is situated along the ancient Fosse Way road which runs from ...</v>
    <v>151</v>
    <v>152</v>
    <v>153</v>
    <v>154</v>
    <v>Stretton-on-Fosse</v>
    <v>155</v>
    <v>Stretton-on-Fosse</v>
    <v>mdp/vdpid/5471448578478047233</v>
  </rv>
  <rv s="0">
    <v>536870912</v>
    <v>Snitterfield</v>
    <v>aca09362-769f-8641-a7d6-a673e1efcf51</v>
    <v>en-GB</v>
    <v>Map</v>
  </rv>
  <rv s="1">
    <v>15</v>
    <v>7</v>
    <v>75</v>
    <v>7</v>
    <v>0</v>
    <v>Image of Snitterfield</v>
  </rv>
  <rv s="2">
    <fb>52.236472222221998</fb>
    <v>9</v>
  </rv>
  <rv s="4">
    <v>https://www.bing.com/search?q=snitterfield&amp;form=skydnc</v>
    <v>Learn more on Bing</v>
  </rv>
  <rv s="2">
    <fb>-1.6870027777778001</fb>
    <v>9</v>
  </rv>
  <rv s="2">
    <fb>1226</fb>
    <v>10</v>
  </rv>
  <rv s="8">
    <v>#VALUE!</v>
    <v>en-GB</v>
    <v>aca09362-769f-8641-a7d6-a673e1efcf51</v>
    <v>536870912</v>
    <v>1</v>
    <v>76</v>
    <v>45</v>
    <v>Snitterfield</v>
    <v>5</v>
    <v>6</v>
    <v>Map</v>
    <v>7</v>
    <v>8</v>
    <v>63</v>
    <v>61</v>
    <v>1</v>
    <v>Snitterfield is a village and civil parish in the Stratford on Avon district of Warwickshire, England, less than 1 mile to the north of the A46 road, 4.5 miles from Stratford upon Avon, 6.5 miles from Warwick and 17 miles from Coventry. The ...</v>
    <v>158</v>
    <v>159</v>
    <v>160</v>
    <v>161</v>
    <v>Snitterfield</v>
    <v>162</v>
    <v>Snitterfield</v>
    <v>mdp/vdpid/5471444118305505281</v>
  </rv>
  <rv s="0">
    <v>536870912</v>
    <v>Norton Lindsey</v>
    <v>19590651-e5ca-bbf0-1d3a-c5e163935bda</v>
    <v>en-GB</v>
    <v>Map</v>
  </rv>
  <rv s="1">
    <v>16</v>
    <v>7</v>
    <v>77</v>
    <v>7</v>
    <v>0</v>
    <v>Image of Norton Lindsey</v>
  </rv>
  <rv s="2">
    <fb>52.25</fb>
    <v>9</v>
  </rv>
  <rv s="4">
    <v>https://www.bing.com/search?q=norton+lindsey&amp;form=skydnc</v>
    <v>Learn more on Bing</v>
  </rv>
  <rv s="2">
    <fb>-1.6666700000000001</fb>
    <v>9</v>
  </rv>
  <rv s="9">
    <v>#VALUE!</v>
    <v>en-GB</v>
    <v>19590651-e5ca-bbf0-1d3a-c5e163935bda</v>
    <v>536870912</v>
    <v>1</v>
    <v>78</v>
    <v>57</v>
    <v>Norton Lindsey</v>
    <v>5</v>
    <v>6</v>
    <v>Map</v>
    <v>7</v>
    <v>63</v>
    <v>72</v>
    <v>1</v>
    <v>Norton Lindsey is a village and civil parish in Warwickshire, England, 3.5 miles south-west of the tourist and county town of Warwick and a mile west of the M40 motorway. At the 2011 census, the parish had a population of 326. The village takes ...</v>
    <v>165</v>
    <v>166</v>
    <v>167</v>
    <v>168</v>
    <v>Norton Lindsey</v>
    <v>Norton Lindsey</v>
    <v>mdp/vdpid/5471444279182229505</v>
  </rv>
  <rv s="0">
    <v>536870912</v>
    <v>Wychavon</v>
    <v>03cd29c7-cf9e-48bc-d461-309a2fc1efed</v>
    <v>en-GB</v>
    <v>Map</v>
  </rv>
  <rv s="0">
    <v>536870912</v>
    <v>Worcestershire</v>
    <v>92b6b35e-17f8-7d50-a89b-650c809a2158</v>
    <v>en-GB</v>
    <v>Map</v>
  </rv>
  <rv s="2">
    <fb>663.54179999999997</fb>
    <v>10</v>
  </rv>
  <rv s="1">
    <v>17</v>
    <v>7</v>
    <v>79</v>
    <v>7</v>
    <v>0</v>
    <v>Image of Wychavon</v>
  </rv>
  <rv s="4">
    <v>https://www.bing.com/search?q=wychavon&amp;form=skydnc</v>
    <v>Learn more on Bing</v>
  </rv>
  <rv s="2">
    <fb>-2.081</fb>
    <v>9</v>
  </rv>
  <rv s="2">
    <fb>134536</fb>
    <v>10</v>
  </rv>
  <rv s="7">
    <v>#VALUE!</v>
    <v>en-GB</v>
    <v>03cd29c7-cf9e-48bc-d461-309a2fc1efed</v>
    <v>536870912</v>
    <v>1</v>
    <v>80</v>
    <v>40</v>
    <v>Wychavon</v>
    <v>5</v>
    <v>6</v>
    <v>Map</v>
    <v>7</v>
    <v>41</v>
    <v>62</v>
    <v>171</v>
    <v>172</v>
    <v>1</v>
    <v>Wychavon is a local government district in Worcestershire, England, with a population size of 132,500 according to the 2021 census. Its council is based in the town of Pershore, and the other towns in the district are Droitwich Spa and Evesham. ...</v>
    <v>173</v>
    <v>110</v>
    <v>174</v>
    <v>175</v>
    <v>Wychavon</v>
    <v>176</v>
    <v>Wychavon</v>
    <v>mdp/vdpid/5471438368720027649</v>
  </rv>
  <rv s="0">
    <v>536870912</v>
    <v>Pershore</v>
    <v>9b2e51f0-ae4e-e8ea-d6ba-1b416b0214fe</v>
    <v>en-GB</v>
    <v>Map</v>
  </rv>
  <rv s="1">
    <v>18</v>
    <v>7</v>
    <v>81</v>
    <v>7</v>
    <v>0</v>
    <v>Image of Pershore</v>
  </rv>
  <rv s="4">
    <v>https://www.bing.com/search?q=pershore+uk&amp;form=skydnc</v>
    <v>Learn more on Bing</v>
  </rv>
  <rv s="2">
    <fb>-2.08</fb>
    <v>9</v>
  </rv>
  <rv s="2">
    <fb>7065</fb>
    <v>10</v>
  </rv>
  <rv s="8">
    <v>#VALUE!</v>
    <v>en-GB</v>
    <v>9b2e51f0-ae4e-e8ea-d6ba-1b416b0214fe</v>
    <v>536870912</v>
    <v>1</v>
    <v>82</v>
    <v>45</v>
    <v>Pershore</v>
    <v>5</v>
    <v>6</v>
    <v>Map</v>
    <v>7</v>
    <v>8</v>
    <v>171</v>
    <v>170</v>
    <v>1</v>
    <v>Pershore is a market town and civil parish in the Wychavon district in Worcestershire, England, on the banks of the River Avon. At the 2011 census, the population was 7,125. The town is best known for Pershore Abbey. Pershore is situated 6 miles ...</v>
    <v>179</v>
    <v>110</v>
    <v>180</v>
    <v>181</v>
    <v>Pershore</v>
    <v>182</v>
    <v>Pershore</v>
    <v>mdp/vdpid/5471438547615481857</v>
  </rv>
  <rv s="0">
    <v>536870912</v>
    <v>Preston Bagot</v>
    <v>397241c8-a7a9-cfe1-2b75-5af97c003e4c</v>
    <v>en-GB</v>
    <v>Map</v>
  </rv>
  <rv s="1">
    <v>19</v>
    <v>7</v>
    <v>83</v>
    <v>7</v>
    <v>0</v>
    <v>Image of Preston Bagot</v>
  </rv>
  <rv s="2">
    <fb>52.288899999999998</fb>
    <v>9</v>
  </rv>
  <rv s="4">
    <v>https://www.bing.com/search?q=preston+bagot&amp;form=skydnc</v>
    <v>Learn more on Bing</v>
  </rv>
  <rv s="2">
    <fb>-1.7478</fb>
    <v>9</v>
  </rv>
  <rv s="2">
    <fb>127</fb>
    <v>10</v>
  </rv>
  <rv s="8">
    <v>#VALUE!</v>
    <v>en-GB</v>
    <v>397241c8-a7a9-cfe1-2b75-5af97c003e4c</v>
    <v>536870912</v>
    <v>1</v>
    <v>84</v>
    <v>45</v>
    <v>Preston Bagot</v>
    <v>5</v>
    <v>6</v>
    <v>Map</v>
    <v>7</v>
    <v>8</v>
    <v>63</v>
    <v>61</v>
    <v>1</v>
    <v>Preston Bagot is a village and civil parish in the Stratford district of Warwickshire, England, about 6 miles west of the county town of Warwick. According to the 2001 census the population was 147, reducing to 127 at the 2011 census.</v>
    <v>185</v>
    <v>186</v>
    <v>187</v>
    <v>188</v>
    <v>Preston Bagot</v>
    <v>189</v>
    <v>Preston Bagot</v>
    <v>mdp/vdpid/5471443656713961473</v>
  </rv>
  <rv s="0">
    <v>536870912</v>
    <v>Wyre Piddle</v>
    <v>4c2c67f8-1a6d-6ec1-6474-fad94b9ddd75</v>
    <v>en-GB</v>
    <v>Map</v>
  </rv>
  <rv s="1">
    <v>20</v>
    <v>7</v>
    <v>85</v>
    <v>7</v>
    <v>0</v>
    <v>Image of Wyre Piddle</v>
  </rv>
  <rv s="2">
    <fb>52.124499999999998</fb>
    <v>9</v>
  </rv>
  <rv s="4">
    <v>https://www.bing.com/search?q=wyre+piddle+united+kingdom&amp;form=skydnc</v>
    <v>Learn more on Bing</v>
  </rv>
  <rv s="2">
    <fb>-2.0508999999999999</fb>
    <v>9</v>
  </rv>
  <rv s="2">
    <fb>617</fb>
    <v>10</v>
  </rv>
  <rv s="8">
    <v>#VALUE!</v>
    <v>en-GB</v>
    <v>4c2c67f8-1a6d-6ec1-6474-fad94b9ddd75</v>
    <v>536870912</v>
    <v>1</v>
    <v>86</v>
    <v>45</v>
    <v>Wyre Piddle</v>
    <v>5</v>
    <v>6</v>
    <v>Map</v>
    <v>7</v>
    <v>8</v>
    <v>171</v>
    <v>170</v>
    <v>1</v>
    <v>Wyre Piddle is a village and civil parish in the Wychavon district of Worcestershire, England. It is on the River Avon, near where that river is joined by the Piddle Brook - between Evesham and Pershore.</v>
    <v>192</v>
    <v>193</v>
    <v>194</v>
    <v>195</v>
    <v>Wyre Piddle</v>
    <v>196</v>
    <v>Wyre Piddle</v>
    <v>mdp/vdpid/5471438650845691905</v>
  </rv>
  <rv s="0">
    <v>536870912</v>
    <v>Whichford</v>
    <v>a65e6217-d086-879f-aaa0-c318dcac3a9b</v>
    <v>en-GB</v>
    <v>Map</v>
  </rv>
  <rv s="1">
    <v>21</v>
    <v>7</v>
    <v>87</v>
    <v>7</v>
    <v>0</v>
    <v>Image of Whichford</v>
  </rv>
  <rv s="2">
    <fb>52.01</fb>
    <v>9</v>
  </rv>
  <rv s="4">
    <v>https://www.bing.com/search?q=whichford+united+kingdom&amp;form=skydnc</v>
    <v>Learn more on Bing</v>
  </rv>
  <rv s="2">
    <fb>-1.544</fb>
    <v>9</v>
  </rv>
  <rv s="2">
    <fb>336</fb>
    <v>10</v>
  </rv>
  <rv s="8">
    <v>#VALUE!</v>
    <v>en-GB</v>
    <v>a65e6217-d086-879f-aaa0-c318dcac3a9b</v>
    <v>536870912</v>
    <v>1</v>
    <v>88</v>
    <v>45</v>
    <v>Whichford</v>
    <v>5</v>
    <v>6</v>
    <v>Map</v>
    <v>7</v>
    <v>8</v>
    <v>63</v>
    <v>61</v>
    <v>1</v>
    <v>Whichford is a village and civil parish in Warwickshire, England, about 5 miles southeast of Shipston-on-Stour. The parish adjoins the county boundary with Oxfordshire and the village is about 4+1⁄2 miles north of the Oxfordshire town of ...</v>
    <v>199</v>
    <v>200</v>
    <v>201</v>
    <v>202</v>
    <v>Whichford</v>
    <v>203</v>
    <v>Whichford</v>
    <v>mdp/vdpid/5471638311627915265</v>
  </rv>
  <rv s="0">
    <v>536870912</v>
    <v>Ascott, Warwickshire</v>
    <v>ff3b2d8c-84c9-7d26-08a0-68d723628ac4</v>
    <v>en-GB</v>
    <v>Map</v>
  </rv>
  <rv s="1">
    <v>22</v>
    <v>7</v>
    <v>89</v>
    <v>7</v>
    <v>0</v>
    <v>Image of Ascott, Warwickshire</v>
  </rv>
  <rv s="4">
    <v>https://www.bing.com/search?q=ascott%2c+warwickshire+united+kingdom&amp;form=skydnc</v>
    <v>Learn more on Bing</v>
  </rv>
  <rv s="2">
    <fb>-1.5309999999999999</fb>
    <v>9</v>
  </rv>
  <rv s="9">
    <v>#VALUE!</v>
    <v>en-GB</v>
    <v>ff3b2d8c-84c9-7d26-08a0-68d723628ac4</v>
    <v>536870912</v>
    <v>1</v>
    <v>90</v>
    <v>57</v>
    <v>Ascott, Warwickshire</v>
    <v>5</v>
    <v>6</v>
    <v>Map</v>
    <v>7</v>
    <v>61</v>
    <v>198</v>
    <v>1</v>
    <v>Ascott is a village in Warwickshire, England. Population details can be found under Whichford.</v>
    <v>206</v>
    <v>200</v>
    <v>207</v>
    <v>208</v>
    <v>Ascott, Warwickshire</v>
    <v>Ascott, Warwickshire</v>
    <v>mdp/vdpid/5471638416149970945</v>
  </rv>
  <rv s="0">
    <v>536870912</v>
    <v>Cotswold District</v>
    <v>54ec5175-10c5-2461-18f8-4d369af65b5d</v>
    <v>en-GB</v>
    <v>Map</v>
  </rv>
  <rv s="0">
    <v>536870912</v>
    <v>Gloucestershire</v>
    <v>eab8d5d9-01a7-f0db-d230-ec907f822254</v>
    <v>en-GB</v>
    <v>Map</v>
  </rv>
  <rv s="2">
    <fb>1164.5242000000001</fb>
    <v>10</v>
  </rv>
  <rv s="1">
    <v>23</v>
    <v>7</v>
    <v>91</v>
    <v>7</v>
    <v>0</v>
    <v>Image of Cotswold District</v>
  </rv>
  <rv s="2">
    <fb>51.719000000000001</fb>
    <v>9</v>
  </rv>
  <rv s="4">
    <v>https://www.bing.com/search?q=cotswold+district+england&amp;form=skydnc</v>
    <v>Learn more on Bing</v>
  </rv>
  <rv s="2">
    <fb>-1.968</fb>
    <v>9</v>
  </rv>
  <rv s="2">
    <fb>91311</fb>
    <v>10</v>
  </rv>
  <rv s="10">
    <v>#VALUE!</v>
    <v>en-GB</v>
    <v>54ec5175-10c5-2461-18f8-4d369af65b5d</v>
    <v>536870912</v>
    <v>1</v>
    <v>92</v>
    <v>63</v>
    <v>Cotswold District</v>
    <v>5</v>
    <v>6</v>
    <v>Map</v>
    <v>7</v>
    <v>41</v>
    <v>211</v>
    <v>212</v>
    <v>1</v>
    <v>Cotswold is a local government district in Gloucestershire, England. It is named after the wider Cotswolds region and range of hills. The council is based in the district's largest town of Cirencester. The district also includes the towns of ...</v>
    <v>213</v>
    <v>214</v>
    <v>215</v>
    <v>216</v>
    <v>Cotswold District</v>
    <v>217</v>
    <v>Cotswold District</v>
    <v>mdp/vdpid/5471633737168977930</v>
  </rv>
  <rv s="0">
    <v>536870912</v>
    <v>Chipping Campden</v>
    <v>4e018309-4c14-4f84-d9d8-b1fee60a35c1</v>
    <v>en-GB</v>
    <v>Map</v>
  </rv>
  <rv s="1">
    <v>24</v>
    <v>7</v>
    <v>93</v>
    <v>7</v>
    <v>0</v>
    <v>Image of Chipping Campden</v>
  </rv>
  <rv s="2">
    <fb>52.054000000000002</fb>
    <v>9</v>
  </rv>
  <rv s="4">
    <v>https://www.bing.com/search?q=chipping+campden&amp;form=skydnc</v>
    <v>Learn more on Bing</v>
  </rv>
  <rv s="2">
    <fb>-1.7729999999999999</fb>
    <v>9</v>
  </rv>
  <rv s="2">
    <fb>2288</fb>
    <v>10</v>
  </rv>
  <rv s="11">
    <v>#VALUE!</v>
    <v>en-GB</v>
    <v>4e018309-4c14-4f84-d9d8-b1fee60a35c1</v>
    <v>536870912</v>
    <v>1</v>
    <v>95</v>
    <v>96</v>
    <v>Chipping Campden</v>
    <v>5</v>
    <v>6</v>
    <v>Map</v>
    <v>7</v>
    <v>8</v>
    <v>210</v>
    <v>1</v>
    <v>Chipping Campden is a market town in the Cotswold district of Gloucestershire, England. A wool trading centre in the Middle Ages, Chipping Campden enjoyed the patronage of wealthy wool merchants, most notably William Greville. The High Street is ...</v>
    <v>220</v>
    <v>221</v>
    <v>222</v>
    <v>223</v>
    <v>Chipping Campden</v>
    <v>224</v>
    <v>Chipping Campden</v>
    <v>mdp/vdpid/5471442428118433793</v>
  </rv>
  <rv s="0">
    <v>536870912</v>
    <v>Bredon</v>
    <v>155a3d9e-a52f-d616-9a27-2cbc75969d14</v>
    <v>en-GB</v>
    <v>Map</v>
  </rv>
  <rv s="1">
    <v>25</v>
    <v>7</v>
    <v>97</v>
    <v>7</v>
    <v>0</v>
    <v>Image of Bredon</v>
  </rv>
  <rv s="2">
    <fb>52.03</fb>
    <v>9</v>
  </rv>
  <rv s="4">
    <v>https://www.bing.com/search?q=bredon+united+kingdom&amp;form=skydnc</v>
    <v>Learn more on Bing</v>
  </rv>
  <rv s="2">
    <fb>-2.117</fb>
    <v>9</v>
  </rv>
  <rv s="2">
    <fb>2542</fb>
    <v>10</v>
  </rv>
  <rv s="8">
    <v>#VALUE!</v>
    <v>en-GB</v>
    <v>155a3d9e-a52f-d616-9a27-2cbc75969d14</v>
    <v>536870912</v>
    <v>1</v>
    <v>98</v>
    <v>45</v>
    <v>Bredon</v>
    <v>5</v>
    <v>6</v>
    <v>Map</v>
    <v>7</v>
    <v>8</v>
    <v>171</v>
    <v>170</v>
    <v>1</v>
    <v>Bredon is a village and civil parish in Wychavon district at the southern edge of Worcestershire in England. It lies on the banks of the River Avon on the lower slopes of Bredon Hill.</v>
    <v>227</v>
    <v>228</v>
    <v>229</v>
    <v>230</v>
    <v>Bredon</v>
    <v>231</v>
    <v>Bredon</v>
    <v>mdp/vdpid/5471416134630637569</v>
  </rv>
  <rv s="0">
    <v>536870912</v>
    <v>Church Lench</v>
    <v>2eaef3cd-6421-11ec-4f63-c67681ef706b</v>
    <v>en-GB</v>
    <v>Map</v>
  </rv>
  <rv s="1">
    <v>26</v>
    <v>7</v>
    <v>99</v>
    <v>7</v>
    <v>0</v>
    <v>Image of Church Lench</v>
  </rv>
  <rv s="2">
    <fb>52.159638888888999</fb>
    <v>9</v>
  </rv>
  <rv s="4">
    <v>https://www.bing.com/search?q=church+lench+wychavon&amp;form=skydnc</v>
    <v>Learn more on Bing</v>
  </rv>
  <rv s="2">
    <fb>-1.9630000000000001</fb>
    <v>9</v>
  </rv>
  <rv s="12">
    <v>#VALUE!</v>
    <v>en-GB</v>
    <v>2eaef3cd-6421-11ec-4f63-c67681ef706b</v>
    <v>536870912</v>
    <v>1</v>
    <v>100</v>
    <v>101</v>
    <v>Church Lench</v>
    <v>5</v>
    <v>6</v>
    <v>Map</v>
    <v>7</v>
    <v>170</v>
    <v>1</v>
    <v>Church Lench is a village and former civil parish, now in the parish of South Lenches, in the Wychavon district, in the county of Worcestershire, England, approximately 5.5 miles due north of Evesham and 13 miles due west of Stratford-upon-Avon. ...</v>
    <v>234</v>
    <v>235</v>
    <v>236</v>
    <v>237</v>
    <v>Church Lench</v>
    <v>Church Lench</v>
    <v>mdp/vdpid/5471439133844963329</v>
  </rv>
  <rv s="0">
    <v>536870912</v>
    <v>Ab Lench</v>
    <v>d995ec4f-7c93-105e-e30c-57591966b815</v>
    <v>en-GB</v>
    <v>Map</v>
  </rv>
  <rv s="1">
    <v>27</v>
    <v>7</v>
    <v>102</v>
    <v>7</v>
    <v>0</v>
    <v>Image of Ab Lench</v>
  </rv>
  <rv s="2">
    <fb>52.164549999999998</fb>
    <v>9</v>
  </rv>
  <rv s="4">
    <v>https://www.bing.com/search?q=ab+lench+united+kingdom&amp;form=skydnc</v>
    <v>Learn more on Bing</v>
  </rv>
  <rv s="2">
    <fb>-1.9830300000000001</fb>
    <v>9</v>
  </rv>
  <rv s="9">
    <v>#VALUE!</v>
    <v>en-GB</v>
    <v>d995ec4f-7c93-105e-e30c-57591966b815</v>
    <v>536870912</v>
    <v>1</v>
    <v>103</v>
    <v>57</v>
    <v>Ab Lench</v>
    <v>5</v>
    <v>6</v>
    <v>Map</v>
    <v>7</v>
    <v>171</v>
    <v>170</v>
    <v>1</v>
    <v>Ab Lench is a village and former civil parish, now in the parish of South Lenches, in the Wychavon district, in the county of Worcestershire, England. The village lies 1 mile from Church Lench and Rous Lench, 2 miles from Harvington and 4 miles ...</v>
    <v>240</v>
    <v>241</v>
    <v>242</v>
    <v>243</v>
    <v>Ab Lench</v>
    <v>Ab Lench</v>
    <v>mdp/vdpid/5471439130405634049</v>
  </rv>
  <rv s="0">
    <v>536870912</v>
    <v>Bishampton</v>
    <v>a8340a2e-4322-bc19-8329-7695e79bd9b7</v>
    <v>en-GB</v>
    <v>Map</v>
  </rv>
  <rv s="1">
    <v>28</v>
    <v>7</v>
    <v>104</v>
    <v>7</v>
    <v>0</v>
    <v>Image of Bishampton</v>
  </rv>
  <rv s="2">
    <fb>52.160094444443999</fb>
    <v>9</v>
  </rv>
  <rv s="4">
    <v>https://www.bing.com/search?q=bishampton+united+kingdom&amp;form=skydnc</v>
    <v>Learn more on Bing</v>
  </rv>
  <rv s="2">
    <fb>-2.0175083333332999</fb>
    <v>9</v>
  </rv>
  <rv s="2">
    <fb>675</fb>
    <v>10</v>
  </rv>
  <rv s="8">
    <v>#VALUE!</v>
    <v>en-GB</v>
    <v>a8340a2e-4322-bc19-8329-7695e79bd9b7</v>
    <v>536870912</v>
    <v>1</v>
    <v>105</v>
    <v>45</v>
    <v>Bishampton</v>
    <v>5</v>
    <v>6</v>
    <v>Map</v>
    <v>7</v>
    <v>8</v>
    <v>171</v>
    <v>170</v>
    <v>1</v>
    <v>Bishampton is a village and civil parish in the Wychavon district of Worcestershire, England with a population of 625. It contains a church, a village shop and post office, a hairdresser, a village hall with a park and children's play areas. ...</v>
    <v>246</v>
    <v>247</v>
    <v>248</v>
    <v>249</v>
    <v>Bishampton</v>
    <v>250</v>
    <v>Bishampton</v>
    <v>mdp/vdpid/5471438996640890881</v>
  </rv>
</rvData>
</file>

<file path=xl/richData/rdrichvaluestructure.xml><?xml version="1.0" encoding="utf-8"?>
<rvStructures xmlns="http://schemas.microsoft.com/office/spreadsheetml/2017/richdata" count="13">
  <s t="_linkedentity2">
    <k n="%EntityServiceId" t="i"/>
    <k n="_DisplayString" t="s"/>
    <k n="%EntityId" t="s"/>
    <k n="%EntityCulture" t="s"/>
    <k n="_Icon" t="s"/>
  </s>
  <s t="_webimage">
    <k n="WebImageIdentifier" t="i"/>
    <k n="_Provider" t="spb"/>
    <k n="Attribution" t="spb"/>
    <k n="CalcOrigin" t="i"/>
    <k n="ComputedImage" t="b"/>
    <k n="Text" t="s"/>
  </s>
  <s t="_formattednumber">
    <k n="_Format" t="spb"/>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Country/region" t="r"/>
    <k n="Description" t="s"/>
    <k n="Image" t="r"/>
    <k n="Latitude" t="r"/>
    <k n="Leader(s)"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Admin Division 2 (County/district/other)" t="r"/>
    <k n="Country/region" t="r"/>
    <k n="Description" t="s"/>
    <k n="Image" t="r"/>
    <k n="Latitude" t="r"/>
    <k n="LearnMoreOnLink" t="r"/>
    <k n="Longitude" t="r"/>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Country/region" t="r"/>
    <k n="Description" t="s"/>
    <k n="Image" t="r"/>
    <k n="Latitude" t="r"/>
    <k n="LearnMoreOnLink" t="r"/>
    <k n="Longitude" t="r"/>
    <k n="Name" t="s"/>
    <k n="UniqueName" t="s"/>
    <k n="VDPID/VSID" t="s"/>
  </s>
</rvStructures>
</file>

<file path=xl/richData/rdsupportingpropertybag.xml><?xml version="1.0" encoding="utf-8"?>
<supportingPropertyBags xmlns="http://schemas.microsoft.com/office/spreadsheetml/2017/richdata2">
  <spbArrays count="8">
    <a count="23">
      <v t="s">%EntityServiceId</v>
      <v t="s">%IsRefreshable</v>
      <v t="s">%EntityCulture</v>
      <v t="s">%EntityId</v>
      <v t="s">_Icon</v>
      <v t="s">_Provider</v>
      <v t="s">_Attribution</v>
      <v t="s">_Display</v>
      <v t="s">Name</v>
      <v t="s">_Format</v>
      <v t="s">Country/region</v>
      <v t="s">Leader(s)</v>
      <v t="s">_SubLabel</v>
      <v t="s">Population</v>
      <v t="s">Latitude</v>
      <v t="s">Longitude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5">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Latitude</v>
      <v t="s">Longitude</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Admin Division 2 (County/district/other)</v>
      <v t="s">Admin Division 1 (State/province/other)</v>
      <v t="s">Country/region</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Admin Division 2 (County/district/other)</v>
      <v t="s">Country/region</v>
      <v t="s">_SubLabel</v>
      <v t="s">Population</v>
      <v t="s">Latitude</v>
      <v t="s">Longitude</v>
      <v t="s">_Flags</v>
      <v t="s">VDPID/VSID</v>
      <v t="s">UniqueName</v>
      <v t="s">_DisplayString</v>
      <v t="s">LearnMoreOnLink</v>
      <v t="s">Image</v>
      <v t="s">Description</v>
    </a>
    <a count="21">
      <v t="s">%EntityServiceId</v>
      <v t="s">%IsRefreshable</v>
      <v t="s">%EntityCulture</v>
      <v t="s">%EntityId</v>
      <v t="s">_Icon</v>
      <v t="s">_Provider</v>
      <v t="s">_Attribution</v>
      <v t="s">_Display</v>
      <v t="s">Name</v>
      <v t="s">_Format</v>
      <v t="s">Admin Division 1 (State/province/other)</v>
      <v t="s">Country/region</v>
      <v t="s">Latitude</v>
      <v t="s">Longitude</v>
      <v t="s">_Flags</v>
      <v t="s">VDPID/VSID</v>
      <v t="s">UniqueName</v>
      <v t="s">_DisplayString</v>
      <v t="s">LearnMoreOnLink</v>
      <v t="s">Image</v>
      <v t="s">Description</v>
    </a>
  </spbArrays>
  <spbData count="106">
    <spb s="0">
      <v xml:space="preserve">Wikipedia	</v>
      <v xml:space="preserve">CC BY-SA 3.0	</v>
      <v xml:space="preserve">https://en.wikipedia.org/wiki/Tewkesbury	</v>
      <v xml:space="preserve">https://creativecommons.org/licenses/by-sa/3.0	</v>
    </spb>
    <spb s="0">
      <v xml:space="preserve">Wikipedia	</v>
      <v xml:space="preserve">CC-BY-SA	</v>
      <v xml:space="preserve">http://en.wikipedia.org/wiki/Tewkesbury	</v>
      <v xml:space="preserve">http://creativecommons.org/licenses/by-sa/3.0/	</v>
    </spb>
    <spb s="1">
      <v>0</v>
      <v>0</v>
      <v>0</v>
      <v>1</v>
      <v>0</v>
      <v>0</v>
      <v>0</v>
    </spb>
    <spb s="2">
      <v>0</v>
      <v>Name</v>
      <v>LearnMoreOnLink</v>
    </spb>
    <spb s="3">
      <v>0</v>
      <v>0</v>
      <v>0</v>
    </spb>
    <spb s="4">
      <v>4</v>
      <v>4</v>
      <v>4</v>
    </spb>
    <spb s="5">
      <v>1</v>
      <v>2</v>
    </spb>
    <spb s="6">
      <v>https://www.bing.com</v>
      <v>https://www.bing.com/th?id=Ga%5Cbing_yt.png&amp;w=100&amp;h=40&amp;c=0&amp;pid=0.1</v>
      <v>Powered by Bing</v>
    </spb>
    <spb s="7">
      <v>2011</v>
    </spb>
    <spb s="8">
      <v>3</v>
    </spb>
    <spb s="8">
      <v>4</v>
    </spb>
    <spb s="0">
      <v xml:space="preserve">data.worldbank.org	</v>
      <v xml:space="preserve">	</v>
      <v xml:space="preserve">http://data.worldbank.org/indicator/FP.CPI.TOTL	</v>
      <v xml:space="preserve">	</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9">
      <v>11</v>
      <v>12</v>
      <v>13</v>
      <v>13</v>
      <v>14</v>
      <v>13</v>
      <v>13</v>
      <v>13</v>
      <v>15</v>
      <v>13</v>
      <v>13</v>
      <v>15</v>
      <v>13</v>
      <v>13</v>
      <v>16</v>
      <v>17</v>
      <v>12</v>
      <v>16</v>
      <v>18</v>
      <v>13</v>
      <v>16</v>
      <v>19</v>
      <v>20</v>
      <v>21</v>
      <v>16</v>
      <v>16</v>
      <v>13</v>
      <v>16</v>
      <v>22</v>
      <v>23</v>
      <v>24</v>
      <v>25</v>
      <v>16</v>
      <v>12</v>
      <v>16</v>
      <v>16</v>
      <v>16</v>
      <v>16</v>
      <v>16</v>
      <v>16</v>
      <v>16</v>
      <v>16</v>
      <v>16</v>
      <v>16</v>
      <v>26</v>
    </spb>
    <spb s="2">
      <v>1</v>
      <v>Name</v>
      <v>LearnMoreOnLink</v>
    </spb>
    <spb s="10">
      <v>2019</v>
      <v>2019</v>
      <v>square km</v>
      <v>per thousand (2018)</v>
      <v>2021</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8">
      <v>5</v>
    </spb>
    <spb s="8">
      <v>6</v>
    </spb>
    <spb s="8">
      <v>7</v>
    </spb>
    <spb s="8">
      <v>8</v>
    </spb>
    <spb s="8">
      <v>9</v>
    </spb>
    <spb s="8">
      <v>10</v>
    </spb>
    <spb s="8">
      <v>11</v>
    </spb>
    <spb s="8">
      <v>12</v>
    </spb>
    <spb s="0">
      <v xml:space="preserve">Wikipedia	</v>
      <v xml:space="preserve">CC BY-SA 3.0	</v>
      <v xml:space="preserve">https://en.wikipedia.org/wiki/Stratford-on-Avon_District	</v>
      <v xml:space="preserve">https://creativecommons.org/licenses/by-sa/3.0	</v>
    </spb>
    <spb s="11">
      <v>38</v>
      <v>38</v>
      <v>38</v>
      <v>38</v>
      <v>38</v>
      <v>38</v>
      <v>38</v>
      <v>38</v>
      <v>38</v>
      <v>38</v>
    </spb>
    <spb s="2">
      <v>2</v>
      <v>Name</v>
      <v>LearnMoreOnLink</v>
    </spb>
    <spb s="12">
      <v>square km</v>
      <v>2022</v>
    </spb>
    <spb s="0">
      <v xml:space="preserve">Wikipedia	</v>
      <v xml:space="preserve">CC BY-SA 3.0	</v>
      <v xml:space="preserve">https://en.wikipedia.org/wiki/Barford,_Warwickshire	</v>
      <v xml:space="preserve">https://creativecommons.org/licenses/by-sa/3.0	</v>
    </spb>
    <spb s="0">
      <v xml:space="preserve">Wikipedia	</v>
      <v xml:space="preserve">CC-BY-SA	</v>
      <v xml:space="preserve">http://en.wikipedia.org/wiki/Barford,_Warwickshire	</v>
      <v xml:space="preserve">http://creativecommons.org/licenses/by-sa/3.0/	</v>
    </spb>
    <spb s="13">
      <v>42</v>
      <v>42</v>
      <v>42</v>
      <v>43</v>
      <v>42</v>
      <v>42</v>
      <v>42</v>
      <v>42</v>
      <v>42</v>
    </spb>
    <spb s="2">
      <v>3</v>
      <v>Name</v>
      <v>LearnMoreOnLink</v>
    </spb>
    <spb s="0">
      <v xml:space="preserve">Wikipedia	</v>
      <v xml:space="preserve">CC BY-SA 3.0	</v>
      <v xml:space="preserve">https://en.wikipedia.org/wiki/Hampton_Lucy	</v>
      <v xml:space="preserve">https://creativecommons.org/licenses/by-sa/3.0	</v>
    </spb>
    <spb s="13">
      <v>46</v>
      <v>46</v>
      <v>46</v>
      <v>46</v>
      <v>46</v>
      <v>46</v>
      <v>46</v>
      <v>46</v>
      <v>46</v>
    </spb>
    <spb s="0">
      <v xml:space="preserve">Wikipedia	</v>
      <v xml:space="preserve">CC BY-SA 3.0	</v>
      <v xml:space="preserve">https://en.wikipedia.org/wiki/Welford-on-Avon	</v>
      <v xml:space="preserve">https://creativecommons.org/licenses/by-sa/3.0	</v>
    </spb>
    <spb s="13">
      <v>48</v>
      <v>48</v>
      <v>48</v>
      <v>48</v>
      <v>48</v>
      <v>48</v>
      <v>48</v>
      <v>48</v>
      <v>48</v>
    </spb>
    <spb s="0">
      <v xml:space="preserve">Wikipedia	</v>
      <v xml:space="preserve">CC BY-SA 3.0	</v>
      <v xml:space="preserve">https://en.wikipedia.org/wiki/Weston-on-Avon	</v>
      <v xml:space="preserve">https://creativecommons.org/licenses/by-sa/3.0	</v>
    </spb>
    <spb s="13">
      <v>50</v>
      <v>50</v>
      <v>50</v>
      <v>50</v>
      <v>50</v>
      <v>50</v>
      <v>50</v>
      <v>50</v>
      <v>50</v>
    </spb>
    <spb s="0">
      <v xml:space="preserve">Wikipedia	</v>
      <v xml:space="preserve">CC BY-SA 3.0	</v>
      <v xml:space="preserve">https://en.wikipedia.org/wiki/Stratford-upon-Avon	</v>
      <v xml:space="preserve">https://creativecommons.org/licenses/by-sa/3.0	</v>
    </spb>
    <spb s="13">
      <v>52</v>
      <v>52</v>
      <v>52</v>
      <v>52</v>
      <v>52</v>
      <v>52</v>
      <v>52</v>
      <v>52</v>
      <v>52</v>
    </spb>
    <spb s="7">
      <v>2021</v>
    </spb>
    <spb s="0">
      <v xml:space="preserve">Wikipedia	</v>
      <v xml:space="preserve">CC BY-SA 3.0	</v>
      <v xml:space="preserve">https://en.wikipedia.org/wiki/Newbold_on_Stour	</v>
      <v xml:space="preserve">https://creativecommons.org/licenses/by-sa/3.0	</v>
    </spb>
    <spb s="14">
      <v>55</v>
      <v>55</v>
      <v>55</v>
      <v>55</v>
      <v>55</v>
      <v>55</v>
      <v>55</v>
      <v>55</v>
    </spb>
    <spb s="2">
      <v>4</v>
      <v>Name</v>
      <v>LearnMoreOnLink</v>
    </spb>
    <spb s="0">
      <v xml:space="preserve">Wikipedia	</v>
      <v xml:space="preserve">CC BY-SA 3.0	</v>
      <v xml:space="preserve">https://en.wikipedia.org/wiki/Preston_on_Stour	</v>
      <v xml:space="preserve">https://creativecommons.org/licenses/by-sa/3.0	</v>
    </spb>
    <spb s="13">
      <v>58</v>
      <v>58</v>
      <v>58</v>
      <v>58</v>
      <v>58</v>
      <v>58</v>
      <v>58</v>
      <v>58</v>
      <v>58</v>
    </spb>
    <spb s="0">
      <v xml:space="preserve">Wikipedia	</v>
      <v xml:space="preserve">CC-BY-SA	</v>
      <v xml:space="preserve">http://en.wikipedia.org/wiki/Shipston-on-Stour	</v>
      <v xml:space="preserve">http://creativecommons.org/licenses/by-sa/3.0/	</v>
    </spb>
    <spb s="0">
      <v xml:space="preserve">Wikipedia	</v>
      <v xml:space="preserve">CC BY-SA 3.0	</v>
      <v xml:space="preserve">https://en.wikipedia.org/wiki/Shipston-on-Stour	</v>
      <v xml:space="preserve">https://creativecommons.org/licenses/by-sa/3.0	</v>
    </spb>
    <spb s="15">
      <v>60</v>
      <v>61</v>
      <v>61</v>
      <v>61</v>
      <v>60</v>
      <v>61</v>
      <v>61</v>
      <v>61</v>
      <v>61</v>
    </spb>
    <spb s="2">
      <v>5</v>
      <v>Name</v>
      <v>LearnMoreOnLink</v>
    </spb>
    <spb s="12">
      <v>square km</v>
      <v>2011</v>
    </spb>
    <spb s="0">
      <v xml:space="preserve">Wikipedia	</v>
      <v xml:space="preserve">CC BY-SA 3.0	</v>
      <v xml:space="preserve">https://en.wikipedia.org/wiki/Ilmington	</v>
      <v xml:space="preserve">https://creativecommons.org/licenses/by-sa/3.0	</v>
    </spb>
    <spb s="13">
      <v>65</v>
      <v>65</v>
      <v>65</v>
      <v>65</v>
      <v>65</v>
      <v>65</v>
      <v>65</v>
      <v>65</v>
      <v>65</v>
    </spb>
    <spb s="0">
      <v xml:space="preserve">Wikipedia	</v>
      <v xml:space="preserve">CC BY-SA 3.0	</v>
      <v xml:space="preserve">https://en.wikipedia.org/wiki/Clifford_Chambers	</v>
      <v xml:space="preserve">https://creativecommons.org/licenses/by-sa/3.0	</v>
    </spb>
    <spb s="0">
      <v xml:space="preserve">Wikipedia	</v>
      <v xml:space="preserve">CC-BY-SA	</v>
      <v xml:space="preserve">http://en.wikipedia.org/wiki/Clifford_Chambers	</v>
      <v xml:space="preserve">http://creativecommons.org/licenses/by-sa/3.0/	</v>
    </spb>
    <spb s="13">
      <v>67</v>
      <v>67</v>
      <v>67</v>
      <v>68</v>
      <v>67</v>
      <v>67</v>
      <v>67</v>
      <v>67</v>
      <v>67</v>
    </spb>
    <spb s="7">
      <v>2001</v>
    </spb>
    <spb s="0">
      <v xml:space="preserve">Wikipedia	</v>
      <v xml:space="preserve">CC BY-SA 3.0	</v>
      <v xml:space="preserve">https://en.wikipedia.org/wiki/Alveston,_Warwickshire	</v>
      <v xml:space="preserve">https://creativecommons.org/licenses/by-sa/3.0	</v>
    </spb>
    <spb s="14">
      <v>71</v>
      <v>71</v>
      <v>71</v>
      <v>71</v>
      <v>71</v>
      <v>71</v>
      <v>71</v>
      <v>71</v>
    </spb>
    <spb s="0">
      <v xml:space="preserve">Wikipedia	</v>
      <v xml:space="preserve">CC BY-SA 3.0	</v>
      <v xml:space="preserve">https://en.wikipedia.org/wiki/Stretton-on-Fosse	</v>
      <v xml:space="preserve">https://creativecommons.org/licenses/by-sa/3.0	</v>
    </spb>
    <spb s="13">
      <v>73</v>
      <v>73</v>
      <v>73</v>
      <v>73</v>
      <v>73</v>
      <v>73</v>
      <v>73</v>
      <v>73</v>
      <v>73</v>
    </spb>
    <spb s="0">
      <v xml:space="preserve">Wikipedia	</v>
      <v xml:space="preserve">CC BY-SA 3.0	</v>
      <v xml:space="preserve">https://en.wikipedia.org/wiki/Snitterfield	</v>
      <v xml:space="preserve">https://creativecommons.org/licenses/by-sa/3.0	</v>
    </spb>
    <spb s="13">
      <v>75</v>
      <v>75</v>
      <v>75</v>
      <v>75</v>
      <v>75</v>
      <v>75</v>
      <v>75</v>
      <v>75</v>
      <v>75</v>
    </spb>
    <spb s="0">
      <v xml:space="preserve">Wikipedia	</v>
      <v xml:space="preserve">CC BY-SA 3.0	</v>
      <v xml:space="preserve">https://en.wikipedia.org/wiki/Norton_Lindsey	</v>
      <v xml:space="preserve">https://creativecommons.org/licenses/by-sa/3.0	</v>
    </spb>
    <spb s="14">
      <v>77</v>
      <v>77</v>
      <v>77</v>
      <v>77</v>
      <v>77</v>
      <v>77</v>
      <v>77</v>
      <v>77</v>
    </spb>
    <spb s="0">
      <v xml:space="preserve">Wikipedia	</v>
      <v xml:space="preserve">CC BY-SA 3.0	</v>
      <v xml:space="preserve">https://en.wikipedia.org/wiki/Wychavon	</v>
      <v xml:space="preserve">https://creativecommons.org/licenses/by-sa/3.0	</v>
    </spb>
    <spb s="11">
      <v>79</v>
      <v>79</v>
      <v>79</v>
      <v>79</v>
      <v>79</v>
      <v>79</v>
      <v>79</v>
      <v>79</v>
      <v>79</v>
      <v>79</v>
    </spb>
    <spb s="0">
      <v xml:space="preserve">Wikipedia	</v>
      <v xml:space="preserve">CC BY-SA 3.0	</v>
      <v xml:space="preserve">https://en.wikipedia.org/wiki/Pershore	</v>
      <v xml:space="preserve">https://creativecommons.org/licenses/by-sa/3.0	</v>
    </spb>
    <spb s="13">
      <v>81</v>
      <v>81</v>
      <v>81</v>
      <v>81</v>
      <v>81</v>
      <v>81</v>
      <v>81</v>
      <v>81</v>
      <v>81</v>
    </spb>
    <spb s="0">
      <v xml:space="preserve">Wikipedia	</v>
      <v xml:space="preserve">CC BY-SA 3.0	</v>
      <v xml:space="preserve">https://en.wikipedia.org/wiki/Preston_Bagot	</v>
      <v xml:space="preserve">https://creativecommons.org/licenses/by-sa/3.0	</v>
    </spb>
    <spb s="13">
      <v>83</v>
      <v>83</v>
      <v>83</v>
      <v>83</v>
      <v>83</v>
      <v>83</v>
      <v>83</v>
      <v>83</v>
      <v>83</v>
    </spb>
    <spb s="0">
      <v xml:space="preserve">Wikipedia	</v>
      <v xml:space="preserve">CC BY-SA 3.0	</v>
      <v xml:space="preserve">https://en.wikipedia.org/wiki/Wyre_Piddle	</v>
      <v xml:space="preserve">https://creativecommons.org/licenses/by-sa/3.0	</v>
    </spb>
    <spb s="13">
      <v>85</v>
      <v>85</v>
      <v>85</v>
      <v>85</v>
      <v>85</v>
      <v>85</v>
      <v>85</v>
      <v>85</v>
      <v>85</v>
    </spb>
    <spb s="0">
      <v xml:space="preserve">Wikipedia	</v>
      <v xml:space="preserve">CC BY-SA 3.0	</v>
      <v xml:space="preserve">https://en.wikipedia.org/wiki/Whichford	</v>
      <v xml:space="preserve">https://creativecommons.org/licenses/by-sa/3.0	</v>
    </spb>
    <spb s="13">
      <v>87</v>
      <v>87</v>
      <v>87</v>
      <v>87</v>
      <v>87</v>
      <v>87</v>
      <v>87</v>
      <v>87</v>
      <v>87</v>
    </spb>
    <spb s="0">
      <v xml:space="preserve">Wikipedia	</v>
      <v xml:space="preserve">CC BY-SA 3.0	</v>
      <v xml:space="preserve">https://en.wikipedia.org/wiki/Ascott,_Warwickshire	</v>
      <v xml:space="preserve">https://creativecommons.org/licenses/by-sa/3.0	</v>
    </spb>
    <spb s="14">
      <v>89</v>
      <v>89</v>
      <v>89</v>
      <v>89</v>
      <v>89</v>
      <v>89</v>
      <v>89</v>
      <v>89</v>
    </spb>
    <spb s="0">
      <v xml:space="preserve">Wikipedia	</v>
      <v xml:space="preserve">CC BY-SA 3.0	</v>
      <v xml:space="preserve">https://en.wikipedia.org/wiki/Cotswold_District	</v>
      <v xml:space="preserve">https://creativecommons.org/licenses/by-sa/3.0	</v>
    </spb>
    <spb s="15">
      <v>91</v>
      <v>91</v>
      <v>91</v>
      <v>91</v>
      <v>91</v>
      <v>91</v>
      <v>91</v>
      <v>91</v>
      <v>91</v>
    </spb>
    <spb s="0">
      <v xml:space="preserve">Wikipedia	</v>
      <v xml:space="preserve">CC BY-SA 3.0	</v>
      <v xml:space="preserve">https://en.wikipedia.org/wiki/Chipping_Campden	</v>
      <v xml:space="preserve">https://creativecommons.org/licenses/by-sa/3.0	</v>
    </spb>
    <spb s="0">
      <v xml:space="preserve">Wikipedia	</v>
      <v xml:space="preserve">CC-BY-SA	</v>
      <v xml:space="preserve">http://en.wikipedia.org/wiki/Chipping_Campden	</v>
      <v xml:space="preserve">http://creativecommons.org/licenses/by-sa/3.0/	</v>
    </spb>
    <spb s="16">
      <v>93</v>
      <v>93</v>
      <v>93</v>
      <v>94</v>
      <v>93</v>
      <v>93</v>
      <v>93</v>
      <v>93</v>
    </spb>
    <spb s="2">
      <v>6</v>
      <v>Name</v>
      <v>LearnMoreOnLink</v>
    </spb>
    <spb s="0">
      <v xml:space="preserve">Wikipedia	</v>
      <v xml:space="preserve">CC BY-SA 3.0	</v>
      <v xml:space="preserve">https://en.wikipedia.org/wiki/Bredon	</v>
      <v xml:space="preserve">https://creativecommons.org/licenses/by-sa/3.0	</v>
    </spb>
    <spb s="13">
      <v>97</v>
      <v>97</v>
      <v>97</v>
      <v>97</v>
      <v>97</v>
      <v>97</v>
      <v>97</v>
      <v>97</v>
      <v>97</v>
    </spb>
    <spb s="0">
      <v xml:space="preserve">Wikipedia	</v>
      <v xml:space="preserve">CC BY-SA 3.0	</v>
      <v xml:space="preserve">https://en.wikipedia.org/wiki/Church_Lench	</v>
      <v xml:space="preserve">https://creativecommons.org/licenses/by-sa/3.0	</v>
    </spb>
    <spb s="17">
      <v>99</v>
      <v>99</v>
      <v>99</v>
      <v>99</v>
      <v>99</v>
      <v>99</v>
      <v>99</v>
    </spb>
    <spb s="2">
      <v>7</v>
      <v>Name</v>
      <v>LearnMoreOnLink</v>
    </spb>
    <spb s="0">
      <v xml:space="preserve">Wikipedia	</v>
      <v xml:space="preserve">CC BY-SA 3.0	</v>
      <v xml:space="preserve">https://en.wikipedia.org/wiki/Ab_Lench	</v>
      <v xml:space="preserve">https://creativecommons.org/licenses/by-sa/3.0	</v>
    </spb>
    <spb s="14">
      <v>102</v>
      <v>102</v>
      <v>102</v>
      <v>102</v>
      <v>102</v>
      <v>102</v>
      <v>102</v>
      <v>102</v>
    </spb>
    <spb s="0">
      <v xml:space="preserve">Wikipedia	</v>
      <v xml:space="preserve">CC BY-SA 3.0	</v>
      <v xml:space="preserve">https://en.wikipedia.org/wiki/Bishampton	</v>
      <v xml:space="preserve">https://creativecommons.org/licenses/by-sa/3.0	</v>
    </spb>
    <spb s="13">
      <v>104</v>
      <v>104</v>
      <v>104</v>
      <v>104</v>
      <v>104</v>
      <v>104</v>
      <v>104</v>
      <v>104</v>
      <v>104</v>
    </spb>
  </spbData>
</supportingPropertyBags>
</file>

<file path=xl/richData/rdsupportingpropertybagstructure.xml><?xml version="1.0" encoding="utf-8"?>
<spbStructures xmlns="http://schemas.microsoft.com/office/spreadsheetml/2017/richdata2" count="18">
  <s>
    <k n="SourceText" t="s"/>
    <k n="LicenseText" t="s"/>
    <k n="SourceAddress" t="s"/>
    <k n="LicenseAddress" t="s"/>
  </s>
  <s>
    <k n="Name" t="spb"/>
    <k n="Latitude" t="spb"/>
    <k n="Longitude" t="spb"/>
    <k n="Population" t="spb"/>
    <k n="UniqueName" t="spb"/>
    <k n="Description" t="spb"/>
    <k n="Country/region" t="spb"/>
  </s>
  <s>
    <k n="^Order" t="spba"/>
    <k n="TitleProperty" t="s"/>
    <k n="SubTitleProperty" t="s"/>
  </s>
  <s>
    <k n="ShowInCardView" t="b"/>
    <k n="ShowInDotNotation" t="b"/>
    <k n="ShowInAutoComplete" t="b"/>
  </s>
  <s>
    <k n="UniqueName" t="spb"/>
    <k n="VDPID/VSID" t="spb"/>
    <k n="LearnMoreOnLink" t="spb"/>
  </s>
  <s>
    <k n="Name" t="i"/>
    <k n="Image" t="i"/>
  </s>
  <s>
    <k n="link" t="s"/>
    <k n="logo" t="s"/>
    <k n="name" t="s"/>
  </s>
  <s>
    <k n="Population"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Area" t="spb"/>
    <k n="Name" t="spb"/>
    <k n="Latitude" t="spb"/>
    <k n="Longitude" t="spb"/>
    <k n="Population" t="spb"/>
    <k n="UniqueName" t="spb"/>
    <k n="Description" t="spb"/>
    <k n="Country/region" t="spb"/>
    <k n="Admin Division 1 (State/province/other)" t="spb"/>
    <k n="Admin Division 2 (County/district/other)" t="spb"/>
  </s>
  <s>
    <k n="Area" t="s"/>
    <k n="Population" t="s"/>
  </s>
  <s>
    <k n="Name" t="spb"/>
    <k n="Latitude" t="spb"/>
    <k n="Longitude" t="spb"/>
    <k n="Population" t="spb"/>
    <k n="UniqueName" t="spb"/>
    <k n="Description" t="spb"/>
    <k n="Country/region" t="spb"/>
    <k n="Admin Division 1 (State/province/other)" t="spb"/>
    <k n="Admin Division 2 (County/district/other)" t="spb"/>
  </s>
  <s>
    <k n="Name" t="spb"/>
    <k n="Latitude" t="spb"/>
    <k n="Longitude" t="spb"/>
    <k n="UniqueName" t="spb"/>
    <k n="Description" t="spb"/>
    <k n="Country/region" t="spb"/>
    <k n="Admin Division 1 (State/province/other)" t="spb"/>
    <k n="Admin Division 2 (County/district/other)" t="spb"/>
  </s>
  <s>
    <k n="Area" t="spb"/>
    <k n="Name" t="spb"/>
    <k n="Latitude" t="spb"/>
    <k n="Longitude" t="spb"/>
    <k n="Population" t="spb"/>
    <k n="UniqueName" t="spb"/>
    <k n="Description" t="spb"/>
    <k n="Country/region" t="spb"/>
    <k n="Admin Division 1 (State/province/other)" t="spb"/>
  </s>
  <s>
    <k n="Name" t="spb"/>
    <k n="Latitude" t="spb"/>
    <k n="Longitude" t="spb"/>
    <k n="Population" t="spb"/>
    <k n="UniqueName" t="spb"/>
    <k n="Description" t="spb"/>
    <k n="Country/region" t="spb"/>
    <k n="Admin Division 2 (County/district/other)" t="spb"/>
  </s>
  <s>
    <k n="Name" t="spb"/>
    <k n="Latitude" t="spb"/>
    <k n="Longitude" t="spb"/>
    <k n="UniqueName" t="spb"/>
    <k n="Description" t="spb"/>
    <k n="Country/region" t="spb"/>
    <k n="Admin Division 1 (State/province/other)"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1">
      <rpv i="2">0.0000</rpv>
    </rSty>
    <rSty dxfid="0">
      <rpv i="2">#,##0</rpv>
    </rSty>
    <rSty dxfid="3">
      <rpv i="2">0.0%</rpv>
    </rSty>
    <rSty dxfid="2">
      <rpv i="2">0.00</rpv>
    </rSty>
    <rSty dxfid="5">
      <rpv i="2">0</rpv>
    </rSty>
    <rSty dxfid="4">
      <rpv i="2">#,##0.00</rpv>
    </rSty>
    <rSty dxfid="1">
      <rpv i="2">0.0</rpv>
    </rSty>
    <rSty dxfid="1">
      <rpv i="2">_([$$-en-US]* #,##0.00_);_([$$-en-US]* (#,##0.00);_([$$-en-US]* "-"??_);_(@_)</rpv>
    </rSty>
    <rSty dxfid="1">
      <rpv i="2">_([$$-en-US]* #,##0_);_([$$-en-US]* (#,##0);_([$$-en-US]* "-"_);_(@_)</rpv>
    </rSty>
    <rSty dxfid="3"/>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6F06E7-2B4F-4D2F-A73B-54C5243BD772}" name="AllData" displayName="AllData" ref="A1:V1238" totalsRowShown="0" headerRowDxfId="37" dataDxfId="35" headerRowBorderDxfId="36">
  <autoFilter ref="A1:V1238" xr:uid="{A16F06E7-2B4F-4D2F-A73B-54C5243BD772}"/>
  <sortState xmlns:xlrd2="http://schemas.microsoft.com/office/spreadsheetml/2017/richdata2" ref="A2:V1238">
    <sortCondition ref="B1:B1238"/>
  </sortState>
  <tableColumns count="22">
    <tableColumn id="1" xr3:uid="{3079A9F2-CB29-41E4-B445-52CB762BA849}" name="EC UUID" dataDxfId="34"/>
    <tableColumn id="2" xr3:uid="{B6262B0E-767C-490A-8FFD-F37C4657B151}" name="Date" dataDxfId="33"/>
    <tableColumn id="3" xr3:uid="{94C5CEA8-DE23-4250-A854-FA436052F85D}" name="Season" dataDxfId="32">
      <calculatedColumnFormula array="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calculatedColumnFormula>
    </tableColumn>
    <tableColumn id="4" xr3:uid="{EA81B1A8-2F76-4D31-9F8B-8B5C030590C7}" name="Year" dataDxfId="31">
      <calculatedColumnFormula>YEAR(AllData[[#This Row],[Date]])</calculatedColumnFormula>
    </tableColumn>
    <tableColumn id="5" xr3:uid="{32C31D58-A52C-4F3E-A45F-EA9024E30D8B}" name="Time" dataDxfId="30"/>
    <tableColumn id="6" xr3:uid="{8BFFF446-D8F2-47A4-9434-CD1D12E32DAA}" name="Time of Day" dataDxfId="29">
      <calculatedColumnFormula>IF(AND(AllData[[#This Row],[Time]]&lt;0.5, AllData[[#This Row],[Time]]&gt;0.17)=TRUE, "Morning", IF(AND(AllData[[#This Row],[Time]]&lt;0.75, AllData[[#This Row],[Time]]&gt;=0.5)=TRUE, "Afternoon", IF(AND(AllData[[#This Row],[Time]]&lt;1, AllData[[#This Row],[Time]]&gt;=0.75)=TRUE, "Evening", "Night")))</calculatedColumnFormula>
    </tableColumn>
    <tableColumn id="9" xr3:uid="{70B9839E-91F7-44A1-89D2-4DE0063F57DD}" name="Site Name" dataDxfId="28">
      <calculatedColumnFormula>_xlfn.XLOOKUP(AllData[[#This Row],[Location Name]], Locations[Location Name],Locations[Group As])</calculatedColumnFormula>
    </tableColumn>
    <tableColumn id="10" xr3:uid="{7D5E4417-CC28-460D-9B66-612B71940D6D}" name="District" dataDxfId="27">
      <calculatedColumnFormula>_xlfn.XLOOKUP(AllData[[#This Row],[Site Name]],LocationsKey[Site Name],LocationsKey[District])</calculatedColumnFormula>
    </tableColumn>
    <tableColumn id="8" xr3:uid="{A81E8690-2716-462E-93D3-768D42F31427}" name="Town" dataDxfId="26">
      <calculatedColumnFormula>_xlfn.XLOOKUP(AllData[[#This Row],[Site Name]],LocationsKey[Site Name],LocationsKey[Town])</calculatedColumnFormula>
    </tableColumn>
    <tableColumn id="11" xr3:uid="{708A9DCA-2D97-4A46-877B-9327DFA7722E}" name="River" dataDxfId="25">
      <calculatedColumnFormula>_xlfn.XLOOKUP(AllData[[#This Row],[Site Name]],LocationsKey[Site Name], LocationsKey[Waterway])</calculatedColumnFormula>
    </tableColumn>
    <tableColumn id="12" xr3:uid="{C3C35285-0971-4A3D-B9A4-3A8BCA3143BB}" name="Location Name" dataDxfId="24"/>
    <tableColumn id="13" xr3:uid="{21BBA3B7-44BF-43A6-A58C-6BFE1B09CA68}" name="Latitude" dataDxfId="23"/>
    <tableColumn id="14" xr3:uid="{FB2F5F35-008C-4AEB-94D6-26C03B4993A6}" name="Longitude" dataDxfId="22"/>
    <tableColumn id="15" xr3:uid="{4A9F02AA-E022-424E-A853-D261EC56D6D6}" name="Above or Below CSO" dataDxfId="21"/>
    <tableColumn id="16" xr3:uid="{CBB1502E-DE04-46E0-80A8-DD28658A0860}" name="Electrical Conductivity (Micros)" dataDxfId="20"/>
    <tableColumn id="17" xr3:uid="{F8522524-2951-4D41-907E-A1855E967FD2}" name="Water Temp (deg C)" dataDxfId="19"/>
    <tableColumn id="18" xr3:uid="{A7ECA9D6-66EC-4ED0-BD2F-6994D6E7CFB0}" name="Nitrate (PPM)" dataDxfId="18"/>
    <tableColumn id="19" xr3:uid="{0A7013B9-F417-4A3B-B37C-CA3AEB51DF29}" name="Nitrate Pollution Category" dataDxfId="17">
      <calculatedColumnFormula>IF(AllData[[#This Row],[Nitrate (PPM)]]&gt;2, "Very high", IF(AllData[[#This Row],[Nitrate (PPM)]]&gt;1, "High", IF(AllData[[#This Row],[Nitrate (PPM)]]&gt;0.5, "Some evidence", IF(AllData[[#This Row],[Nitrate (PPM)]]&gt;=0, "No evidence"))))</calculatedColumnFormula>
    </tableColumn>
    <tableColumn id="20" xr3:uid="{0FC94934-60CF-49D8-AC9C-73247763111A}" name="Phosphate (PPM)" dataDxfId="16"/>
    <tableColumn id="21" xr3:uid="{E8BB6180-1A14-423E-80BD-690AE4B4E3E0}" name="Phosphate Pollution Category" dataDxfId="15">
      <calculatedColumnFormula>IF(AllData[[#This Row],[Phosphate (PPM)]]&gt;0.5, "Very high", IF(AllData[[#This Row],[Phosphate (PPM)]]&gt;0.1, "High", IF(AllData[[#This Row],[Phosphate (PPM)]]&gt;0.05, "Some evidence", IF(AllData[[#This Row],[Phosphate (PPM)]]&lt;=0.05, "No Evidence", ""))))</calculatedColumnFormula>
    </tableColumn>
    <tableColumn id="22" xr3:uid="{DA2BA475-1BAB-4FA4-947C-7ABDEDCFABF2}" name="River Height" dataDxfId="14"/>
    <tableColumn id="23" xr3:uid="{15192D91-7C42-4DA3-AA10-9FCD6528405E}" name="Comments" dataDxfId="1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2BD183-1A9E-41A9-AEE9-2A322BDD0AEC}" name="Locations" displayName="Locations" ref="A2:D122" totalsRowShown="0">
  <autoFilter ref="A2:D122" xr:uid="{D72BD183-1A9E-41A9-AEE9-2A322BDD0AEC}"/>
  <sortState xmlns:xlrd2="http://schemas.microsoft.com/office/spreadsheetml/2017/richdata2" ref="A3:D122">
    <sortCondition ref="A2:A122"/>
  </sortState>
  <tableColumns count="4">
    <tableColumn id="1" xr3:uid="{B49E25ED-B418-49BF-9EDB-B17FE41CAFBA}" name="Location Name"/>
    <tableColumn id="9" xr3:uid="{F1D70A46-29B8-461A-9CB5-0A5BF6DF6C32}" name="Latitude Range" dataDxfId="12">
      <calculatedColumnFormula>#REF!-#REF!</calculatedColumnFormula>
    </tableColumn>
    <tableColumn id="10" xr3:uid="{396FD7D6-E037-4907-8BBC-D0DE97A3EB02}" name="Longitude Range" dataDxfId="11">
      <calculatedColumnFormula>#REF!-#REF!</calculatedColumnFormula>
    </tableColumn>
    <tableColumn id="11" xr3:uid="{10C547D5-6A00-4134-9B75-BC3B577C3C7B}" name="Group A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81EB23-5DF1-41F4-877B-0942AA45D6BA}" name="LocationsKey" displayName="LocationsKey" ref="F2:J68" totalsRowShown="0">
  <autoFilter ref="F2:J68" xr:uid="{2681EB23-5DF1-41F4-877B-0942AA45D6BA}"/>
  <sortState xmlns:xlrd2="http://schemas.microsoft.com/office/spreadsheetml/2017/richdata2" ref="F3:J68">
    <sortCondition ref="F2:F68"/>
  </sortState>
  <tableColumns count="5">
    <tableColumn id="1" xr3:uid="{1058E91E-3BF3-4F24-828C-8B23DEF10BEA}" name="Site Name"/>
    <tableColumn id="2" xr3:uid="{3C55A793-D017-455F-AE20-372527A88805}" name="Waterway"/>
    <tableColumn id="3" xr3:uid="{4FF20F64-5057-4756-AB9B-63D0C7A8FFD5}" name="District"/>
    <tableColumn id="4" xr3:uid="{AA274410-B3D7-47EF-858A-E0B9878218D9}" name="Designation" dataDxfId="10">
      <calculatedColumnFormula>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calculatedColumnFormula>
    </tableColumn>
    <tableColumn id="5" xr3:uid="{ED8DBDAA-41F6-4B2C-A4F6-FCE70327F243}" name="Tow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4D66B5D-7039-48BF-9EEE-B2C2201CDA2F}" name="AllDataCorrected" displayName="AllDataCorrected" ref="A1:V1238" totalsRowShown="0" headerRowDxfId="9" headerRowBorderDxfId="8">
  <autoFilter ref="A1:V1238" xr:uid="{64D66B5D-7039-48BF-9EEE-B2C2201CDA2F}"/>
  <sortState xmlns:xlrd2="http://schemas.microsoft.com/office/spreadsheetml/2017/richdata2" ref="A2:V237">
    <sortCondition ref="K1:K1238"/>
  </sortState>
  <tableColumns count="22">
    <tableColumn id="1" xr3:uid="{DE4614F7-7FF5-4A8E-8BB2-166F95BC86B8}" name="EC UUID"/>
    <tableColumn id="2" xr3:uid="{55AEAF81-1CB0-4E03-92EB-8611E579E454}" name="Date" dataDxfId="7"/>
    <tableColumn id="3" xr3:uid="{C6883346-301A-4024-8B5B-F4BC9087EEF0}" name="Season">
      <calculatedColumnFormula array="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calculatedColumnFormula>
    </tableColumn>
    <tableColumn id="4" xr3:uid="{B31C807B-8F38-4AF4-9BF6-AE0804AC0E3F}" name="Year">
      <calculatedColumnFormula>YEAR(AllDataCorrected[[#This Row],[Date]])</calculatedColumnFormula>
    </tableColumn>
    <tableColumn id="5" xr3:uid="{C64BBFF5-BFEC-477A-9709-7D61C26140F6}" name="Time" dataDxfId="6"/>
    <tableColumn id="6" xr3:uid="{726257DF-D3B6-41C0-B555-335440BEA155}" name="Time of Day">
      <calculatedColumnFormula>IF(AND(AllDataCorrected[[#This Row],[Time]]&lt;0.5, AllDataCorrected[[#This Row],[Time]]&gt;0.17)=TRUE, "Morning", IF(AND(AllDataCorrected[[#This Row],[Time]]&lt;0.75, AllDataCorrected[[#This Row],[Time]]&gt;=0.5)=TRUE, "Afternoon", IF(AND(AllDataCorrected[[#This Row],[Time]]&lt;1, AllDataCorrected[[#This Row],[Time]]&gt;=0.75)=TRUE, "Evening", "Night")))</calculatedColumnFormula>
    </tableColumn>
    <tableColumn id="9" xr3:uid="{8DCA58B4-CC0E-40F4-BB46-78C5A954BDCC}" name="Site Name">
      <calculatedColumnFormula>_xlfn.XLOOKUP(AllDataCorrected[[#This Row],[Location Name]], Locations[Location Name],Locations[Group As])</calculatedColumnFormula>
    </tableColumn>
    <tableColumn id="10" xr3:uid="{18B2092A-D27E-4AA3-9DE3-5913EA271C60}" name="District">
      <calculatedColumnFormula>_xlfn.XLOOKUP(AllDataCorrected[[#This Row],[Site Name]],LocationsKey[Site Name],LocationsKey[District])</calculatedColumnFormula>
    </tableColumn>
    <tableColumn id="8" xr3:uid="{14D9B62C-13FA-4288-BD09-C3718C57235F}" name="Town">
      <calculatedColumnFormula>_xlfn.XLOOKUP(AllDataCorrected[[#This Row],[Site Name]],LocationsKey[Site Name],LocationsKey[Town])</calculatedColumnFormula>
    </tableColumn>
    <tableColumn id="11" xr3:uid="{2D2A7672-97F1-42B8-A136-C5CCCFDE3735}" name="River">
      <calculatedColumnFormula>_xlfn.XLOOKUP(AllDataCorrected[[#This Row],[Site Name]],LocationsKey[Site Name], LocationsKey[Waterway])</calculatedColumnFormula>
    </tableColumn>
    <tableColumn id="12" xr3:uid="{60502487-6EBE-4695-92DA-7C9DC916E43C}" name="Location Name"/>
    <tableColumn id="13" xr3:uid="{CBC01F8B-6E33-4E1A-990E-82E5C7BFD678}" name="Latitude">
      <calculatedColumnFormula>_xlfn.XLOOKUP(AllDataCorrected[[#This Row],[Site Name]],Tables!$B$12:$B$78, Tables!C$12:C$78)</calculatedColumnFormula>
    </tableColumn>
    <tableColumn id="14" xr3:uid="{6E57DD6D-DCA2-4585-89B6-0546D382FB11}" name="Longitude">
      <calculatedColumnFormula>_xlfn.XLOOKUP(AllDataCorrected[[#This Row],[Site Name]],Tables!$B$12:$B$78, Tables!D$12:D$78)</calculatedColumnFormula>
    </tableColumn>
    <tableColumn id="15" xr3:uid="{5EFEF742-64AB-49C1-A46D-EA97C2831F9D}" name="Above or Below CSO"/>
    <tableColumn id="16" xr3:uid="{39B11C4F-D152-4C44-87CB-0F71ACE48C2E}" name="Electrical Conductivity (Micros)"/>
    <tableColumn id="17" xr3:uid="{9EAA399F-FE3F-4D0A-B1E0-FEC754028C4C}" name="Water Temp (deg C)"/>
    <tableColumn id="18" xr3:uid="{A0228609-4F58-4A2A-8009-D5E30F0F93E0}" name="Nitrate (PPM)"/>
    <tableColumn id="19" xr3:uid="{826F17F5-2EF6-44B7-B2F5-E460021CF0EB}" name="Nitrate Pollution Category">
      <calculatedColumnFormula>IF(AllDataCorrected[[#This Row],[Nitrate (PPM)]]&gt;2, "Very high", IF(AllDataCorrected[[#This Row],[Nitrate (PPM)]]&gt;1, "High", IF(AllDataCorrected[[#This Row],[Nitrate (PPM)]]&gt;0.5, "Some evidence", IF(AllDataCorrected[[#This Row],[Nitrate (PPM)]]&gt;=0, "No evidence"))))</calculatedColumnFormula>
    </tableColumn>
    <tableColumn id="20" xr3:uid="{31BC6628-7380-4896-9DCC-5AC0050FB305}" name="Phosphate (PPM)"/>
    <tableColumn id="21" xr3:uid="{D88A91F0-C730-4AAE-BE4A-BC6700083D03}" name="Phosphate Pollution Category">
      <calculatedColumnFormula>IF(AllDataCorrected[[#This Row],[Phosphate (PPM)]]&gt;0.5, "Very high", IF(AllDataCorrected[[#This Row],[Phosphate (PPM)]]&gt;0.1, "High", IF(AllDataCorrected[[#This Row],[Phosphate (PPM)]]&gt;0.05, "Some evidence", IF(AllDataCorrected[[#This Row],[Phosphate (PPM)]]&lt;=0.05, "No Evidence", ""))))</calculatedColumnFormula>
    </tableColumn>
    <tableColumn id="22" xr3:uid="{95234332-9F5F-4673-86A2-84D3853A72AD}" name="River Height"/>
    <tableColumn id="23" xr3:uid="{B38AAE58-487D-4107-91AE-092FAD965AAC}" name="Comments"/>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ntent.freshwaterhabitats.org.uk/2015/10/CWfWTechnicalDocumentFINAL.pdf" TargetMode="External"/><Relationship Id="rId1" Type="http://schemas.openxmlformats.org/officeDocument/2006/relationships/hyperlink" Target="https://www.wyeuskfoundation.org/wp-content/uploads/2023/10/aguidetocitizenscienceriverwatersamplingandwaterqualitytestinginthefield.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mapcustomizer.com/map/Safe%20Avon%20Test%20Sites%2003-09-2024"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D6485-518F-4AF7-875E-C7975016DF98}">
  <dimension ref="A1:V1240"/>
  <sheetViews>
    <sheetView tabSelected="1" zoomScale="85" zoomScaleNormal="85" workbookViewId="0">
      <pane ySplit="1" topLeftCell="A2" activePane="bottomLeft" state="frozen"/>
      <selection activeCell="K599" sqref="K599"/>
      <selection pane="bottomLeft" activeCell="K13" sqref="K13"/>
    </sheetView>
  </sheetViews>
  <sheetFormatPr defaultRowHeight="15" x14ac:dyDescent="0.25"/>
  <cols>
    <col min="1" max="1" width="9.5703125" customWidth="1"/>
    <col min="2" max="2" width="12.42578125" bestFit="1" customWidth="1"/>
    <col min="3" max="3" width="9" customWidth="1"/>
    <col min="4" max="4" width="6.7109375" customWidth="1"/>
    <col min="5" max="5" width="7.28515625" customWidth="1"/>
    <col min="6" max="6" width="13.140625" customWidth="1"/>
    <col min="7" max="7" width="35.28515625" bestFit="1" customWidth="1"/>
    <col min="8" max="8" width="16.28515625" bestFit="1" customWidth="1"/>
    <col min="9" max="10" width="19.85546875" bestFit="1" customWidth="1"/>
    <col min="11" max="11" width="10" bestFit="1" customWidth="1"/>
    <col min="12" max="12" width="11.5703125" customWidth="1"/>
    <col min="13" max="13" width="20.42578125" customWidth="1"/>
    <col min="14" max="14" width="19.42578125" customWidth="1"/>
    <col min="15" max="15" width="20.140625" customWidth="1"/>
    <col min="16" max="16" width="15.7109375" customWidth="1"/>
    <col min="17" max="17" width="25.42578125" customWidth="1"/>
    <col min="18" max="18" width="18.7109375" customWidth="1"/>
    <col min="19" max="19" width="28.42578125" customWidth="1"/>
    <col min="20" max="20" width="13.42578125" customWidth="1"/>
    <col min="21" max="21" width="217.28515625" bestFit="1" customWidth="1"/>
  </cols>
  <sheetData>
    <row r="1" spans="1:22" ht="15.75" thickBot="1" x14ac:dyDescent="0.3">
      <c r="A1" s="8" t="s">
        <v>0</v>
      </c>
      <c r="B1" s="9" t="s">
        <v>1</v>
      </c>
      <c r="C1" s="9" t="s">
        <v>2</v>
      </c>
      <c r="D1" s="9" t="s">
        <v>3</v>
      </c>
      <c r="E1" s="10" t="s">
        <v>4</v>
      </c>
      <c r="F1" s="10" t="s">
        <v>5</v>
      </c>
      <c r="G1" s="5" t="s">
        <v>6</v>
      </c>
      <c r="H1" s="5" t="s">
        <v>1956</v>
      </c>
      <c r="I1" s="5" t="s">
        <v>1945</v>
      </c>
      <c r="J1" s="5" t="s">
        <v>8</v>
      </c>
      <c r="K1" s="5" t="s">
        <v>9</v>
      </c>
      <c r="L1" s="5" t="s">
        <v>10</v>
      </c>
      <c r="M1" s="5" t="s">
        <v>11</v>
      </c>
      <c r="N1" s="5" t="s">
        <v>12</v>
      </c>
      <c r="O1" s="5" t="s">
        <v>13</v>
      </c>
      <c r="P1" s="5" t="s">
        <v>14</v>
      </c>
      <c r="Q1" s="5" t="s">
        <v>15</v>
      </c>
      <c r="R1" s="5" t="s">
        <v>16</v>
      </c>
      <c r="S1" s="5" t="s">
        <v>17</v>
      </c>
      <c r="T1" s="5" t="s">
        <v>18</v>
      </c>
      <c r="U1" s="5" t="s">
        <v>19</v>
      </c>
      <c r="V1" s="6" t="s">
        <v>20</v>
      </c>
    </row>
    <row r="2" spans="1:22" ht="15.75" thickTop="1" x14ac:dyDescent="0.25">
      <c r="A2" t="s">
        <v>21</v>
      </c>
      <c r="B2" s="2">
        <v>45112</v>
      </c>
      <c r="C2" s="2" t="str" cm="1">
        <f t="array" ref="C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
        <f>YEAR(AllData[[#This Row],[Date]])</f>
        <v>2023</v>
      </c>
      <c r="E2" s="1">
        <v>0.64444444444444449</v>
      </c>
      <c r="F2" s="2" t="str">
        <f>IF(AND(AllData[[#This Row],[Time]]&lt;0.5, AllData[[#This Row],[Time]]&gt;0.17)=TRUE, "Morning", IF(AND(AllData[[#This Row],[Time]]&lt;0.75, AllData[[#This Row],[Time]]&gt;=0.5)=TRUE, "Afternoon", IF(AND(AllData[[#This Row],[Time]]&lt;1, AllData[[#This Row],[Time]]&gt;=0.75)=TRUE, "Evening", "Night")))</f>
        <v>Afternoon</v>
      </c>
      <c r="G2" t="str">
        <f>_xlfn.XLOOKUP(AllData[[#This Row],[Location Name]], Locations[Location Name],Locations[Group As])</f>
        <v>Abbey Mill</v>
      </c>
      <c r="H2" t="e" vm="1">
        <f>_xlfn.XLOOKUP(AllData[[#This Row],[Site Name]],LocationsKey[Site Name],LocationsKey[District])</f>
        <v>#VALUE!</v>
      </c>
      <c r="I2" t="e" vm="1">
        <f>_xlfn.XLOOKUP(AllData[[#This Row],[Site Name]],LocationsKey[Site Name],LocationsKey[Town])</f>
        <v>#VALUE!</v>
      </c>
      <c r="J2" t="str">
        <f>_xlfn.XLOOKUP(AllData[[#This Row],[Site Name]],LocationsKey[Site Name], LocationsKey[Waterway])</f>
        <v>Avon</v>
      </c>
      <c r="K2" t="s">
        <v>22</v>
      </c>
      <c r="L2">
        <v>51.994824000000001</v>
      </c>
      <c r="M2">
        <v>-2.1510699999999998</v>
      </c>
      <c r="N2" t="s">
        <v>23</v>
      </c>
      <c r="O2">
        <v>958</v>
      </c>
      <c r="P2">
        <v>19.100000000000001</v>
      </c>
      <c r="Q2">
        <v>7</v>
      </c>
      <c r="R2" s="7" t="str">
        <f>IF(AllData[[#This Row],[Nitrate (PPM)]]&gt;2, "Very high", IF(AllData[[#This Row],[Nitrate (PPM)]]&gt;1, "High", IF(AllData[[#This Row],[Nitrate (PPM)]]&gt;0.5, "Some evidence", IF(AllData[[#This Row],[Nitrate (PPM)]]&gt;=0, "No evidence"))))</f>
        <v>Very high</v>
      </c>
      <c r="S2" s="4">
        <v>1.29</v>
      </c>
      <c r="T2" s="7" t="str">
        <f>IF(AllData[[#This Row],[Phosphate (PPM)]]&gt;0.5, "Very high", IF(AllData[[#This Row],[Phosphate (PPM)]]&gt;0.1, "High", IF(AllData[[#This Row],[Phosphate (PPM)]]&gt;0.05, "Some evidence", IF(AllData[[#This Row],[Phosphate (PPM)]]&lt;=0.05, "No Evidence", ""))))</f>
        <v>Very high</v>
      </c>
      <c r="U2">
        <v>0</v>
      </c>
    </row>
    <row r="3" spans="1:22" x14ac:dyDescent="0.25">
      <c r="A3" t="s">
        <v>24</v>
      </c>
      <c r="B3" s="2">
        <v>45116</v>
      </c>
      <c r="C3" s="2" t="str" cm="1">
        <f t="array" ref="C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
        <f>YEAR(AllData[[#This Row],[Date]])</f>
        <v>2023</v>
      </c>
      <c r="E3" s="1">
        <v>0.43333333333333335</v>
      </c>
      <c r="F3" s="2" t="str">
        <f>IF(AND(AllData[[#This Row],[Time]]&lt;0.5, AllData[[#This Row],[Time]]&gt;0.17)=TRUE, "Morning", IF(AND(AllData[[#This Row],[Time]]&lt;0.75, AllData[[#This Row],[Time]]&gt;=0.5)=TRUE, "Afternoon", IF(AND(AllData[[#This Row],[Time]]&lt;1, AllData[[#This Row],[Time]]&gt;=0.75)=TRUE, "Evening", "Night")))</f>
        <v>Morning</v>
      </c>
      <c r="G3" t="str">
        <f>_xlfn.XLOOKUP(AllData[[#This Row],[Location Name]], Locations[Location Name],Locations[Group As])</f>
        <v>Abbey Mill</v>
      </c>
      <c r="H3" t="e" vm="1">
        <f>_xlfn.XLOOKUP(AllData[[#This Row],[Site Name]],LocationsKey[Site Name],LocationsKey[District])</f>
        <v>#VALUE!</v>
      </c>
      <c r="I3" t="e" vm="1">
        <f>_xlfn.XLOOKUP(AllData[[#This Row],[Site Name]],LocationsKey[Site Name],LocationsKey[Town])</f>
        <v>#VALUE!</v>
      </c>
      <c r="J3" t="str">
        <f>_xlfn.XLOOKUP(AllData[[#This Row],[Site Name]],LocationsKey[Site Name], LocationsKey[Waterway])</f>
        <v>Avon</v>
      </c>
      <c r="K3" t="s">
        <v>25</v>
      </c>
      <c r="L3">
        <v>51.994821999999999</v>
      </c>
      <c r="M3">
        <v>-2.1510720000000001</v>
      </c>
      <c r="N3" t="s">
        <v>23</v>
      </c>
      <c r="O3">
        <v>993</v>
      </c>
      <c r="P3">
        <v>19</v>
      </c>
      <c r="Q3">
        <v>8</v>
      </c>
      <c r="R3" s="7" t="str">
        <f>IF(AllData[[#This Row],[Nitrate (PPM)]]&gt;2, "Very high", IF(AllData[[#This Row],[Nitrate (PPM)]]&gt;1, "High", IF(AllData[[#This Row],[Nitrate (PPM)]]&gt;0.5, "Some evidence", IF(AllData[[#This Row],[Nitrate (PPM)]]&gt;=0, "No evidence"))))</f>
        <v>Very high</v>
      </c>
      <c r="S3" s="4">
        <v>1.1100000000000001</v>
      </c>
      <c r="T3" s="7" t="str">
        <f>IF(AllData[[#This Row],[Phosphate (PPM)]]&gt;0.5, "Very high", IF(AllData[[#This Row],[Phosphate (PPM)]]&gt;0.1, "High", IF(AllData[[#This Row],[Phosphate (PPM)]]&gt;0.05, "Some evidence", IF(AllData[[#This Row],[Phosphate (PPM)]]&lt;=0.05, "No Evidence", ""))))</f>
        <v>Very high</v>
      </c>
      <c r="U3">
        <v>0</v>
      </c>
      <c r="V3" t="s">
        <v>26</v>
      </c>
    </row>
    <row r="4" spans="1:22" x14ac:dyDescent="0.25">
      <c r="A4" t="s">
        <v>27</v>
      </c>
      <c r="B4" s="2">
        <v>45118</v>
      </c>
      <c r="C4" s="2" t="str" cm="1">
        <f t="array" ref="C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
        <f>YEAR(AllData[[#This Row],[Date]])</f>
        <v>2023</v>
      </c>
      <c r="E4" s="1">
        <v>0.42986111111111114</v>
      </c>
      <c r="F4" s="2" t="str">
        <f>IF(AND(AllData[[#This Row],[Time]]&lt;0.5, AllData[[#This Row],[Time]]&gt;0.17)=TRUE, "Morning", IF(AND(AllData[[#This Row],[Time]]&lt;0.75, AllData[[#This Row],[Time]]&gt;=0.5)=TRUE, "Afternoon", IF(AND(AllData[[#This Row],[Time]]&lt;1, AllData[[#This Row],[Time]]&gt;=0.75)=TRUE, "Evening", "Night")))</f>
        <v>Morning</v>
      </c>
      <c r="G4" t="str">
        <f>_xlfn.XLOOKUP(AllData[[#This Row],[Location Name]], Locations[Location Name],Locations[Group As])</f>
        <v>Twyning Fleet</v>
      </c>
      <c r="H4" t="e" vm="1">
        <f>_xlfn.XLOOKUP(AllData[[#This Row],[Site Name]],LocationsKey[Site Name],LocationsKey[District])</f>
        <v>#VALUE!</v>
      </c>
      <c r="I4" t="str">
        <f>_xlfn.XLOOKUP(AllData[[#This Row],[Site Name]],LocationsKey[Site Name],LocationsKey[Town])</f>
        <v>Twyning Green</v>
      </c>
      <c r="J4" t="str">
        <f>_xlfn.XLOOKUP(AllData[[#This Row],[Site Name]],LocationsKey[Site Name], LocationsKey[Waterway])</f>
        <v>Avon</v>
      </c>
      <c r="K4" t="s">
        <v>28</v>
      </c>
      <c r="L4">
        <v>52.027006999999998</v>
      </c>
      <c r="M4">
        <v>-2.1405560000000001</v>
      </c>
      <c r="N4" t="s">
        <v>29</v>
      </c>
      <c r="P4">
        <v>19.399999999999999</v>
      </c>
      <c r="R4" s="7"/>
      <c r="S4" s="4">
        <v>1.1599999999999999</v>
      </c>
      <c r="T4" s="7" t="str">
        <f>IF(AllData[[#This Row],[Phosphate (PPM)]]&gt;0.5, "Very high", IF(AllData[[#This Row],[Phosphate (PPM)]]&gt;0.1, "High", IF(AllData[[#This Row],[Phosphate (PPM)]]&gt;0.05, "Some evidence", IF(AllData[[#This Row],[Phosphate (PPM)]]&lt;=0.05, "No Evidence", ""))))</f>
        <v>Very high</v>
      </c>
      <c r="U4">
        <v>0</v>
      </c>
      <c r="V4" t="s">
        <v>30</v>
      </c>
    </row>
    <row r="5" spans="1:22" x14ac:dyDescent="0.25">
      <c r="A5" t="s">
        <v>31</v>
      </c>
      <c r="B5" s="2">
        <v>45123</v>
      </c>
      <c r="C5" s="2" t="str" cm="1">
        <f t="array" ref="C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
        <f>YEAR(AllData[[#This Row],[Date]])</f>
        <v>2023</v>
      </c>
      <c r="E5" s="1">
        <v>0.35</v>
      </c>
      <c r="F5" s="2" t="str">
        <f>IF(AND(AllData[[#This Row],[Time]]&lt;0.5, AllData[[#This Row],[Time]]&gt;0.17)=TRUE, "Morning", IF(AND(AllData[[#This Row],[Time]]&lt;0.75, AllData[[#This Row],[Time]]&gt;=0.5)=TRUE, "Afternoon", IF(AND(AllData[[#This Row],[Time]]&lt;1, AllData[[#This Row],[Time]]&gt;=0.75)=TRUE, "Evening", "Night")))</f>
        <v>Morning</v>
      </c>
      <c r="G5" t="str">
        <f>_xlfn.XLOOKUP(AllData[[#This Row],[Location Name]], Locations[Location Name],Locations[Group As])</f>
        <v>Abbey Mill</v>
      </c>
      <c r="H5" t="e" vm="1">
        <f>_xlfn.XLOOKUP(AllData[[#This Row],[Site Name]],LocationsKey[Site Name],LocationsKey[District])</f>
        <v>#VALUE!</v>
      </c>
      <c r="I5" t="e" vm="1">
        <f>_xlfn.XLOOKUP(AllData[[#This Row],[Site Name]],LocationsKey[Site Name],LocationsKey[Town])</f>
        <v>#VALUE!</v>
      </c>
      <c r="J5" t="str">
        <f>_xlfn.XLOOKUP(AllData[[#This Row],[Site Name]],LocationsKey[Site Name], LocationsKey[Waterway])</f>
        <v>Avon</v>
      </c>
      <c r="K5" t="s">
        <v>22</v>
      </c>
      <c r="L5">
        <v>51.991506999999999</v>
      </c>
      <c r="M5">
        <v>-2.1626789999999998</v>
      </c>
      <c r="N5" t="s">
        <v>23</v>
      </c>
      <c r="O5">
        <v>982</v>
      </c>
      <c r="P5">
        <v>18.7</v>
      </c>
      <c r="Q5">
        <v>10</v>
      </c>
      <c r="R5" s="7" t="str">
        <f>IF(AllData[[#This Row],[Nitrate (PPM)]]&gt;2, "Very high", IF(AllData[[#This Row],[Nitrate (PPM)]]&gt;1, "High", IF(AllData[[#This Row],[Nitrate (PPM)]]&gt;0.5, "Some evidence", IF(AllData[[#This Row],[Nitrate (PPM)]]&gt;=0, "No evidence"))))</f>
        <v>Very high</v>
      </c>
      <c r="S5" s="4">
        <v>1.04</v>
      </c>
      <c r="T5" s="7" t="str">
        <f>IF(AllData[[#This Row],[Phosphate (PPM)]]&gt;0.5, "Very high", IF(AllData[[#This Row],[Phosphate (PPM)]]&gt;0.1, "High", IF(AllData[[#This Row],[Phosphate (PPM)]]&gt;0.05, "Some evidence", IF(AllData[[#This Row],[Phosphate (PPM)]]&lt;=0.05, "No Evidence", ""))))</f>
        <v>Very high</v>
      </c>
      <c r="U5">
        <v>0</v>
      </c>
      <c r="V5" t="s">
        <v>32</v>
      </c>
    </row>
    <row r="6" spans="1:22" x14ac:dyDescent="0.25">
      <c r="A6" t="s">
        <v>33</v>
      </c>
      <c r="B6" s="2">
        <v>45123</v>
      </c>
      <c r="C6" s="2" t="str" cm="1">
        <f t="array" ref="C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
        <f>YEAR(AllData[[#This Row],[Date]])</f>
        <v>2023</v>
      </c>
      <c r="E6" s="1">
        <v>0.47916666666666669</v>
      </c>
      <c r="F6" s="2" t="str">
        <f>IF(AND(AllData[[#This Row],[Time]]&lt;0.5, AllData[[#This Row],[Time]]&gt;0.17)=TRUE, "Morning", IF(AND(AllData[[#This Row],[Time]]&lt;0.75, AllData[[#This Row],[Time]]&gt;=0.5)=TRUE, "Afternoon", IF(AND(AllData[[#This Row],[Time]]&lt;1, AllData[[#This Row],[Time]]&gt;=0.75)=TRUE, "Evening", "Night")))</f>
        <v>Morning</v>
      </c>
      <c r="G6" t="str">
        <f>_xlfn.XLOOKUP(AllData[[#This Row],[Location Name]], Locations[Location Name],Locations[Group As])</f>
        <v>Hampton Wood</v>
      </c>
      <c r="H6" t="e" vm="2">
        <f>_xlfn.XLOOKUP(AllData[[#This Row],[Site Name]],LocationsKey[Site Name],LocationsKey[District])</f>
        <v>#VALUE!</v>
      </c>
      <c r="I6" t="e" vm="3">
        <f>_xlfn.XLOOKUP(AllData[[#This Row],[Site Name]],LocationsKey[Site Name],LocationsKey[Town])</f>
        <v>#VALUE!</v>
      </c>
      <c r="J6" t="str">
        <f>_xlfn.XLOOKUP(AllData[[#This Row],[Site Name]],LocationsKey[Site Name], LocationsKey[Waterway])</f>
        <v>Avon</v>
      </c>
      <c r="K6" t="s">
        <v>34</v>
      </c>
      <c r="L6">
        <v>52.238149999999997</v>
      </c>
      <c r="M6">
        <v>-1.6245799999999999</v>
      </c>
      <c r="N6" t="s">
        <v>29</v>
      </c>
      <c r="O6">
        <v>682</v>
      </c>
      <c r="P6">
        <v>18</v>
      </c>
      <c r="Q6">
        <v>10</v>
      </c>
      <c r="R6" s="7" t="str">
        <f>IF(AllData[[#This Row],[Nitrate (PPM)]]&gt;2, "Very high", IF(AllData[[#This Row],[Nitrate (PPM)]]&gt;1, "High", IF(AllData[[#This Row],[Nitrate (PPM)]]&gt;0.5, "Some evidence", IF(AllData[[#This Row],[Nitrate (PPM)]]&gt;=0, "No evidence"))))</f>
        <v>Very high</v>
      </c>
      <c r="S6" s="4">
        <v>0.63</v>
      </c>
      <c r="T6" s="7" t="str">
        <f>IF(AllData[[#This Row],[Phosphate (PPM)]]&gt;0.5, "Very high", IF(AllData[[#This Row],[Phosphate (PPM)]]&gt;0.1, "High", IF(AllData[[#This Row],[Phosphate (PPM)]]&gt;0.05, "Some evidence", IF(AllData[[#This Row],[Phosphate (PPM)]]&lt;=0.05, "No Evidence", ""))))</f>
        <v>Very high</v>
      </c>
      <c r="U6">
        <v>0</v>
      </c>
      <c r="V6" t="s">
        <v>35</v>
      </c>
    </row>
    <row r="7" spans="1:22" x14ac:dyDescent="0.25">
      <c r="A7" t="s">
        <v>36</v>
      </c>
      <c r="B7" s="2">
        <v>45123</v>
      </c>
      <c r="C7" s="2" t="str" cm="1">
        <f t="array" ref="C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7">
        <f>YEAR(AllData[[#This Row],[Date]])</f>
        <v>2023</v>
      </c>
      <c r="E7" s="1">
        <v>0.52083333333333337</v>
      </c>
      <c r="F7" s="2" t="str">
        <f>IF(AND(AllData[[#This Row],[Time]]&lt;0.5, AllData[[#This Row],[Time]]&gt;0.17)=TRUE, "Morning", IF(AND(AllData[[#This Row],[Time]]&lt;0.75, AllData[[#This Row],[Time]]&gt;=0.5)=TRUE, "Afternoon", IF(AND(AllData[[#This Row],[Time]]&lt;1, AllData[[#This Row],[Time]]&gt;=0.75)=TRUE, "Evening", "Night")))</f>
        <v>Afternoon</v>
      </c>
      <c r="G7" t="str">
        <f>_xlfn.XLOOKUP(AllData[[#This Row],[Location Name]], Locations[Location Name],Locations[Group As])</f>
        <v>Hampton Lucy</v>
      </c>
      <c r="H7" t="e" vm="2">
        <f>_xlfn.XLOOKUP(AllData[[#This Row],[Site Name]],LocationsKey[Site Name],LocationsKey[District])</f>
        <v>#VALUE!</v>
      </c>
      <c r="I7" t="e" vm="4">
        <f>_xlfn.XLOOKUP(AllData[[#This Row],[Site Name]],LocationsKey[Site Name],LocationsKey[Town])</f>
        <v>#VALUE!</v>
      </c>
      <c r="J7" t="str">
        <f>_xlfn.XLOOKUP(AllData[[#This Row],[Site Name]],LocationsKey[Site Name], LocationsKey[Waterway])</f>
        <v>Avon</v>
      </c>
      <c r="K7" t="s">
        <v>37</v>
      </c>
      <c r="L7">
        <v>52.211680000000001</v>
      </c>
      <c r="M7">
        <v>-1.6244400000000001</v>
      </c>
      <c r="N7" t="s">
        <v>23</v>
      </c>
      <c r="O7">
        <v>782</v>
      </c>
      <c r="P7">
        <v>18.5</v>
      </c>
      <c r="Q7">
        <v>5</v>
      </c>
      <c r="R7" s="7" t="str">
        <f>IF(AllData[[#This Row],[Nitrate (PPM)]]&gt;2, "Very high", IF(AllData[[#This Row],[Nitrate (PPM)]]&gt;1, "High", IF(AllData[[#This Row],[Nitrate (PPM)]]&gt;0.5, "Some evidence", IF(AllData[[#This Row],[Nitrate (PPM)]]&gt;=0, "No evidence"))))</f>
        <v>Very high</v>
      </c>
      <c r="S7" s="4">
        <v>0.55000000000000004</v>
      </c>
      <c r="T7" s="7" t="str">
        <f>IF(AllData[[#This Row],[Phosphate (PPM)]]&gt;0.5, "Very high", IF(AllData[[#This Row],[Phosphate (PPM)]]&gt;0.1, "High", IF(AllData[[#This Row],[Phosphate (PPM)]]&gt;0.05, "Some evidence", IF(AllData[[#This Row],[Phosphate (PPM)]]&lt;=0.05, "No Evidence", ""))))</f>
        <v>Very high</v>
      </c>
      <c r="U7">
        <v>0</v>
      </c>
      <c r="V7" t="s">
        <v>35</v>
      </c>
    </row>
    <row r="8" spans="1:22" x14ac:dyDescent="0.25">
      <c r="A8" t="s">
        <v>38</v>
      </c>
      <c r="B8" s="2">
        <v>45123</v>
      </c>
      <c r="C8" s="2" t="str" cm="1">
        <f t="array" ref="C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
        <f>YEAR(AllData[[#This Row],[Date]])</f>
        <v>2023</v>
      </c>
      <c r="E8" s="1">
        <v>0.69097222222222221</v>
      </c>
      <c r="F8" s="2" t="str">
        <f>IF(AND(AllData[[#This Row],[Time]]&lt;0.5, AllData[[#This Row],[Time]]&gt;0.17)=TRUE, "Morning", IF(AND(AllData[[#This Row],[Time]]&lt;0.75, AllData[[#This Row],[Time]]&gt;=0.5)=TRUE, "Afternoon", IF(AND(AllData[[#This Row],[Time]]&lt;1, AllData[[#This Row],[Time]]&gt;=0.75)=TRUE, "Evening", "Night")))</f>
        <v>Afternoon</v>
      </c>
      <c r="G8" t="str">
        <f>_xlfn.XLOOKUP(AllData[[#This Row],[Location Name]], Locations[Location Name],Locations[Group As])</f>
        <v>Welford Boat Station</v>
      </c>
      <c r="H8" t="e" vm="2">
        <f>_xlfn.XLOOKUP(AllData[[#This Row],[Site Name]],LocationsKey[Site Name],LocationsKey[District])</f>
        <v>#VALUE!</v>
      </c>
      <c r="I8" t="e" vm="5">
        <f>_xlfn.XLOOKUP(AllData[[#This Row],[Site Name]],LocationsKey[Site Name],LocationsKey[Town])</f>
        <v>#VALUE!</v>
      </c>
      <c r="J8" t="str">
        <f>_xlfn.XLOOKUP(AllData[[#This Row],[Site Name]],LocationsKey[Site Name], LocationsKey[Waterway])</f>
        <v>Avon</v>
      </c>
      <c r="K8" t="s">
        <v>39</v>
      </c>
      <c r="L8">
        <v>52.175240000000002</v>
      </c>
      <c r="M8">
        <v>-1.7918700000000001</v>
      </c>
      <c r="N8" t="s">
        <v>23</v>
      </c>
      <c r="O8">
        <v>732</v>
      </c>
      <c r="P8">
        <v>19.5</v>
      </c>
      <c r="Q8">
        <v>7</v>
      </c>
      <c r="R8" s="7" t="str">
        <f>IF(AllData[[#This Row],[Nitrate (PPM)]]&gt;2, "Very high", IF(AllData[[#This Row],[Nitrate (PPM)]]&gt;1, "High", IF(AllData[[#This Row],[Nitrate (PPM)]]&gt;0.5, "Some evidence", IF(AllData[[#This Row],[Nitrate (PPM)]]&gt;=0, "No evidence"))))</f>
        <v>Very high</v>
      </c>
      <c r="S8" s="4">
        <v>0.61</v>
      </c>
      <c r="T8" s="7" t="str">
        <f>IF(AllData[[#This Row],[Phosphate (PPM)]]&gt;0.5, "Very high", IF(AllData[[#This Row],[Phosphate (PPM)]]&gt;0.1, "High", IF(AllData[[#This Row],[Phosphate (PPM)]]&gt;0.05, "Some evidence", IF(AllData[[#This Row],[Phosphate (PPM)]]&lt;=0.05, "No Evidence", ""))))</f>
        <v>Very high</v>
      </c>
      <c r="U8">
        <v>0</v>
      </c>
      <c r="V8" t="s">
        <v>35</v>
      </c>
    </row>
    <row r="9" spans="1:22" x14ac:dyDescent="0.25">
      <c r="A9" t="s">
        <v>40</v>
      </c>
      <c r="B9" s="2">
        <v>45129</v>
      </c>
      <c r="C9" s="2" t="str" cm="1">
        <f t="array" ref="C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
        <f>YEAR(AllData[[#This Row],[Date]])</f>
        <v>2023</v>
      </c>
      <c r="E9" s="1">
        <v>0.76736111111111116</v>
      </c>
      <c r="F9" s="2" t="str">
        <f>IF(AND(AllData[[#This Row],[Time]]&lt;0.5, AllData[[#This Row],[Time]]&gt;0.17)=TRUE, "Morning", IF(AND(AllData[[#This Row],[Time]]&lt;0.75, AllData[[#This Row],[Time]]&gt;=0.5)=TRUE, "Afternoon", IF(AND(AllData[[#This Row],[Time]]&lt;1, AllData[[#This Row],[Time]]&gt;=0.75)=TRUE, "Evening", "Night")))</f>
        <v>Evening</v>
      </c>
      <c r="G9" t="str">
        <f>_xlfn.XLOOKUP(AllData[[#This Row],[Location Name]], Locations[Location Name],Locations[Group As])</f>
        <v>Weston-on-Avon</v>
      </c>
      <c r="H9" t="e" vm="2">
        <f>_xlfn.XLOOKUP(AllData[[#This Row],[Site Name]],LocationsKey[Site Name],LocationsKey[District])</f>
        <v>#VALUE!</v>
      </c>
      <c r="I9" t="e" vm="6">
        <f>_xlfn.XLOOKUP(AllData[[#This Row],[Site Name]],LocationsKey[Site Name],LocationsKey[Town])</f>
        <v>#VALUE!</v>
      </c>
      <c r="J9" t="str">
        <f>_xlfn.XLOOKUP(AllData[[#This Row],[Site Name]],LocationsKey[Site Name], LocationsKey[Waterway])</f>
        <v>Avon</v>
      </c>
      <c r="K9" t="s">
        <v>41</v>
      </c>
      <c r="L9">
        <v>52.167430000000003</v>
      </c>
      <c r="M9">
        <v>-1.7744800000000001</v>
      </c>
      <c r="N9" t="s">
        <v>23</v>
      </c>
      <c r="O9">
        <v>900</v>
      </c>
      <c r="P9">
        <v>18.399999999999999</v>
      </c>
      <c r="Q9">
        <v>2</v>
      </c>
      <c r="R9" s="7" t="str">
        <f>IF(AllData[[#This Row],[Nitrate (PPM)]]&gt;2, "Very high", IF(AllData[[#This Row],[Nitrate (PPM)]]&gt;1, "High", IF(AllData[[#This Row],[Nitrate (PPM)]]&gt;0.5, "Some evidence", IF(AllData[[#This Row],[Nitrate (PPM)]]&gt;=0, "No evidence"))))</f>
        <v>High</v>
      </c>
      <c r="S9" s="4">
        <v>0.9</v>
      </c>
      <c r="T9" s="7" t="str">
        <f>IF(AllData[[#This Row],[Phosphate (PPM)]]&gt;0.5, "Very high", IF(AllData[[#This Row],[Phosphate (PPM)]]&gt;0.1, "High", IF(AllData[[#This Row],[Phosphate (PPM)]]&gt;0.05, "Some evidence", IF(AllData[[#This Row],[Phosphate (PPM)]]&lt;=0.05, "No Evidence", ""))))</f>
        <v>Very high</v>
      </c>
      <c r="U9">
        <v>0</v>
      </c>
      <c r="V9" t="s">
        <v>42</v>
      </c>
    </row>
    <row r="10" spans="1:22" x14ac:dyDescent="0.25">
      <c r="A10" t="s">
        <v>43</v>
      </c>
      <c r="B10" s="2">
        <v>45130</v>
      </c>
      <c r="C10" s="2" t="str" cm="1">
        <f t="array" ref="C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
        <f>YEAR(AllData[[#This Row],[Date]])</f>
        <v>2023</v>
      </c>
      <c r="E10" s="1">
        <v>0.34513888888888888</v>
      </c>
      <c r="F10" s="2" t="str">
        <f>IF(AND(AllData[[#This Row],[Time]]&lt;0.5, AllData[[#This Row],[Time]]&gt;0.17)=TRUE, "Morning", IF(AND(AllData[[#This Row],[Time]]&lt;0.75, AllData[[#This Row],[Time]]&gt;=0.5)=TRUE, "Afternoon", IF(AND(AllData[[#This Row],[Time]]&lt;1, AllData[[#This Row],[Time]]&gt;=0.75)=TRUE, "Evening", "Night")))</f>
        <v>Morning</v>
      </c>
      <c r="G10" t="str">
        <f>_xlfn.XLOOKUP(AllData[[#This Row],[Location Name]], Locations[Location Name],Locations[Group As])</f>
        <v>Abbey Mill</v>
      </c>
      <c r="H10" t="e" vm="1">
        <f>_xlfn.XLOOKUP(AllData[[#This Row],[Site Name]],LocationsKey[Site Name],LocationsKey[District])</f>
        <v>#VALUE!</v>
      </c>
      <c r="I10" t="e" vm="1">
        <f>_xlfn.XLOOKUP(AllData[[#This Row],[Site Name]],LocationsKey[Site Name],LocationsKey[Town])</f>
        <v>#VALUE!</v>
      </c>
      <c r="J10" t="str">
        <f>_xlfn.XLOOKUP(AllData[[#This Row],[Site Name]],LocationsKey[Site Name], LocationsKey[Waterway])</f>
        <v>Avon</v>
      </c>
      <c r="K10" t="s">
        <v>22</v>
      </c>
      <c r="L10">
        <v>51.991394999999997</v>
      </c>
      <c r="M10">
        <v>-2.1626370000000001</v>
      </c>
      <c r="N10" t="s">
        <v>23</v>
      </c>
      <c r="O10">
        <v>819</v>
      </c>
      <c r="P10">
        <v>19.3</v>
      </c>
      <c r="Q10">
        <v>12</v>
      </c>
      <c r="R10" s="7" t="str">
        <f>IF(AllData[[#This Row],[Nitrate (PPM)]]&gt;2, "Very high", IF(AllData[[#This Row],[Nitrate (PPM)]]&gt;1, "High", IF(AllData[[#This Row],[Nitrate (PPM)]]&gt;0.5, "Some evidence", IF(AllData[[#This Row],[Nitrate (PPM)]]&gt;=0, "No evidence"))))</f>
        <v>Very high</v>
      </c>
      <c r="S10" s="4">
        <v>0.86</v>
      </c>
      <c r="T10" s="7" t="str">
        <f>IF(AllData[[#This Row],[Phosphate (PPM)]]&gt;0.5, "Very high", IF(AllData[[#This Row],[Phosphate (PPM)]]&gt;0.1, "High", IF(AllData[[#This Row],[Phosphate (PPM)]]&gt;0.05, "Some evidence", IF(AllData[[#This Row],[Phosphate (PPM)]]&lt;=0.05, "No Evidence", ""))))</f>
        <v>Very high</v>
      </c>
      <c r="U10">
        <v>0</v>
      </c>
    </row>
    <row r="11" spans="1:22" x14ac:dyDescent="0.25">
      <c r="A11" t="s">
        <v>44</v>
      </c>
      <c r="B11" s="2">
        <v>45130</v>
      </c>
      <c r="C11" s="2" t="str" cm="1">
        <f t="array" ref="C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
        <f>YEAR(AllData[[#This Row],[Date]])</f>
        <v>2023</v>
      </c>
      <c r="E11" s="1">
        <v>0.41319444444444442</v>
      </c>
      <c r="F11" s="2" t="str">
        <f>IF(AND(AllData[[#This Row],[Time]]&lt;0.5, AllData[[#This Row],[Time]]&gt;0.17)=TRUE, "Morning", IF(AND(AllData[[#This Row],[Time]]&lt;0.75, AllData[[#This Row],[Time]]&gt;=0.5)=TRUE, "Afternoon", IF(AND(AllData[[#This Row],[Time]]&lt;1, AllData[[#This Row],[Time]]&gt;=0.75)=TRUE, "Evening", "Night")))</f>
        <v>Morning</v>
      </c>
      <c r="G11" t="str">
        <f>_xlfn.XLOOKUP(AllData[[#This Row],[Location Name]], Locations[Location Name],Locations[Group As])</f>
        <v>Hampton Wood</v>
      </c>
      <c r="H11" t="e" vm="2">
        <f>_xlfn.XLOOKUP(AllData[[#This Row],[Site Name]],LocationsKey[Site Name],LocationsKey[District])</f>
        <v>#VALUE!</v>
      </c>
      <c r="I11" t="e" vm="3">
        <f>_xlfn.XLOOKUP(AllData[[#This Row],[Site Name]],LocationsKey[Site Name],LocationsKey[Town])</f>
        <v>#VALUE!</v>
      </c>
      <c r="J11" t="str">
        <f>_xlfn.XLOOKUP(AllData[[#This Row],[Site Name]],LocationsKey[Site Name], LocationsKey[Waterway])</f>
        <v>Avon</v>
      </c>
      <c r="K11" t="s">
        <v>34</v>
      </c>
      <c r="L11">
        <v>52.238149999999997</v>
      </c>
      <c r="M11">
        <v>-1.6245799999999999</v>
      </c>
      <c r="N11" t="s">
        <v>29</v>
      </c>
      <c r="O11">
        <v>806</v>
      </c>
      <c r="P11">
        <v>18.5</v>
      </c>
      <c r="Q11">
        <v>5</v>
      </c>
      <c r="R11" s="7" t="str">
        <f>IF(AllData[[#This Row],[Nitrate (PPM)]]&gt;2, "Very high", IF(AllData[[#This Row],[Nitrate (PPM)]]&gt;1, "High", IF(AllData[[#This Row],[Nitrate (PPM)]]&gt;0.5, "Some evidence", IF(AllData[[#This Row],[Nitrate (PPM)]]&gt;=0, "No evidence"))))</f>
        <v>Very high</v>
      </c>
      <c r="S11" s="4">
        <v>0.6</v>
      </c>
      <c r="T11" s="7" t="str">
        <f>IF(AllData[[#This Row],[Phosphate (PPM)]]&gt;0.5, "Very high", IF(AllData[[#This Row],[Phosphate (PPM)]]&gt;0.1, "High", IF(AllData[[#This Row],[Phosphate (PPM)]]&gt;0.05, "Some evidence", IF(AllData[[#This Row],[Phosphate (PPM)]]&lt;=0.05, "No Evidence", ""))))</f>
        <v>Very high</v>
      </c>
      <c r="U11">
        <v>0</v>
      </c>
      <c r="V11" t="s">
        <v>45</v>
      </c>
    </row>
    <row r="12" spans="1:22" x14ac:dyDescent="0.25">
      <c r="A12" t="s">
        <v>46</v>
      </c>
      <c r="B12" s="2">
        <v>45130</v>
      </c>
      <c r="C12" s="2" t="str" cm="1">
        <f t="array" ref="C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
        <f>YEAR(AllData[[#This Row],[Date]])</f>
        <v>2023</v>
      </c>
      <c r="E12" s="1">
        <v>0.49305555555555558</v>
      </c>
      <c r="F12" s="2" t="str">
        <f>IF(AND(AllData[[#This Row],[Time]]&lt;0.5, AllData[[#This Row],[Time]]&gt;0.17)=TRUE, "Morning", IF(AND(AllData[[#This Row],[Time]]&lt;0.75, AllData[[#This Row],[Time]]&gt;=0.5)=TRUE, "Afternoon", IF(AND(AllData[[#This Row],[Time]]&lt;1, AllData[[#This Row],[Time]]&gt;=0.75)=TRUE, "Evening", "Night")))</f>
        <v>Morning</v>
      </c>
      <c r="G12" t="str">
        <f>_xlfn.XLOOKUP(AllData[[#This Row],[Location Name]], Locations[Location Name],Locations[Group As])</f>
        <v>Hampton Lucy</v>
      </c>
      <c r="H12" t="e" vm="2">
        <f>_xlfn.XLOOKUP(AllData[[#This Row],[Site Name]],LocationsKey[Site Name],LocationsKey[District])</f>
        <v>#VALUE!</v>
      </c>
      <c r="I12" t="e" vm="4">
        <f>_xlfn.XLOOKUP(AllData[[#This Row],[Site Name]],LocationsKey[Site Name],LocationsKey[Town])</f>
        <v>#VALUE!</v>
      </c>
      <c r="J12" t="str">
        <f>_xlfn.XLOOKUP(AllData[[#This Row],[Site Name]],LocationsKey[Site Name], LocationsKey[Waterway])</f>
        <v>Avon</v>
      </c>
      <c r="K12" t="s">
        <v>37</v>
      </c>
      <c r="L12">
        <v>52.211680000000001</v>
      </c>
      <c r="M12">
        <v>-1.6244400000000001</v>
      </c>
      <c r="N12" t="s">
        <v>23</v>
      </c>
      <c r="O12">
        <v>840</v>
      </c>
      <c r="P12">
        <v>19.399999999999999</v>
      </c>
      <c r="Q12">
        <v>5</v>
      </c>
      <c r="R12" s="7" t="str">
        <f>IF(AllData[[#This Row],[Nitrate (PPM)]]&gt;2, "Very high", IF(AllData[[#This Row],[Nitrate (PPM)]]&gt;1, "High", IF(AllData[[#This Row],[Nitrate (PPM)]]&gt;0.5, "Some evidence", IF(AllData[[#This Row],[Nitrate (PPM)]]&gt;=0, "No evidence"))))</f>
        <v>Very high</v>
      </c>
      <c r="S12" s="4">
        <v>0.6</v>
      </c>
      <c r="T12" s="7" t="str">
        <f>IF(AllData[[#This Row],[Phosphate (PPM)]]&gt;0.5, "Very high", IF(AllData[[#This Row],[Phosphate (PPM)]]&gt;0.1, "High", IF(AllData[[#This Row],[Phosphate (PPM)]]&gt;0.05, "Some evidence", IF(AllData[[#This Row],[Phosphate (PPM)]]&lt;=0.05, "No Evidence", ""))))</f>
        <v>Very high</v>
      </c>
      <c r="U12">
        <v>0</v>
      </c>
      <c r="V12" t="s">
        <v>47</v>
      </c>
    </row>
    <row r="13" spans="1:22" x14ac:dyDescent="0.25">
      <c r="A13" t="s">
        <v>48</v>
      </c>
      <c r="B13" s="2">
        <v>45130</v>
      </c>
      <c r="C13" s="2" t="str" cm="1">
        <f t="array" ref="C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
        <f>YEAR(AllData[[#This Row],[Date]])</f>
        <v>2023</v>
      </c>
      <c r="E13" s="1">
        <v>0.66666666666666663</v>
      </c>
      <c r="F13" s="2" t="str">
        <f>IF(AND(AllData[[#This Row],[Time]]&lt;0.5, AllData[[#This Row],[Time]]&gt;0.17)=TRUE, "Morning", IF(AND(AllData[[#This Row],[Time]]&lt;0.75, AllData[[#This Row],[Time]]&gt;=0.5)=TRUE, "Afternoon", IF(AND(AllData[[#This Row],[Time]]&lt;1, AllData[[#This Row],[Time]]&gt;=0.75)=TRUE, "Evening", "Night")))</f>
        <v>Afternoon</v>
      </c>
      <c r="G13" t="str">
        <f>_xlfn.XLOOKUP(AllData[[#This Row],[Location Name]], Locations[Location Name],Locations[Group As])</f>
        <v>Barton</v>
      </c>
      <c r="H13" t="e" vm="2">
        <f>_xlfn.XLOOKUP(AllData[[#This Row],[Site Name]],LocationsKey[Site Name],LocationsKey[District])</f>
        <v>#VALUE!</v>
      </c>
      <c r="I13" t="str">
        <f>_xlfn.XLOOKUP(AllData[[#This Row],[Site Name]],LocationsKey[Site Name],LocationsKey[Town])</f>
        <v>Barton</v>
      </c>
      <c r="J13" t="str">
        <f>_xlfn.XLOOKUP(AllData[[#This Row],[Site Name]],LocationsKey[Site Name], LocationsKey[Waterway])</f>
        <v>Avon</v>
      </c>
      <c r="K13" t="s">
        <v>49</v>
      </c>
      <c r="L13">
        <v>52.161209999999997</v>
      </c>
      <c r="M13">
        <v>-1.8301499999999999</v>
      </c>
      <c r="N13" t="s">
        <v>29</v>
      </c>
      <c r="O13">
        <v>832</v>
      </c>
      <c r="P13">
        <v>18.7</v>
      </c>
      <c r="Q13">
        <v>4</v>
      </c>
      <c r="R13" s="7" t="str">
        <f>IF(AllData[[#This Row],[Nitrate (PPM)]]&gt;2, "Very high", IF(AllData[[#This Row],[Nitrate (PPM)]]&gt;1, "High", IF(AllData[[#This Row],[Nitrate (PPM)]]&gt;0.5, "Some evidence", IF(AllData[[#This Row],[Nitrate (PPM)]]&gt;=0, "No evidence"))))</f>
        <v>Very high</v>
      </c>
      <c r="S13" s="4">
        <v>0.71</v>
      </c>
      <c r="T13" s="7" t="str">
        <f>IF(AllData[[#This Row],[Phosphate (PPM)]]&gt;0.5, "Very high", IF(AllData[[#This Row],[Phosphate (PPM)]]&gt;0.1, "High", IF(AllData[[#This Row],[Phosphate (PPM)]]&gt;0.05, "Some evidence", IF(AllData[[#This Row],[Phosphate (PPM)]]&lt;=0.05, "No Evidence", ""))))</f>
        <v>Very high</v>
      </c>
      <c r="U13">
        <v>0</v>
      </c>
      <c r="V13" t="s">
        <v>50</v>
      </c>
    </row>
    <row r="14" spans="1:22" x14ac:dyDescent="0.25">
      <c r="A14" t="s">
        <v>51</v>
      </c>
      <c r="B14" s="2">
        <v>45130</v>
      </c>
      <c r="C14" s="2" t="str" cm="1">
        <f t="array" ref="C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
        <f>YEAR(AllData[[#This Row],[Date]])</f>
        <v>2023</v>
      </c>
      <c r="E14" s="1">
        <v>0.77083333333333337</v>
      </c>
      <c r="F14" s="2" t="str">
        <f>IF(AND(AllData[[#This Row],[Time]]&lt;0.5, AllData[[#This Row],[Time]]&gt;0.17)=TRUE, "Morning", IF(AND(AllData[[#This Row],[Time]]&lt;0.75, AllData[[#This Row],[Time]]&gt;=0.5)=TRUE, "Afternoon", IF(AND(AllData[[#This Row],[Time]]&lt;1, AllData[[#This Row],[Time]]&gt;=0.75)=TRUE, "Evening", "Night")))</f>
        <v>Evening</v>
      </c>
      <c r="G14" t="str">
        <f>_xlfn.XLOOKUP(AllData[[#This Row],[Location Name]], Locations[Location Name],Locations[Group As])</f>
        <v>Welford Boat Station</v>
      </c>
      <c r="H14" t="e" vm="2">
        <f>_xlfn.XLOOKUP(AllData[[#This Row],[Site Name]],LocationsKey[Site Name],LocationsKey[District])</f>
        <v>#VALUE!</v>
      </c>
      <c r="I14" t="e" vm="5">
        <f>_xlfn.XLOOKUP(AllData[[#This Row],[Site Name]],LocationsKey[Site Name],LocationsKey[Town])</f>
        <v>#VALUE!</v>
      </c>
      <c r="J14" t="str">
        <f>_xlfn.XLOOKUP(AllData[[#This Row],[Site Name]],LocationsKey[Site Name], LocationsKey[Waterway])</f>
        <v>Avon</v>
      </c>
      <c r="K14" t="s">
        <v>39</v>
      </c>
      <c r="L14">
        <v>52.175240000000002</v>
      </c>
      <c r="M14">
        <v>-1.7918700000000001</v>
      </c>
      <c r="N14" t="s">
        <v>23</v>
      </c>
      <c r="O14">
        <v>892</v>
      </c>
      <c r="P14">
        <v>19.100000000000001</v>
      </c>
      <c r="Q14">
        <v>7</v>
      </c>
      <c r="R14" s="7" t="str">
        <f>IF(AllData[[#This Row],[Nitrate (PPM)]]&gt;2, "Very high", IF(AllData[[#This Row],[Nitrate (PPM)]]&gt;1, "High", IF(AllData[[#This Row],[Nitrate (PPM)]]&gt;0.5, "Some evidence", IF(AllData[[#This Row],[Nitrate (PPM)]]&gt;=0, "No evidence"))))</f>
        <v>Very high</v>
      </c>
      <c r="S14" s="4">
        <v>0.47</v>
      </c>
      <c r="T14" s="7" t="str">
        <f>IF(AllData[[#This Row],[Phosphate (PPM)]]&gt;0.5, "Very high", IF(AllData[[#This Row],[Phosphate (PPM)]]&gt;0.1, "High", IF(AllData[[#This Row],[Phosphate (PPM)]]&gt;0.05, "Some evidence", IF(AllData[[#This Row],[Phosphate (PPM)]]&lt;=0.05, "No Evidence", ""))))</f>
        <v>High</v>
      </c>
      <c r="U14">
        <v>0</v>
      </c>
      <c r="V14" t="s">
        <v>52</v>
      </c>
    </row>
    <row r="15" spans="1:22" x14ac:dyDescent="0.25">
      <c r="A15" t="s">
        <v>53</v>
      </c>
      <c r="B15" s="2">
        <v>45132</v>
      </c>
      <c r="C15" s="2" t="str" cm="1">
        <f t="array" ref="C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5">
        <f>YEAR(AllData[[#This Row],[Date]])</f>
        <v>2023</v>
      </c>
      <c r="E15" s="1">
        <v>0.4777777777777778</v>
      </c>
      <c r="F15" s="2" t="str">
        <f>IF(AND(AllData[[#This Row],[Time]]&lt;0.5, AllData[[#This Row],[Time]]&gt;0.17)=TRUE, "Morning", IF(AND(AllData[[#This Row],[Time]]&lt;0.75, AllData[[#This Row],[Time]]&gt;=0.5)=TRUE, "Afternoon", IF(AND(AllData[[#This Row],[Time]]&lt;1, AllData[[#This Row],[Time]]&gt;=0.75)=TRUE, "Evening", "Night")))</f>
        <v>Morning</v>
      </c>
      <c r="G15" t="str">
        <f>_xlfn.XLOOKUP(AllData[[#This Row],[Location Name]], Locations[Location Name],Locations[Group As])</f>
        <v>Twyning Fleet</v>
      </c>
      <c r="H15" t="e" vm="1">
        <f>_xlfn.XLOOKUP(AllData[[#This Row],[Site Name]],LocationsKey[Site Name],LocationsKey[District])</f>
        <v>#VALUE!</v>
      </c>
      <c r="I15" t="str">
        <f>_xlfn.XLOOKUP(AllData[[#This Row],[Site Name]],LocationsKey[Site Name],LocationsKey[Town])</f>
        <v>Twyning Green</v>
      </c>
      <c r="J15" t="str">
        <f>_xlfn.XLOOKUP(AllData[[#This Row],[Site Name]],LocationsKey[Site Name], LocationsKey[Waterway])</f>
        <v>Avon</v>
      </c>
      <c r="K15" t="s">
        <v>54</v>
      </c>
      <c r="L15">
        <v>52.027053000000002</v>
      </c>
      <c r="M15">
        <v>-2.1405430000000001</v>
      </c>
      <c r="N15" t="s">
        <v>29</v>
      </c>
      <c r="O15">
        <v>905</v>
      </c>
      <c r="P15">
        <v>19.5</v>
      </c>
      <c r="Q15">
        <v>10</v>
      </c>
      <c r="R15" s="7" t="str">
        <f>IF(AllData[[#This Row],[Nitrate (PPM)]]&gt;2, "Very high", IF(AllData[[#This Row],[Nitrate (PPM)]]&gt;1, "High", IF(AllData[[#This Row],[Nitrate (PPM)]]&gt;0.5, "Some evidence", IF(AllData[[#This Row],[Nitrate (PPM)]]&gt;=0, "No evidence"))))</f>
        <v>Very high</v>
      </c>
      <c r="S15" s="4">
        <v>1</v>
      </c>
      <c r="T15" s="7" t="str">
        <f>IF(AllData[[#This Row],[Phosphate (PPM)]]&gt;0.5, "Very high", IF(AllData[[#This Row],[Phosphate (PPM)]]&gt;0.1, "High", IF(AllData[[#This Row],[Phosphate (PPM)]]&gt;0.05, "Some evidence", IF(AllData[[#This Row],[Phosphate (PPM)]]&lt;=0.05, "No Evidence", ""))))</f>
        <v>Very high</v>
      </c>
      <c r="U15">
        <v>0</v>
      </c>
      <c r="V15" t="s">
        <v>55</v>
      </c>
    </row>
    <row r="16" spans="1:22" x14ac:dyDescent="0.25">
      <c r="A16" t="s">
        <v>56</v>
      </c>
      <c r="B16" s="2">
        <v>45134</v>
      </c>
      <c r="C16" s="2" t="str" cm="1">
        <f t="array" ref="C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6">
        <f>YEAR(AllData[[#This Row],[Date]])</f>
        <v>2023</v>
      </c>
      <c r="E16" s="1">
        <v>0.85416666666666663</v>
      </c>
      <c r="F16" s="2" t="str">
        <f>IF(AND(AllData[[#This Row],[Time]]&lt;0.5, AllData[[#This Row],[Time]]&gt;0.17)=TRUE, "Morning", IF(AND(AllData[[#This Row],[Time]]&lt;0.75, AllData[[#This Row],[Time]]&gt;=0.5)=TRUE, "Afternoon", IF(AND(AllData[[#This Row],[Time]]&lt;1, AllData[[#This Row],[Time]]&gt;=0.75)=TRUE, "Evening", "Night")))</f>
        <v>Evening</v>
      </c>
      <c r="G16" t="str">
        <f>_xlfn.XLOOKUP(AllData[[#This Row],[Location Name]], Locations[Location Name],Locations[Group As])</f>
        <v>Abbey Mill</v>
      </c>
      <c r="H16" t="e" vm="1">
        <f>_xlfn.XLOOKUP(AllData[[#This Row],[Site Name]],LocationsKey[Site Name],LocationsKey[District])</f>
        <v>#VALUE!</v>
      </c>
      <c r="I16" t="e" vm="1">
        <f>_xlfn.XLOOKUP(AllData[[#This Row],[Site Name]],LocationsKey[Site Name],LocationsKey[Town])</f>
        <v>#VALUE!</v>
      </c>
      <c r="J16" t="str">
        <f>_xlfn.XLOOKUP(AllData[[#This Row],[Site Name]],LocationsKey[Site Name], LocationsKey[Waterway])</f>
        <v>Avon</v>
      </c>
      <c r="K16" t="s">
        <v>22</v>
      </c>
      <c r="L16">
        <v>51.991571999999998</v>
      </c>
      <c r="M16">
        <v>-2.1628850000000002</v>
      </c>
      <c r="N16" t="s">
        <v>23</v>
      </c>
      <c r="O16">
        <v>856</v>
      </c>
      <c r="P16">
        <v>19.7</v>
      </c>
      <c r="Q16">
        <v>8</v>
      </c>
      <c r="R16" s="7" t="str">
        <f>IF(AllData[[#This Row],[Nitrate (PPM)]]&gt;2, "Very high", IF(AllData[[#This Row],[Nitrate (PPM)]]&gt;1, "High", IF(AllData[[#This Row],[Nitrate (PPM)]]&gt;0.5, "Some evidence", IF(AllData[[#This Row],[Nitrate (PPM)]]&gt;=0, "No evidence"))))</f>
        <v>Very high</v>
      </c>
      <c r="S16" s="4">
        <v>1.1399999999999999</v>
      </c>
      <c r="T16" s="7" t="str">
        <f>IF(AllData[[#This Row],[Phosphate (PPM)]]&gt;0.5, "Very high", IF(AllData[[#This Row],[Phosphate (PPM)]]&gt;0.1, "High", IF(AllData[[#This Row],[Phosphate (PPM)]]&gt;0.05, "Some evidence", IF(AllData[[#This Row],[Phosphate (PPM)]]&lt;=0.05, "No Evidence", ""))))</f>
        <v>Very high</v>
      </c>
      <c r="U16">
        <v>0</v>
      </c>
    </row>
    <row r="17" spans="1:22" x14ac:dyDescent="0.25">
      <c r="A17" t="s">
        <v>57</v>
      </c>
      <c r="B17" s="2">
        <v>45137</v>
      </c>
      <c r="C17" s="2" t="str" cm="1">
        <f t="array" ref="C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7">
        <f>YEAR(AllData[[#This Row],[Date]])</f>
        <v>2023</v>
      </c>
      <c r="E17" s="1">
        <v>0.40625</v>
      </c>
      <c r="F17" s="2" t="str">
        <f>IF(AND(AllData[[#This Row],[Time]]&lt;0.5, AllData[[#This Row],[Time]]&gt;0.17)=TRUE, "Morning", IF(AND(AllData[[#This Row],[Time]]&lt;0.75, AllData[[#This Row],[Time]]&gt;=0.5)=TRUE, "Afternoon", IF(AND(AllData[[#This Row],[Time]]&lt;1, AllData[[#This Row],[Time]]&gt;=0.75)=TRUE, "Evening", "Night")))</f>
        <v>Morning</v>
      </c>
      <c r="G17" t="str">
        <f>_xlfn.XLOOKUP(AllData[[#This Row],[Location Name]], Locations[Location Name],Locations[Group As])</f>
        <v>Hampton Wood</v>
      </c>
      <c r="H17" t="e" vm="2">
        <f>_xlfn.XLOOKUP(AllData[[#This Row],[Site Name]],LocationsKey[Site Name],LocationsKey[District])</f>
        <v>#VALUE!</v>
      </c>
      <c r="I17" t="e" vm="3">
        <f>_xlfn.XLOOKUP(AllData[[#This Row],[Site Name]],LocationsKey[Site Name],LocationsKey[Town])</f>
        <v>#VALUE!</v>
      </c>
      <c r="J17" t="str">
        <f>_xlfn.XLOOKUP(AllData[[#This Row],[Site Name]],LocationsKey[Site Name], LocationsKey[Waterway])</f>
        <v>Avon</v>
      </c>
      <c r="K17" t="s">
        <v>34</v>
      </c>
      <c r="L17">
        <v>52.238149999999997</v>
      </c>
      <c r="M17">
        <v>-1.6245799999999999</v>
      </c>
      <c r="N17" t="s">
        <v>29</v>
      </c>
      <c r="O17">
        <v>734</v>
      </c>
      <c r="P17">
        <v>18.8</v>
      </c>
      <c r="Q17">
        <v>4</v>
      </c>
      <c r="R17" s="7" t="str">
        <f>IF(AllData[[#This Row],[Nitrate (PPM)]]&gt;2, "Very high", IF(AllData[[#This Row],[Nitrate (PPM)]]&gt;1, "High", IF(AllData[[#This Row],[Nitrate (PPM)]]&gt;0.5, "Some evidence", IF(AllData[[#This Row],[Nitrate (PPM)]]&gt;=0, "No evidence"))))</f>
        <v>Very high</v>
      </c>
      <c r="S17" s="4">
        <v>0.83</v>
      </c>
      <c r="T17" s="7" t="str">
        <f>IF(AllData[[#This Row],[Phosphate (PPM)]]&gt;0.5, "Very high", IF(AllData[[#This Row],[Phosphate (PPM)]]&gt;0.1, "High", IF(AllData[[#This Row],[Phosphate (PPM)]]&gt;0.05, "Some evidence", IF(AllData[[#This Row],[Phosphate (PPM)]]&lt;=0.05, "No Evidence", ""))))</f>
        <v>Very high</v>
      </c>
      <c r="U17">
        <v>0</v>
      </c>
      <c r="V17" t="s">
        <v>58</v>
      </c>
    </row>
    <row r="18" spans="1:22" x14ac:dyDescent="0.25">
      <c r="A18" t="s">
        <v>59</v>
      </c>
      <c r="B18" s="2">
        <v>45137</v>
      </c>
      <c r="C18" s="2" t="str" cm="1">
        <f t="array" ref="C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8">
        <f>YEAR(AllData[[#This Row],[Date]])</f>
        <v>2023</v>
      </c>
      <c r="E18" s="1">
        <v>0.52083333333333337</v>
      </c>
      <c r="F18" s="2" t="str">
        <f>IF(AND(AllData[[#This Row],[Time]]&lt;0.5, AllData[[#This Row],[Time]]&gt;0.17)=TRUE, "Morning", IF(AND(AllData[[#This Row],[Time]]&lt;0.75, AllData[[#This Row],[Time]]&gt;=0.5)=TRUE, "Afternoon", IF(AND(AllData[[#This Row],[Time]]&lt;1, AllData[[#This Row],[Time]]&gt;=0.75)=TRUE, "Evening", "Night")))</f>
        <v>Afternoon</v>
      </c>
      <c r="G18" t="str">
        <f>_xlfn.XLOOKUP(AllData[[#This Row],[Location Name]], Locations[Location Name],Locations[Group As])</f>
        <v>Hampton Lucy</v>
      </c>
      <c r="H18" t="e" vm="2">
        <f>_xlfn.XLOOKUP(AllData[[#This Row],[Site Name]],LocationsKey[Site Name],LocationsKey[District])</f>
        <v>#VALUE!</v>
      </c>
      <c r="I18" t="e" vm="4">
        <f>_xlfn.XLOOKUP(AllData[[#This Row],[Site Name]],LocationsKey[Site Name],LocationsKey[Town])</f>
        <v>#VALUE!</v>
      </c>
      <c r="J18" t="str">
        <f>_xlfn.XLOOKUP(AllData[[#This Row],[Site Name]],LocationsKey[Site Name], LocationsKey[Waterway])</f>
        <v>Avon</v>
      </c>
      <c r="K18" t="s">
        <v>37</v>
      </c>
      <c r="L18">
        <v>52.211680000000001</v>
      </c>
      <c r="M18">
        <v>-1.6244400000000001</v>
      </c>
      <c r="N18" t="s">
        <v>23</v>
      </c>
      <c r="O18">
        <v>704</v>
      </c>
      <c r="P18">
        <v>19.399999999999999</v>
      </c>
      <c r="Q18">
        <v>5</v>
      </c>
      <c r="R18" s="7" t="str">
        <f>IF(AllData[[#This Row],[Nitrate (PPM)]]&gt;2, "Very high", IF(AllData[[#This Row],[Nitrate (PPM)]]&gt;1, "High", IF(AllData[[#This Row],[Nitrate (PPM)]]&gt;0.5, "Some evidence", IF(AllData[[#This Row],[Nitrate (PPM)]]&gt;=0, "No evidence"))))</f>
        <v>Very high</v>
      </c>
      <c r="S18" s="4">
        <v>0.7</v>
      </c>
      <c r="T18" s="7" t="str">
        <f>IF(AllData[[#This Row],[Phosphate (PPM)]]&gt;0.5, "Very high", IF(AllData[[#This Row],[Phosphate (PPM)]]&gt;0.1, "High", IF(AllData[[#This Row],[Phosphate (PPM)]]&gt;0.05, "Some evidence", IF(AllData[[#This Row],[Phosphate (PPM)]]&lt;=0.05, "No Evidence", ""))))</f>
        <v>Very high</v>
      </c>
      <c r="U18">
        <v>0</v>
      </c>
      <c r="V18" t="s">
        <v>58</v>
      </c>
    </row>
    <row r="19" spans="1:22" x14ac:dyDescent="0.25">
      <c r="A19" t="s">
        <v>60</v>
      </c>
      <c r="B19" s="2">
        <v>45138</v>
      </c>
      <c r="C19" s="2" t="str" cm="1">
        <f t="array" ref="C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9">
        <f>YEAR(AllData[[#This Row],[Date]])</f>
        <v>2023</v>
      </c>
      <c r="E19" s="1">
        <v>0.5</v>
      </c>
      <c r="F19" s="2" t="str">
        <f>IF(AND(AllData[[#This Row],[Time]]&lt;0.5, AllData[[#This Row],[Time]]&gt;0.17)=TRUE, "Morning", IF(AND(AllData[[#This Row],[Time]]&lt;0.75, AllData[[#This Row],[Time]]&gt;=0.5)=TRUE, "Afternoon", IF(AND(AllData[[#This Row],[Time]]&lt;1, AllData[[#This Row],[Time]]&gt;=0.75)=TRUE, "Evening", "Night")))</f>
        <v>Afternoon</v>
      </c>
      <c r="G19" t="str">
        <f>_xlfn.XLOOKUP(AllData[[#This Row],[Location Name]], Locations[Location Name],Locations[Group As])</f>
        <v>Welford Boat Station</v>
      </c>
      <c r="H19" t="e" vm="2">
        <f>_xlfn.XLOOKUP(AllData[[#This Row],[Site Name]],LocationsKey[Site Name],LocationsKey[District])</f>
        <v>#VALUE!</v>
      </c>
      <c r="I19" t="e" vm="5">
        <f>_xlfn.XLOOKUP(AllData[[#This Row],[Site Name]],LocationsKey[Site Name],LocationsKey[Town])</f>
        <v>#VALUE!</v>
      </c>
      <c r="J19" t="str">
        <f>_xlfn.XLOOKUP(AllData[[#This Row],[Site Name]],LocationsKey[Site Name], LocationsKey[Waterway])</f>
        <v>Avon</v>
      </c>
      <c r="K19" t="s">
        <v>39</v>
      </c>
      <c r="L19">
        <v>52.175240000000002</v>
      </c>
      <c r="M19">
        <v>-1.7918700000000001</v>
      </c>
      <c r="N19" t="s">
        <v>23</v>
      </c>
      <c r="O19">
        <v>728</v>
      </c>
      <c r="P19">
        <v>18.7</v>
      </c>
      <c r="Q19">
        <v>4.5</v>
      </c>
      <c r="R19" s="7" t="str">
        <f>IF(AllData[[#This Row],[Nitrate (PPM)]]&gt;2, "Very high", IF(AllData[[#This Row],[Nitrate (PPM)]]&gt;1, "High", IF(AllData[[#This Row],[Nitrate (PPM)]]&gt;0.5, "Some evidence", IF(AllData[[#This Row],[Nitrate (PPM)]]&gt;=0, "No evidence"))))</f>
        <v>Very high</v>
      </c>
      <c r="S19" s="4">
        <v>0.59</v>
      </c>
      <c r="T19" s="7" t="str">
        <f>IF(AllData[[#This Row],[Phosphate (PPM)]]&gt;0.5, "Very high", IF(AllData[[#This Row],[Phosphate (PPM)]]&gt;0.1, "High", IF(AllData[[#This Row],[Phosphate (PPM)]]&gt;0.05, "Some evidence", IF(AllData[[#This Row],[Phosphate (PPM)]]&lt;=0.05, "No Evidence", ""))))</f>
        <v>Very high</v>
      </c>
      <c r="U19">
        <v>0</v>
      </c>
      <c r="V19" t="s">
        <v>61</v>
      </c>
    </row>
    <row r="20" spans="1:22" x14ac:dyDescent="0.25">
      <c r="A20" t="s">
        <v>62</v>
      </c>
      <c r="B20" s="2">
        <v>45138</v>
      </c>
      <c r="C20" s="2" t="str" cm="1">
        <f t="array" ref="C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0">
        <f>YEAR(AllData[[#This Row],[Date]])</f>
        <v>2023</v>
      </c>
      <c r="E20" s="1">
        <v>0.70833333333333337</v>
      </c>
      <c r="F20" s="2" t="str">
        <f>IF(AND(AllData[[#This Row],[Time]]&lt;0.5, AllData[[#This Row],[Time]]&gt;0.17)=TRUE, "Morning", IF(AND(AllData[[#This Row],[Time]]&lt;0.75, AllData[[#This Row],[Time]]&gt;=0.5)=TRUE, "Afternoon", IF(AND(AllData[[#This Row],[Time]]&lt;1, AllData[[#This Row],[Time]]&gt;=0.75)=TRUE, "Evening", "Night")))</f>
        <v>Afternoon</v>
      </c>
      <c r="G20" t="str">
        <f>_xlfn.XLOOKUP(AllData[[#This Row],[Location Name]], Locations[Location Name],Locations[Group As])</f>
        <v>Barton</v>
      </c>
      <c r="H20" t="e" vm="2">
        <f>_xlfn.XLOOKUP(AllData[[#This Row],[Site Name]],LocationsKey[Site Name],LocationsKey[District])</f>
        <v>#VALUE!</v>
      </c>
      <c r="I20" t="str">
        <f>_xlfn.XLOOKUP(AllData[[#This Row],[Site Name]],LocationsKey[Site Name],LocationsKey[Town])</f>
        <v>Barton</v>
      </c>
      <c r="J20" t="str">
        <f>_xlfn.XLOOKUP(AllData[[#This Row],[Site Name]],LocationsKey[Site Name], LocationsKey[Waterway])</f>
        <v>Avon</v>
      </c>
      <c r="K20" t="s">
        <v>49</v>
      </c>
      <c r="L20">
        <v>52.161209999999997</v>
      </c>
      <c r="M20">
        <v>-1.8301499999999999</v>
      </c>
      <c r="N20" t="s">
        <v>29</v>
      </c>
      <c r="O20">
        <v>722</v>
      </c>
      <c r="P20">
        <v>17.5</v>
      </c>
      <c r="Q20">
        <v>4</v>
      </c>
      <c r="R20" s="7" t="str">
        <f>IF(AllData[[#This Row],[Nitrate (PPM)]]&gt;2, "Very high", IF(AllData[[#This Row],[Nitrate (PPM)]]&gt;1, "High", IF(AllData[[#This Row],[Nitrate (PPM)]]&gt;0.5, "Some evidence", IF(AllData[[#This Row],[Nitrate (PPM)]]&gt;=0, "No evidence"))))</f>
        <v>Very high</v>
      </c>
      <c r="S20" s="4">
        <v>0.61</v>
      </c>
      <c r="T20" s="7" t="str">
        <f>IF(AllData[[#This Row],[Phosphate (PPM)]]&gt;0.5, "Very high", IF(AllData[[#This Row],[Phosphate (PPM)]]&gt;0.1, "High", IF(AllData[[#This Row],[Phosphate (PPM)]]&gt;0.05, "Some evidence", IF(AllData[[#This Row],[Phosphate (PPM)]]&lt;=0.05, "No Evidence", ""))))</f>
        <v>Very high</v>
      </c>
      <c r="U20">
        <v>0</v>
      </c>
      <c r="V20" t="s">
        <v>63</v>
      </c>
    </row>
    <row r="21" spans="1:22" x14ac:dyDescent="0.25">
      <c r="A21" t="s">
        <v>64</v>
      </c>
      <c r="B21" s="2">
        <v>45139</v>
      </c>
      <c r="C21" s="2" t="str" cm="1">
        <f t="array" ref="C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1">
        <f>YEAR(AllData[[#This Row],[Date]])</f>
        <v>2023</v>
      </c>
      <c r="E21" s="1">
        <v>0.83333333333333337</v>
      </c>
      <c r="F21" s="2" t="str">
        <f>IF(AND(AllData[[#This Row],[Time]]&lt;0.5, AllData[[#This Row],[Time]]&gt;0.17)=TRUE, "Morning", IF(AND(AllData[[#This Row],[Time]]&lt;0.75, AllData[[#This Row],[Time]]&gt;=0.5)=TRUE, "Afternoon", IF(AND(AllData[[#This Row],[Time]]&lt;1, AllData[[#This Row],[Time]]&gt;=0.75)=TRUE, "Evening", "Night")))</f>
        <v>Evening</v>
      </c>
      <c r="G21" t="str">
        <f>_xlfn.XLOOKUP(AllData[[#This Row],[Location Name]], Locations[Location Name],Locations[Group As])</f>
        <v>Avonbank Drive</v>
      </c>
      <c r="H21" t="e" vm="2">
        <f>_xlfn.XLOOKUP(AllData[[#This Row],[Site Name]],LocationsKey[Site Name],LocationsKey[District])</f>
        <v>#VALUE!</v>
      </c>
      <c r="I21" t="e" vm="7">
        <f>_xlfn.XLOOKUP(AllData[[#This Row],[Site Name]],LocationsKey[Site Name],LocationsKey[Town])</f>
        <v>#VALUE!</v>
      </c>
      <c r="J21" t="str">
        <f>_xlfn.XLOOKUP(AllData[[#This Row],[Site Name]],LocationsKey[Site Name], LocationsKey[Waterway])</f>
        <v>Avon</v>
      </c>
      <c r="K21" t="s">
        <v>65</v>
      </c>
      <c r="L21">
        <v>52.177095000000001</v>
      </c>
      <c r="M21">
        <v>-1.7357819999999999</v>
      </c>
      <c r="N21" t="s">
        <v>66</v>
      </c>
      <c r="O21">
        <v>893</v>
      </c>
      <c r="P21">
        <v>18.8</v>
      </c>
      <c r="Q21">
        <v>10</v>
      </c>
      <c r="R21" s="7" t="str">
        <f>IF(AllData[[#This Row],[Nitrate (PPM)]]&gt;2, "Very high", IF(AllData[[#This Row],[Nitrate (PPM)]]&gt;1, "High", IF(AllData[[#This Row],[Nitrate (PPM)]]&gt;0.5, "Some evidence", IF(AllData[[#This Row],[Nitrate (PPM)]]&gt;=0, "No evidence"))))</f>
        <v>Very high</v>
      </c>
      <c r="S21" s="4">
        <v>0.5</v>
      </c>
      <c r="T21" s="7" t="str">
        <f>IF(AllData[[#This Row],[Phosphate (PPM)]]&gt;0.5, "Very high", IF(AllData[[#This Row],[Phosphate (PPM)]]&gt;0.1, "High", IF(AllData[[#This Row],[Phosphate (PPM)]]&gt;0.05, "Some evidence", IF(AllData[[#This Row],[Phosphate (PPM)]]&lt;=0.05, "No Evidence", ""))))</f>
        <v>High</v>
      </c>
      <c r="U21">
        <v>0.6</v>
      </c>
      <c r="V21" t="s">
        <v>67</v>
      </c>
    </row>
    <row r="22" spans="1:22" x14ac:dyDescent="0.25">
      <c r="A22" t="s">
        <v>68</v>
      </c>
      <c r="B22" s="2">
        <v>45139</v>
      </c>
      <c r="C22" s="2" t="str" cm="1">
        <f t="array" ref="C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2">
        <f>YEAR(AllData[[#This Row],[Date]])</f>
        <v>2023</v>
      </c>
      <c r="E22" s="1">
        <v>0.85416666666666663</v>
      </c>
      <c r="F22" s="2" t="str">
        <f>IF(AND(AllData[[#This Row],[Time]]&lt;0.5, AllData[[#This Row],[Time]]&gt;0.17)=TRUE, "Morning", IF(AND(AllData[[#This Row],[Time]]&lt;0.75, AllData[[#This Row],[Time]]&gt;=0.5)=TRUE, "Afternoon", IF(AND(AllData[[#This Row],[Time]]&lt;1, AllData[[#This Row],[Time]]&gt;=0.75)=TRUE, "Evening", "Night")))</f>
        <v>Evening</v>
      </c>
      <c r="G22" t="str">
        <f>_xlfn.XLOOKUP(AllData[[#This Row],[Location Name]], Locations[Location Name],Locations[Group As])</f>
        <v>Pitch 16</v>
      </c>
      <c r="H22" t="e" vm="2">
        <f>_xlfn.XLOOKUP(AllData[[#This Row],[Site Name]],LocationsKey[Site Name],LocationsKey[District])</f>
        <v>#VALUE!</v>
      </c>
      <c r="I22" t="e" vm="7">
        <f>_xlfn.XLOOKUP(AllData[[#This Row],[Site Name]],LocationsKey[Site Name],LocationsKey[Town])</f>
        <v>#VALUE!</v>
      </c>
      <c r="J22" t="str">
        <f>_xlfn.XLOOKUP(AllData[[#This Row],[Site Name]],LocationsKey[Site Name], LocationsKey[Waterway])</f>
        <v>Avon</v>
      </c>
      <c r="K22" t="s">
        <v>69</v>
      </c>
      <c r="L22">
        <v>52.178967999999998</v>
      </c>
      <c r="M22">
        <v>-1.7338849999999999</v>
      </c>
      <c r="N22" t="s">
        <v>29</v>
      </c>
      <c r="O22">
        <v>887</v>
      </c>
      <c r="P22">
        <v>18.600000000000001</v>
      </c>
      <c r="Q22">
        <v>10</v>
      </c>
      <c r="R22" s="7" t="str">
        <f>IF(AllData[[#This Row],[Nitrate (PPM)]]&gt;2, "Very high", IF(AllData[[#This Row],[Nitrate (PPM)]]&gt;1, "High", IF(AllData[[#This Row],[Nitrate (PPM)]]&gt;0.5, "Some evidence", IF(AllData[[#This Row],[Nitrate (PPM)]]&gt;=0, "No evidence"))))</f>
        <v>Very high</v>
      </c>
      <c r="S22" s="4">
        <v>0.6</v>
      </c>
      <c r="T22" s="7" t="str">
        <f>IF(AllData[[#This Row],[Phosphate (PPM)]]&gt;0.5, "Very high", IF(AllData[[#This Row],[Phosphate (PPM)]]&gt;0.1, "High", IF(AllData[[#This Row],[Phosphate (PPM)]]&gt;0.05, "Some evidence", IF(AllData[[#This Row],[Phosphate (PPM)]]&lt;=0.05, "No Evidence", ""))))</f>
        <v>Very high</v>
      </c>
      <c r="U22">
        <v>0.6</v>
      </c>
      <c r="V22" t="s">
        <v>70</v>
      </c>
    </row>
    <row r="23" spans="1:22" x14ac:dyDescent="0.25">
      <c r="A23" t="s">
        <v>71</v>
      </c>
      <c r="B23" s="2">
        <v>45142</v>
      </c>
      <c r="C23" s="2" t="str" cm="1">
        <f t="array" ref="C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
        <f>YEAR(AllData[[#This Row],[Date]])</f>
        <v>2023</v>
      </c>
      <c r="E23" s="1">
        <v>0.45833333333333331</v>
      </c>
      <c r="F23" s="2" t="str">
        <f>IF(AND(AllData[[#This Row],[Time]]&lt;0.5, AllData[[#This Row],[Time]]&gt;0.17)=TRUE, "Morning", IF(AND(AllData[[#This Row],[Time]]&lt;0.75, AllData[[#This Row],[Time]]&gt;=0.5)=TRUE, "Afternoon", IF(AND(AllData[[#This Row],[Time]]&lt;1, AllData[[#This Row],[Time]]&gt;=0.75)=TRUE, "Evening", "Night")))</f>
        <v>Morning</v>
      </c>
      <c r="G23" t="str">
        <f>_xlfn.XLOOKUP(AllData[[#This Row],[Location Name]], Locations[Location Name],Locations[Group As])</f>
        <v>Pitch 16</v>
      </c>
      <c r="H23" t="e" vm="2">
        <f>_xlfn.XLOOKUP(AllData[[#This Row],[Site Name]],LocationsKey[Site Name],LocationsKey[District])</f>
        <v>#VALUE!</v>
      </c>
      <c r="I23" t="e" vm="7">
        <f>_xlfn.XLOOKUP(AllData[[#This Row],[Site Name]],LocationsKey[Site Name],LocationsKey[Town])</f>
        <v>#VALUE!</v>
      </c>
      <c r="J23" t="str">
        <f>_xlfn.XLOOKUP(AllData[[#This Row],[Site Name]],LocationsKey[Site Name], LocationsKey[Waterway])</f>
        <v>Avon</v>
      </c>
      <c r="K23" t="s">
        <v>69</v>
      </c>
      <c r="L23">
        <v>52.170859</v>
      </c>
      <c r="M23">
        <v>-1.7432030000000001</v>
      </c>
      <c r="N23" t="s">
        <v>29</v>
      </c>
      <c r="O23">
        <v>892</v>
      </c>
      <c r="P23">
        <v>18.5</v>
      </c>
      <c r="Q23">
        <v>10</v>
      </c>
      <c r="R23" s="7" t="str">
        <f>IF(AllData[[#This Row],[Nitrate (PPM)]]&gt;2, "Very high", IF(AllData[[#This Row],[Nitrate (PPM)]]&gt;1, "High", IF(AllData[[#This Row],[Nitrate (PPM)]]&gt;0.5, "Some evidence", IF(AllData[[#This Row],[Nitrate (PPM)]]&gt;=0, "No evidence"))))</f>
        <v>Very high</v>
      </c>
      <c r="S23" s="4">
        <v>0.56999999999999995</v>
      </c>
      <c r="T23" s="7" t="str">
        <f>IF(AllData[[#This Row],[Phosphate (PPM)]]&gt;0.5, "Very high", IF(AllData[[#This Row],[Phosphate (PPM)]]&gt;0.1, "High", IF(AllData[[#This Row],[Phosphate (PPM)]]&gt;0.05, "Some evidence", IF(AllData[[#This Row],[Phosphate (PPM)]]&lt;=0.05, "No Evidence", ""))))</f>
        <v>Very high</v>
      </c>
      <c r="U23">
        <v>0.62</v>
      </c>
    </row>
    <row r="24" spans="1:22" x14ac:dyDescent="0.25">
      <c r="A24" t="s">
        <v>72</v>
      </c>
      <c r="B24" s="2">
        <v>45142</v>
      </c>
      <c r="C24" s="2" t="str" cm="1">
        <f t="array" ref="C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4">
        <f>YEAR(AllData[[#This Row],[Date]])</f>
        <v>2023</v>
      </c>
      <c r="E24" s="1">
        <v>0.47569444444444442</v>
      </c>
      <c r="F24" s="2" t="str">
        <f>IF(AND(AllData[[#This Row],[Time]]&lt;0.5, AllData[[#This Row],[Time]]&gt;0.17)=TRUE, "Morning", IF(AND(AllData[[#This Row],[Time]]&lt;0.75, AllData[[#This Row],[Time]]&gt;=0.5)=TRUE, "Afternoon", IF(AND(AllData[[#This Row],[Time]]&lt;1, AllData[[#This Row],[Time]]&gt;=0.75)=TRUE, "Evening", "Night")))</f>
        <v>Morning</v>
      </c>
      <c r="G24" t="str">
        <f>_xlfn.XLOOKUP(AllData[[#This Row],[Location Name]], Locations[Location Name],Locations[Group As])</f>
        <v>Avonbank Drive</v>
      </c>
      <c r="H24" t="e" vm="2">
        <f>_xlfn.XLOOKUP(AllData[[#This Row],[Site Name]],LocationsKey[Site Name],LocationsKey[District])</f>
        <v>#VALUE!</v>
      </c>
      <c r="I24" t="e" vm="7">
        <f>_xlfn.XLOOKUP(AllData[[#This Row],[Site Name]],LocationsKey[Site Name],LocationsKey[Town])</f>
        <v>#VALUE!</v>
      </c>
      <c r="J24" t="str">
        <f>_xlfn.XLOOKUP(AllData[[#This Row],[Site Name]],LocationsKey[Site Name], LocationsKey[Waterway])</f>
        <v>Avon</v>
      </c>
      <c r="K24" t="s">
        <v>65</v>
      </c>
      <c r="L24">
        <v>52.177238000000003</v>
      </c>
      <c r="M24">
        <v>-1.73556</v>
      </c>
      <c r="N24" t="s">
        <v>66</v>
      </c>
      <c r="O24">
        <v>896</v>
      </c>
      <c r="P24">
        <v>19.2</v>
      </c>
      <c r="Q24">
        <v>10</v>
      </c>
      <c r="R24" s="7" t="str">
        <f>IF(AllData[[#This Row],[Nitrate (PPM)]]&gt;2, "Very high", IF(AllData[[#This Row],[Nitrate (PPM)]]&gt;1, "High", IF(AllData[[#This Row],[Nitrate (PPM)]]&gt;0.5, "Some evidence", IF(AllData[[#This Row],[Nitrate (PPM)]]&gt;=0, "No evidence"))))</f>
        <v>Very high</v>
      </c>
      <c r="S24" s="4">
        <v>0.46</v>
      </c>
      <c r="T24" s="7" t="str">
        <f>IF(AllData[[#This Row],[Phosphate (PPM)]]&gt;0.5, "Very high", IF(AllData[[#This Row],[Phosphate (PPM)]]&gt;0.1, "High", IF(AllData[[#This Row],[Phosphate (PPM)]]&gt;0.05, "Some evidence", IF(AllData[[#This Row],[Phosphate (PPM)]]&lt;=0.05, "No Evidence", ""))))</f>
        <v>High</v>
      </c>
      <c r="U24">
        <v>0.62</v>
      </c>
    </row>
    <row r="25" spans="1:22" x14ac:dyDescent="0.25">
      <c r="A25" t="s">
        <v>73</v>
      </c>
      <c r="B25" s="2">
        <v>45143</v>
      </c>
      <c r="C25" s="2" t="str" cm="1">
        <f t="array" ref="C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5">
        <f>YEAR(AllData[[#This Row],[Date]])</f>
        <v>2023</v>
      </c>
      <c r="E25" s="1">
        <v>0.42777777777777776</v>
      </c>
      <c r="F25" s="2" t="str">
        <f>IF(AND(AllData[[#This Row],[Time]]&lt;0.5, AllData[[#This Row],[Time]]&gt;0.17)=TRUE, "Morning", IF(AND(AllData[[#This Row],[Time]]&lt;0.75, AllData[[#This Row],[Time]]&gt;=0.5)=TRUE, "Afternoon", IF(AND(AllData[[#This Row],[Time]]&lt;1, AllData[[#This Row],[Time]]&gt;=0.75)=TRUE, "Evening", "Night")))</f>
        <v>Morning</v>
      </c>
      <c r="G25" t="str">
        <f>_xlfn.XLOOKUP(AllData[[#This Row],[Location Name]], Locations[Location Name],Locations[Group As])</f>
        <v>Abbey Mill</v>
      </c>
      <c r="H25" t="e" vm="1">
        <f>_xlfn.XLOOKUP(AllData[[#This Row],[Site Name]],LocationsKey[Site Name],LocationsKey[District])</f>
        <v>#VALUE!</v>
      </c>
      <c r="I25" t="e" vm="1">
        <f>_xlfn.XLOOKUP(AllData[[#This Row],[Site Name]],LocationsKey[Site Name],LocationsKey[Town])</f>
        <v>#VALUE!</v>
      </c>
      <c r="J25" t="str">
        <f>_xlfn.XLOOKUP(AllData[[#This Row],[Site Name]],LocationsKey[Site Name], LocationsKey[Waterway])</f>
        <v>Avon</v>
      </c>
      <c r="K25" t="s">
        <v>22</v>
      </c>
      <c r="L25">
        <v>51.991447999999998</v>
      </c>
      <c r="M25">
        <v>-2.1628289999999999</v>
      </c>
      <c r="N25" t="s">
        <v>23</v>
      </c>
      <c r="O25">
        <v>905</v>
      </c>
      <c r="P25">
        <v>18.399999999999999</v>
      </c>
      <c r="Q25">
        <v>8</v>
      </c>
      <c r="R25" s="7" t="str">
        <f>IF(AllData[[#This Row],[Nitrate (PPM)]]&gt;2, "Very high", IF(AllData[[#This Row],[Nitrate (PPM)]]&gt;1, "High", IF(AllData[[#This Row],[Nitrate (PPM)]]&gt;0.5, "Some evidence", IF(AllData[[#This Row],[Nitrate (PPM)]]&gt;=0, "No evidence"))))</f>
        <v>Very high</v>
      </c>
      <c r="S25" s="4">
        <v>0.99</v>
      </c>
      <c r="T25" s="7" t="str">
        <f>IF(AllData[[#This Row],[Phosphate (PPM)]]&gt;0.5, "Very high", IF(AllData[[#This Row],[Phosphate (PPM)]]&gt;0.1, "High", IF(AllData[[#This Row],[Phosphate (PPM)]]&gt;0.05, "Some evidence", IF(AllData[[#This Row],[Phosphate (PPM)]]&lt;=0.05, "No Evidence", ""))))</f>
        <v>Very high</v>
      </c>
      <c r="U25">
        <v>0</v>
      </c>
    </row>
    <row r="26" spans="1:22" x14ac:dyDescent="0.25">
      <c r="A26" t="s">
        <v>74</v>
      </c>
      <c r="B26" s="2">
        <v>45143</v>
      </c>
      <c r="C26" s="2" t="str" cm="1">
        <f t="array" ref="C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6">
        <f>YEAR(AllData[[#This Row],[Date]])</f>
        <v>2023</v>
      </c>
      <c r="E26" s="1">
        <v>0.64583333333333337</v>
      </c>
      <c r="F26" s="2" t="str">
        <f>IF(AND(AllData[[#This Row],[Time]]&lt;0.5, AllData[[#This Row],[Time]]&gt;0.17)=TRUE, "Morning", IF(AND(AllData[[#This Row],[Time]]&lt;0.75, AllData[[#This Row],[Time]]&gt;=0.5)=TRUE, "Afternoon", IF(AND(AllData[[#This Row],[Time]]&lt;1, AllData[[#This Row],[Time]]&gt;=0.75)=TRUE, "Evening", "Night")))</f>
        <v>Afternoon</v>
      </c>
      <c r="G26" t="str">
        <f>_xlfn.XLOOKUP(AllData[[#This Row],[Location Name]], Locations[Location Name],Locations[Group As])</f>
        <v>Weston-on-Avon</v>
      </c>
      <c r="H26" t="e" vm="2">
        <f>_xlfn.XLOOKUP(AllData[[#This Row],[Site Name]],LocationsKey[Site Name],LocationsKey[District])</f>
        <v>#VALUE!</v>
      </c>
      <c r="I26" t="e" vm="6">
        <f>_xlfn.XLOOKUP(AllData[[#This Row],[Site Name]],LocationsKey[Site Name],LocationsKey[Town])</f>
        <v>#VALUE!</v>
      </c>
      <c r="J26" t="str">
        <f>_xlfn.XLOOKUP(AllData[[#This Row],[Site Name]],LocationsKey[Site Name], LocationsKey[Waterway])</f>
        <v>Avon</v>
      </c>
      <c r="K26" t="s">
        <v>41</v>
      </c>
      <c r="L26">
        <v>52.167430000000003</v>
      </c>
      <c r="M26">
        <v>-1.7744800000000001</v>
      </c>
      <c r="N26" t="s">
        <v>23</v>
      </c>
      <c r="O26">
        <v>912</v>
      </c>
      <c r="P26">
        <v>18</v>
      </c>
      <c r="Q26">
        <v>4</v>
      </c>
      <c r="R26" s="7" t="str">
        <f>IF(AllData[[#This Row],[Nitrate (PPM)]]&gt;2, "Very high", IF(AllData[[#This Row],[Nitrate (PPM)]]&gt;1, "High", IF(AllData[[#This Row],[Nitrate (PPM)]]&gt;0.5, "Some evidence", IF(AllData[[#This Row],[Nitrate (PPM)]]&gt;=0, "No evidence"))))</f>
        <v>Very high</v>
      </c>
      <c r="S26" s="4">
        <v>0.78</v>
      </c>
      <c r="T26" s="7" t="str">
        <f>IF(AllData[[#This Row],[Phosphate (PPM)]]&gt;0.5, "Very high", IF(AllData[[#This Row],[Phosphate (PPM)]]&gt;0.1, "High", IF(AllData[[#This Row],[Phosphate (PPM)]]&gt;0.05, "Some evidence", IF(AllData[[#This Row],[Phosphate (PPM)]]&lt;=0.05, "No Evidence", ""))))</f>
        <v>Very high</v>
      </c>
      <c r="U26">
        <v>0</v>
      </c>
    </row>
    <row r="27" spans="1:22" x14ac:dyDescent="0.25">
      <c r="A27" t="s">
        <v>75</v>
      </c>
      <c r="B27" s="2">
        <v>45144</v>
      </c>
      <c r="C27" s="2" t="str" cm="1">
        <f t="array" ref="C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7">
        <f>YEAR(AllData[[#This Row],[Date]])</f>
        <v>2023</v>
      </c>
      <c r="E27" s="1">
        <v>0.47916666666666669</v>
      </c>
      <c r="F27" s="2" t="str">
        <f>IF(AND(AllData[[#This Row],[Time]]&lt;0.5, AllData[[#This Row],[Time]]&gt;0.17)=TRUE, "Morning", IF(AND(AllData[[#This Row],[Time]]&lt;0.75, AllData[[#This Row],[Time]]&gt;=0.5)=TRUE, "Afternoon", IF(AND(AllData[[#This Row],[Time]]&lt;1, AllData[[#This Row],[Time]]&gt;=0.75)=TRUE, "Evening", "Night")))</f>
        <v>Morning</v>
      </c>
      <c r="G27" t="str">
        <f>_xlfn.XLOOKUP(AllData[[#This Row],[Location Name]], Locations[Location Name],Locations[Group As])</f>
        <v>Hampton Wood</v>
      </c>
      <c r="H27" t="e" vm="2">
        <f>_xlfn.XLOOKUP(AllData[[#This Row],[Site Name]],LocationsKey[Site Name],LocationsKey[District])</f>
        <v>#VALUE!</v>
      </c>
      <c r="I27" t="e" vm="3">
        <f>_xlfn.XLOOKUP(AllData[[#This Row],[Site Name]],LocationsKey[Site Name],LocationsKey[Town])</f>
        <v>#VALUE!</v>
      </c>
      <c r="J27" t="str">
        <f>_xlfn.XLOOKUP(AllData[[#This Row],[Site Name]],LocationsKey[Site Name], LocationsKey[Waterway])</f>
        <v>Avon</v>
      </c>
      <c r="K27" t="s">
        <v>34</v>
      </c>
      <c r="L27">
        <v>52.238149999999997</v>
      </c>
      <c r="M27">
        <v>-1.6245799999999999</v>
      </c>
      <c r="N27" t="s">
        <v>29</v>
      </c>
      <c r="O27">
        <v>778</v>
      </c>
      <c r="P27">
        <v>17.399999999999999</v>
      </c>
      <c r="Q27">
        <v>6</v>
      </c>
      <c r="R27" s="7" t="str">
        <f>IF(AllData[[#This Row],[Nitrate (PPM)]]&gt;2, "Very high", IF(AllData[[#This Row],[Nitrate (PPM)]]&gt;1, "High", IF(AllData[[#This Row],[Nitrate (PPM)]]&gt;0.5, "Some evidence", IF(AllData[[#This Row],[Nitrate (PPM)]]&gt;=0, "No evidence"))))</f>
        <v>Very high</v>
      </c>
      <c r="S27" s="4">
        <v>0.56999999999999995</v>
      </c>
      <c r="T27" s="7" t="str">
        <f>IF(AllData[[#This Row],[Phosphate (PPM)]]&gt;0.5, "Very high", IF(AllData[[#This Row],[Phosphate (PPM)]]&gt;0.1, "High", IF(AllData[[#This Row],[Phosphate (PPM)]]&gt;0.05, "Some evidence", IF(AllData[[#This Row],[Phosphate (PPM)]]&lt;=0.05, "No Evidence", ""))))</f>
        <v>Very high</v>
      </c>
      <c r="U27">
        <v>0</v>
      </c>
    </row>
    <row r="28" spans="1:22" x14ac:dyDescent="0.25">
      <c r="A28" t="s">
        <v>76</v>
      </c>
      <c r="B28" s="2">
        <v>45144</v>
      </c>
      <c r="C28" s="2" t="str" cm="1">
        <f t="array" ref="C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8">
        <f>YEAR(AllData[[#This Row],[Date]])</f>
        <v>2023</v>
      </c>
      <c r="E28" s="1">
        <v>0.54166666666666663</v>
      </c>
      <c r="F28" s="2" t="str">
        <f>IF(AND(AllData[[#This Row],[Time]]&lt;0.5, AllData[[#This Row],[Time]]&gt;0.17)=TRUE, "Morning", IF(AND(AllData[[#This Row],[Time]]&lt;0.75, AllData[[#This Row],[Time]]&gt;=0.5)=TRUE, "Afternoon", IF(AND(AllData[[#This Row],[Time]]&lt;1, AllData[[#This Row],[Time]]&gt;=0.75)=TRUE, "Evening", "Night")))</f>
        <v>Afternoon</v>
      </c>
      <c r="G28" t="str">
        <f>_xlfn.XLOOKUP(AllData[[#This Row],[Location Name]], Locations[Location Name],Locations[Group As])</f>
        <v>Hampton Lucy</v>
      </c>
      <c r="H28" t="e" vm="2">
        <f>_xlfn.XLOOKUP(AllData[[#This Row],[Site Name]],LocationsKey[Site Name],LocationsKey[District])</f>
        <v>#VALUE!</v>
      </c>
      <c r="I28" t="e" vm="4">
        <f>_xlfn.XLOOKUP(AllData[[#This Row],[Site Name]],LocationsKey[Site Name],LocationsKey[Town])</f>
        <v>#VALUE!</v>
      </c>
      <c r="J28" t="str">
        <f>_xlfn.XLOOKUP(AllData[[#This Row],[Site Name]],LocationsKey[Site Name], LocationsKey[Waterway])</f>
        <v>Avon</v>
      </c>
      <c r="K28" t="s">
        <v>37</v>
      </c>
      <c r="L28">
        <v>52.211680000000001</v>
      </c>
      <c r="M28">
        <v>-1.6244400000000001</v>
      </c>
      <c r="N28" t="s">
        <v>23</v>
      </c>
      <c r="O28" s="219">
        <v>784</v>
      </c>
      <c r="P28">
        <v>17.7</v>
      </c>
      <c r="Q28" s="219">
        <v>5</v>
      </c>
      <c r="R28" s="7" t="str">
        <f>IF(AllData[[#This Row],[Nitrate (PPM)]]&gt;2, "Very high", IF(AllData[[#This Row],[Nitrate (PPM)]]&gt;1, "High", IF(AllData[[#This Row],[Nitrate (PPM)]]&gt;0.5, "Some evidence", IF(AllData[[#This Row],[Nitrate (PPM)]]&gt;=0, "No evidence"))))</f>
        <v>Very high</v>
      </c>
      <c r="S28" s="221">
        <v>0.67</v>
      </c>
      <c r="T28" s="7" t="str">
        <f>IF(AllData[[#This Row],[Phosphate (PPM)]]&gt;0.5, "Very high", IF(AllData[[#This Row],[Phosphate (PPM)]]&gt;0.1, "High", IF(AllData[[#This Row],[Phosphate (PPM)]]&gt;0.05, "Some evidence", IF(AllData[[#This Row],[Phosphate (PPM)]]&lt;=0.05, "No Evidence", ""))))</f>
        <v>Very high</v>
      </c>
      <c r="U28">
        <v>0</v>
      </c>
    </row>
    <row r="29" spans="1:22" x14ac:dyDescent="0.25">
      <c r="A29" t="s">
        <v>77</v>
      </c>
      <c r="B29" s="2">
        <v>45145</v>
      </c>
      <c r="C29" s="2" t="str" cm="1">
        <f t="array" ref="C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9">
        <f>YEAR(AllData[[#This Row],[Date]])</f>
        <v>2023</v>
      </c>
      <c r="E29" s="1">
        <v>0.625</v>
      </c>
      <c r="F29" s="2" t="str">
        <f>IF(AND(AllData[[#This Row],[Time]]&lt;0.5, AllData[[#This Row],[Time]]&gt;0.17)=TRUE, "Morning", IF(AND(AllData[[#This Row],[Time]]&lt;0.75, AllData[[#This Row],[Time]]&gt;=0.5)=TRUE, "Afternoon", IF(AND(AllData[[#This Row],[Time]]&lt;1, AllData[[#This Row],[Time]]&gt;=0.75)=TRUE, "Evening", "Night")))</f>
        <v>Afternoon</v>
      </c>
      <c r="G29" t="str">
        <f>_xlfn.XLOOKUP(AllData[[#This Row],[Location Name]], Locations[Location Name],Locations[Group As])</f>
        <v>Welford Boat Station</v>
      </c>
      <c r="H29" t="e" vm="2">
        <f>_xlfn.XLOOKUP(AllData[[#This Row],[Site Name]],LocationsKey[Site Name],LocationsKey[District])</f>
        <v>#VALUE!</v>
      </c>
      <c r="I29" t="e" vm="5">
        <f>_xlfn.XLOOKUP(AllData[[#This Row],[Site Name]],LocationsKey[Site Name],LocationsKey[Town])</f>
        <v>#VALUE!</v>
      </c>
      <c r="J29" t="str">
        <f>_xlfn.XLOOKUP(AllData[[#This Row],[Site Name]],LocationsKey[Site Name], LocationsKey[Waterway])</f>
        <v>Avon</v>
      </c>
      <c r="K29" t="s">
        <v>39</v>
      </c>
      <c r="L29">
        <v>52.175240000000002</v>
      </c>
      <c r="M29">
        <v>-1.7918700000000001</v>
      </c>
      <c r="N29" t="s">
        <v>29</v>
      </c>
      <c r="O29">
        <v>848</v>
      </c>
      <c r="P29">
        <v>17.2</v>
      </c>
      <c r="Q29">
        <v>9.5</v>
      </c>
      <c r="R29" s="7" t="str">
        <f>IF(AllData[[#This Row],[Nitrate (PPM)]]&gt;2, "Very high", IF(AllData[[#This Row],[Nitrate (PPM)]]&gt;1, "High", IF(AllData[[#This Row],[Nitrate (PPM)]]&gt;0.5, "Some evidence", IF(AllData[[#This Row],[Nitrate (PPM)]]&gt;=0, "No evidence"))))</f>
        <v>Very high</v>
      </c>
      <c r="S29" s="4">
        <v>0.62</v>
      </c>
      <c r="T29" s="7" t="str">
        <f>IF(AllData[[#This Row],[Phosphate (PPM)]]&gt;0.5, "Very high", IF(AllData[[#This Row],[Phosphate (PPM)]]&gt;0.1, "High", IF(AllData[[#This Row],[Phosphate (PPM)]]&gt;0.05, "Some evidence", IF(AllData[[#This Row],[Phosphate (PPM)]]&lt;=0.05, "No Evidence", ""))))</f>
        <v>Very high</v>
      </c>
      <c r="U29">
        <v>0</v>
      </c>
      <c r="V29" t="s">
        <v>78</v>
      </c>
    </row>
    <row r="30" spans="1:22" x14ac:dyDescent="0.25">
      <c r="A30" t="s">
        <v>79</v>
      </c>
      <c r="B30" s="2">
        <v>45145</v>
      </c>
      <c r="C30" s="2" t="str" cm="1">
        <f t="array" ref="C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0">
        <f>YEAR(AllData[[#This Row],[Date]])</f>
        <v>2023</v>
      </c>
      <c r="E30" s="1">
        <v>0.70833333333333337</v>
      </c>
      <c r="F30" s="2" t="str">
        <f>IF(AND(AllData[[#This Row],[Time]]&lt;0.5, AllData[[#This Row],[Time]]&gt;0.17)=TRUE, "Morning", IF(AND(AllData[[#This Row],[Time]]&lt;0.75, AllData[[#This Row],[Time]]&gt;=0.5)=TRUE, "Afternoon", IF(AND(AllData[[#This Row],[Time]]&lt;1, AllData[[#This Row],[Time]]&gt;=0.75)=TRUE, "Evening", "Night")))</f>
        <v>Afternoon</v>
      </c>
      <c r="G30" t="str">
        <f>_xlfn.XLOOKUP(AllData[[#This Row],[Location Name]], Locations[Location Name],Locations[Group As])</f>
        <v>Barton</v>
      </c>
      <c r="H30" t="e" vm="2">
        <f>_xlfn.XLOOKUP(AllData[[#This Row],[Site Name]],LocationsKey[Site Name],LocationsKey[District])</f>
        <v>#VALUE!</v>
      </c>
      <c r="I30" t="str">
        <f>_xlfn.XLOOKUP(AllData[[#This Row],[Site Name]],LocationsKey[Site Name],LocationsKey[Town])</f>
        <v>Barton</v>
      </c>
      <c r="J30" t="str">
        <f>_xlfn.XLOOKUP(AllData[[#This Row],[Site Name]],LocationsKey[Site Name], LocationsKey[Waterway])</f>
        <v>Avon</v>
      </c>
      <c r="K30" t="s">
        <v>49</v>
      </c>
      <c r="L30">
        <v>52.161209999999997</v>
      </c>
      <c r="M30">
        <v>-1.8301499999999999</v>
      </c>
      <c r="N30" t="s">
        <v>29</v>
      </c>
      <c r="O30">
        <v>808</v>
      </c>
      <c r="P30">
        <v>17.399999999999999</v>
      </c>
      <c r="Q30">
        <v>4</v>
      </c>
      <c r="R30" s="7" t="str">
        <f>IF(AllData[[#This Row],[Nitrate (PPM)]]&gt;2, "Very high", IF(AllData[[#This Row],[Nitrate (PPM)]]&gt;1, "High", IF(AllData[[#This Row],[Nitrate (PPM)]]&gt;0.5, "Some evidence", IF(AllData[[#This Row],[Nitrate (PPM)]]&gt;=0, "No evidence"))))</f>
        <v>Very high</v>
      </c>
      <c r="S30" s="4">
        <v>0.57999999999999996</v>
      </c>
      <c r="T30" s="7" t="str">
        <f>IF(AllData[[#This Row],[Phosphate (PPM)]]&gt;0.5, "Very high", IF(AllData[[#This Row],[Phosphate (PPM)]]&gt;0.1, "High", IF(AllData[[#This Row],[Phosphate (PPM)]]&gt;0.05, "Some evidence", IF(AllData[[#This Row],[Phosphate (PPM)]]&lt;=0.05, "No Evidence", ""))))</f>
        <v>Very high</v>
      </c>
      <c r="U30">
        <v>0</v>
      </c>
    </row>
    <row r="31" spans="1:22" x14ac:dyDescent="0.25">
      <c r="A31" t="s">
        <v>81</v>
      </c>
      <c r="B31" s="2">
        <v>45146</v>
      </c>
      <c r="C31" s="2" t="str" cm="1">
        <f t="array" ref="C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1">
        <f>YEAR(AllData[[#This Row],[Date]])</f>
        <v>2023</v>
      </c>
      <c r="E31" s="1">
        <v>0.75208333333333333</v>
      </c>
      <c r="F31" s="2" t="str">
        <f>IF(AND(AllData[[#This Row],[Time]]&lt;0.5, AllData[[#This Row],[Time]]&gt;0.17)=TRUE, "Morning", IF(AND(AllData[[#This Row],[Time]]&lt;0.75, AllData[[#This Row],[Time]]&gt;=0.5)=TRUE, "Afternoon", IF(AND(AllData[[#This Row],[Time]]&lt;1, AllData[[#This Row],[Time]]&gt;=0.75)=TRUE, "Evening", "Night")))</f>
        <v>Evening</v>
      </c>
      <c r="G31" t="str">
        <f>_xlfn.XLOOKUP(AllData[[#This Row],[Location Name]], Locations[Location Name],Locations[Group As])</f>
        <v>Twyning Fleet</v>
      </c>
      <c r="H31" t="e" vm="1">
        <f>_xlfn.XLOOKUP(AllData[[#This Row],[Site Name]],LocationsKey[Site Name],LocationsKey[District])</f>
        <v>#VALUE!</v>
      </c>
      <c r="I31" t="str">
        <f>_xlfn.XLOOKUP(AllData[[#This Row],[Site Name]],LocationsKey[Site Name],LocationsKey[Town])</f>
        <v>Twyning Green</v>
      </c>
      <c r="J31" t="str">
        <f>_xlfn.XLOOKUP(AllData[[#This Row],[Site Name]],LocationsKey[Site Name], LocationsKey[Waterway])</f>
        <v>Avon</v>
      </c>
      <c r="K31" t="s">
        <v>54</v>
      </c>
      <c r="L31">
        <v>52.02702</v>
      </c>
      <c r="M31">
        <v>-2.1406339999999999</v>
      </c>
      <c r="N31" t="s">
        <v>29</v>
      </c>
      <c r="O31">
        <v>926</v>
      </c>
      <c r="P31">
        <v>18.399999999999999</v>
      </c>
      <c r="Q31">
        <v>10</v>
      </c>
      <c r="R31" s="7" t="str">
        <f>IF(AllData[[#This Row],[Nitrate (PPM)]]&gt;2, "Very high", IF(AllData[[#This Row],[Nitrate (PPM)]]&gt;1, "High", IF(AllData[[#This Row],[Nitrate (PPM)]]&gt;0.5, "Some evidence", IF(AllData[[#This Row],[Nitrate (PPM)]]&gt;=0, "No evidence"))))</f>
        <v>Very high</v>
      </c>
      <c r="S31" s="4">
        <v>1.17</v>
      </c>
      <c r="T31" s="7" t="str">
        <f>IF(AllData[[#This Row],[Phosphate (PPM)]]&gt;0.5, "Very high", IF(AllData[[#This Row],[Phosphate (PPM)]]&gt;0.1, "High", IF(AllData[[#This Row],[Phosphate (PPM)]]&gt;0.05, "Some evidence", IF(AllData[[#This Row],[Phosphate (PPM)]]&lt;=0.05, "No Evidence", ""))))</f>
        <v>Very high</v>
      </c>
      <c r="U31">
        <v>0</v>
      </c>
      <c r="V31" t="s">
        <v>82</v>
      </c>
    </row>
    <row r="32" spans="1:22" x14ac:dyDescent="0.25">
      <c r="A32" t="s">
        <v>83</v>
      </c>
      <c r="B32" s="2">
        <v>45148</v>
      </c>
      <c r="C32" s="2" t="str" cm="1">
        <f t="array" ref="C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2">
        <f>YEAR(AllData[[#This Row],[Date]])</f>
        <v>2023</v>
      </c>
      <c r="E32" s="1">
        <v>0.43125000000000002</v>
      </c>
      <c r="F32" s="2" t="str">
        <f>IF(AND(AllData[[#This Row],[Time]]&lt;0.5, AllData[[#This Row],[Time]]&gt;0.17)=TRUE, "Morning", IF(AND(AllData[[#This Row],[Time]]&lt;0.75, AllData[[#This Row],[Time]]&gt;=0.5)=TRUE, "Afternoon", IF(AND(AllData[[#This Row],[Time]]&lt;1, AllData[[#This Row],[Time]]&gt;=0.75)=TRUE, "Evening", "Night")))</f>
        <v>Morning</v>
      </c>
      <c r="G32" t="str">
        <f>_xlfn.XLOOKUP(AllData[[#This Row],[Location Name]], Locations[Location Name],Locations[Group As])</f>
        <v>Swilgate</v>
      </c>
      <c r="H32" t="e" vm="1">
        <f>_xlfn.XLOOKUP(AllData[[#This Row],[Site Name]],LocationsKey[Site Name],LocationsKey[District])</f>
        <v>#VALUE!</v>
      </c>
      <c r="I32" t="e" vm="1">
        <f>_xlfn.XLOOKUP(AllData[[#This Row],[Site Name]],LocationsKey[Site Name],LocationsKey[Town])</f>
        <v>#VALUE!</v>
      </c>
      <c r="J32" t="str">
        <f>_xlfn.XLOOKUP(AllData[[#This Row],[Site Name]],LocationsKey[Site Name], LocationsKey[Waterway])</f>
        <v>Swilgate</v>
      </c>
      <c r="K32" t="s">
        <v>84</v>
      </c>
      <c r="L32">
        <v>51.988591</v>
      </c>
      <c r="M32">
        <v>-2.1640419999999998</v>
      </c>
      <c r="N32" t="s">
        <v>23</v>
      </c>
      <c r="O32">
        <v>806</v>
      </c>
      <c r="P32">
        <v>18.600000000000001</v>
      </c>
      <c r="Q32">
        <v>8</v>
      </c>
      <c r="R32" s="7" t="str">
        <f>IF(AllData[[#This Row],[Nitrate (PPM)]]&gt;2, "Very high", IF(AllData[[#This Row],[Nitrate (PPM)]]&gt;1, "High", IF(AllData[[#This Row],[Nitrate (PPM)]]&gt;0.5, "Some evidence", IF(AllData[[#This Row],[Nitrate (PPM)]]&gt;=0, "No evidence"))))</f>
        <v>Very high</v>
      </c>
      <c r="S32" s="4">
        <v>0.76</v>
      </c>
      <c r="T32" s="7" t="str">
        <f>IF(AllData[[#This Row],[Phosphate (PPM)]]&gt;0.5, "Very high", IF(AllData[[#This Row],[Phosphate (PPM)]]&gt;0.1, "High", IF(AllData[[#This Row],[Phosphate (PPM)]]&gt;0.05, "Some evidence", IF(AllData[[#This Row],[Phosphate (PPM)]]&lt;=0.05, "No Evidence", ""))))</f>
        <v>Very high</v>
      </c>
      <c r="U32">
        <v>0</v>
      </c>
    </row>
    <row r="33" spans="1:22" x14ac:dyDescent="0.25">
      <c r="A33" t="s">
        <v>85</v>
      </c>
      <c r="B33" s="2">
        <v>45150</v>
      </c>
      <c r="C33" s="2" t="str" cm="1">
        <f t="array" ref="C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3">
        <f>YEAR(AllData[[#This Row],[Date]])</f>
        <v>2023</v>
      </c>
      <c r="E33" s="1">
        <v>0.43055555555555558</v>
      </c>
      <c r="F33" s="2" t="str">
        <f>IF(AND(AllData[[#This Row],[Time]]&lt;0.5, AllData[[#This Row],[Time]]&gt;0.17)=TRUE, "Morning", IF(AND(AllData[[#This Row],[Time]]&lt;0.75, AllData[[#This Row],[Time]]&gt;=0.5)=TRUE, "Afternoon", IF(AND(AllData[[#This Row],[Time]]&lt;1, AllData[[#This Row],[Time]]&gt;=0.75)=TRUE, "Evening", "Night")))</f>
        <v>Morning</v>
      </c>
      <c r="G33" t="str">
        <f>_xlfn.XLOOKUP(AllData[[#This Row],[Location Name]], Locations[Location Name],Locations[Group As])</f>
        <v>Pitch 16</v>
      </c>
      <c r="H33" t="e" vm="2">
        <f>_xlfn.XLOOKUP(AllData[[#This Row],[Site Name]],LocationsKey[Site Name],LocationsKey[District])</f>
        <v>#VALUE!</v>
      </c>
      <c r="I33" t="e" vm="7">
        <f>_xlfn.XLOOKUP(AllData[[#This Row],[Site Name]],LocationsKey[Site Name],LocationsKey[Town])</f>
        <v>#VALUE!</v>
      </c>
      <c r="J33" t="str">
        <f>_xlfn.XLOOKUP(AllData[[#This Row],[Site Name]],LocationsKey[Site Name], LocationsKey[Waterway])</f>
        <v>Avon</v>
      </c>
      <c r="K33" t="s">
        <v>69</v>
      </c>
      <c r="L33">
        <v>52.172640000000001</v>
      </c>
      <c r="M33">
        <v>-1.7453590000000001</v>
      </c>
      <c r="N33" t="s">
        <v>29</v>
      </c>
      <c r="O33">
        <v>929</v>
      </c>
      <c r="P33">
        <v>20.2</v>
      </c>
      <c r="Q33">
        <v>10</v>
      </c>
      <c r="R33" s="7" t="str">
        <f>IF(AllData[[#This Row],[Nitrate (PPM)]]&gt;2, "Very high", IF(AllData[[#This Row],[Nitrate (PPM)]]&gt;1, "High", IF(AllData[[#This Row],[Nitrate (PPM)]]&gt;0.5, "Some evidence", IF(AllData[[#This Row],[Nitrate (PPM)]]&gt;=0, "No evidence"))))</f>
        <v>Very high</v>
      </c>
      <c r="S33" s="4">
        <v>0.51</v>
      </c>
      <c r="T33" s="7" t="str">
        <f>IF(AllData[[#This Row],[Phosphate (PPM)]]&gt;0.5, "Very high", IF(AllData[[#This Row],[Phosphate (PPM)]]&gt;0.1, "High", IF(AllData[[#This Row],[Phosphate (PPM)]]&gt;0.05, "Some evidence", IF(AllData[[#This Row],[Phosphate (PPM)]]&lt;=0.05, "No Evidence", ""))))</f>
        <v>Very high</v>
      </c>
      <c r="U33">
        <v>0.59</v>
      </c>
      <c r="V33" t="s">
        <v>86</v>
      </c>
    </row>
    <row r="34" spans="1:22" x14ac:dyDescent="0.25">
      <c r="A34" t="s">
        <v>87</v>
      </c>
      <c r="B34" s="2">
        <v>45150</v>
      </c>
      <c r="C34" s="2" t="str" cm="1">
        <f t="array" ref="C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4">
        <f>YEAR(AllData[[#This Row],[Date]])</f>
        <v>2023</v>
      </c>
      <c r="E34" s="1">
        <v>0.44861111111111113</v>
      </c>
      <c r="F34" s="2" t="str">
        <f>IF(AND(AllData[[#This Row],[Time]]&lt;0.5, AllData[[#This Row],[Time]]&gt;0.17)=TRUE, "Morning", IF(AND(AllData[[#This Row],[Time]]&lt;0.75, AllData[[#This Row],[Time]]&gt;=0.5)=TRUE, "Afternoon", IF(AND(AllData[[#This Row],[Time]]&lt;1, AllData[[#This Row],[Time]]&gt;=0.75)=TRUE, "Evening", "Night")))</f>
        <v>Morning</v>
      </c>
      <c r="G34" t="str">
        <f>_xlfn.XLOOKUP(AllData[[#This Row],[Location Name]], Locations[Location Name],Locations[Group As])</f>
        <v>Avonbank Drive</v>
      </c>
      <c r="H34" t="e" vm="2">
        <f>_xlfn.XLOOKUP(AllData[[#This Row],[Site Name]],LocationsKey[Site Name],LocationsKey[District])</f>
        <v>#VALUE!</v>
      </c>
      <c r="I34" t="e" vm="7">
        <f>_xlfn.XLOOKUP(AllData[[#This Row],[Site Name]],LocationsKey[Site Name],LocationsKey[Town])</f>
        <v>#VALUE!</v>
      </c>
      <c r="J34" t="str">
        <f>_xlfn.XLOOKUP(AllData[[#This Row],[Site Name]],LocationsKey[Site Name], LocationsKey[Waterway])</f>
        <v>Avon</v>
      </c>
      <c r="K34" t="s">
        <v>65</v>
      </c>
      <c r="L34">
        <v>52.177168999999999</v>
      </c>
      <c r="M34">
        <v>-1.7357689999999999</v>
      </c>
      <c r="N34" t="s">
        <v>66</v>
      </c>
      <c r="O34">
        <v>951</v>
      </c>
      <c r="P34">
        <v>20</v>
      </c>
      <c r="Q34">
        <v>10</v>
      </c>
      <c r="R34" s="7" t="str">
        <f>IF(AllData[[#This Row],[Nitrate (PPM)]]&gt;2, "Very high", IF(AllData[[#This Row],[Nitrate (PPM)]]&gt;1, "High", IF(AllData[[#This Row],[Nitrate (PPM)]]&gt;0.5, "Some evidence", IF(AllData[[#This Row],[Nitrate (PPM)]]&gt;=0, "No evidence"))))</f>
        <v>Very high</v>
      </c>
      <c r="S34" s="4">
        <v>0.54</v>
      </c>
      <c r="T34" s="7" t="str">
        <f>IF(AllData[[#This Row],[Phosphate (PPM)]]&gt;0.5, "Very high", IF(AllData[[#This Row],[Phosphate (PPM)]]&gt;0.1, "High", IF(AllData[[#This Row],[Phosphate (PPM)]]&gt;0.05, "Some evidence", IF(AllData[[#This Row],[Phosphate (PPM)]]&lt;=0.05, "No Evidence", ""))))</f>
        <v>Very high</v>
      </c>
      <c r="U34">
        <v>0.59</v>
      </c>
      <c r="V34" t="s">
        <v>88</v>
      </c>
    </row>
    <row r="35" spans="1:22" x14ac:dyDescent="0.25">
      <c r="A35" t="s">
        <v>89</v>
      </c>
      <c r="B35" s="2">
        <v>45150</v>
      </c>
      <c r="C35" s="2" t="str" cm="1">
        <f t="array" ref="C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5">
        <f>YEAR(AllData[[#This Row],[Date]])</f>
        <v>2023</v>
      </c>
      <c r="E35" s="1">
        <v>0.64583333333333337</v>
      </c>
      <c r="F35" s="2" t="str">
        <f>IF(AND(AllData[[#This Row],[Time]]&lt;0.5, AllData[[#This Row],[Time]]&gt;0.17)=TRUE, "Morning", IF(AND(AllData[[#This Row],[Time]]&lt;0.75, AllData[[#This Row],[Time]]&gt;=0.5)=TRUE, "Afternoon", IF(AND(AllData[[#This Row],[Time]]&lt;1, AllData[[#This Row],[Time]]&gt;=0.75)=TRUE, "Evening", "Night")))</f>
        <v>Afternoon</v>
      </c>
      <c r="G35" t="str">
        <f>_xlfn.XLOOKUP(AllData[[#This Row],[Location Name]], Locations[Location Name],Locations[Group As])</f>
        <v>Carrant Bredon Rd</v>
      </c>
      <c r="H35" t="e" vm="1">
        <f>_xlfn.XLOOKUP(AllData[[#This Row],[Site Name]],LocationsKey[Site Name],LocationsKey[District])</f>
        <v>#VALUE!</v>
      </c>
      <c r="I35" t="e" vm="1">
        <f>_xlfn.XLOOKUP(AllData[[#This Row],[Site Name]],LocationsKey[Site Name],LocationsKey[Town])</f>
        <v>#VALUE!</v>
      </c>
      <c r="J35" t="str">
        <f>_xlfn.XLOOKUP(AllData[[#This Row],[Site Name]],LocationsKey[Site Name], LocationsKey[Waterway])</f>
        <v>Carrant</v>
      </c>
      <c r="K35" t="s">
        <v>90</v>
      </c>
      <c r="N35" t="s">
        <v>23</v>
      </c>
      <c r="O35">
        <v>684</v>
      </c>
      <c r="P35">
        <v>19.399999999999999</v>
      </c>
      <c r="Q35">
        <v>7</v>
      </c>
      <c r="R35" s="7" t="str">
        <f>IF(AllData[[#This Row],[Nitrate (PPM)]]&gt;2, "Very high", IF(AllData[[#This Row],[Nitrate (PPM)]]&gt;1, "High", IF(AllData[[#This Row],[Nitrate (PPM)]]&gt;0.5, "Some evidence", IF(AllData[[#This Row],[Nitrate (PPM)]]&gt;=0, "No evidence"))))</f>
        <v>Very high</v>
      </c>
      <c r="S35" s="4">
        <v>0.64</v>
      </c>
      <c r="T35" s="7" t="str">
        <f>IF(AllData[[#This Row],[Phosphate (PPM)]]&gt;0.5, "Very high", IF(AllData[[#This Row],[Phosphate (PPM)]]&gt;0.1, "High", IF(AllData[[#This Row],[Phosphate (PPM)]]&gt;0.05, "Some evidence", IF(AllData[[#This Row],[Phosphate (PPM)]]&lt;=0.05, "No Evidence", ""))))</f>
        <v>Very high</v>
      </c>
      <c r="U35">
        <v>0</v>
      </c>
    </row>
    <row r="36" spans="1:22" x14ac:dyDescent="0.25">
      <c r="A36" t="s">
        <v>91</v>
      </c>
      <c r="B36" s="2">
        <v>45150</v>
      </c>
      <c r="C36" s="2" t="str" cm="1">
        <f t="array" ref="C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6">
        <f>YEAR(AllData[[#This Row],[Date]])</f>
        <v>2023</v>
      </c>
      <c r="E36" s="1">
        <v>0.69791666666666663</v>
      </c>
      <c r="F36" s="2" t="str">
        <f>IF(AND(AllData[[#This Row],[Time]]&lt;0.5, AllData[[#This Row],[Time]]&gt;0.17)=TRUE, "Morning", IF(AND(AllData[[#This Row],[Time]]&lt;0.75, AllData[[#This Row],[Time]]&gt;=0.5)=TRUE, "Afternoon", IF(AND(AllData[[#This Row],[Time]]&lt;1, AllData[[#This Row],[Time]]&gt;=0.75)=TRUE, "Evening", "Night")))</f>
        <v>Afternoon</v>
      </c>
      <c r="G36" t="str">
        <f>_xlfn.XLOOKUP(AllData[[#This Row],[Location Name]], Locations[Location Name],Locations[Group As])</f>
        <v>Swilgate</v>
      </c>
      <c r="H36" t="e" vm="1">
        <f>_xlfn.XLOOKUP(AllData[[#This Row],[Site Name]],LocationsKey[Site Name],LocationsKey[District])</f>
        <v>#VALUE!</v>
      </c>
      <c r="I36" t="e" vm="1">
        <f>_xlfn.XLOOKUP(AllData[[#This Row],[Site Name]],LocationsKey[Site Name],LocationsKey[Town])</f>
        <v>#VALUE!</v>
      </c>
      <c r="J36" t="str">
        <f>_xlfn.XLOOKUP(AllData[[#This Row],[Site Name]],LocationsKey[Site Name], LocationsKey[Waterway])</f>
        <v>Swilgate</v>
      </c>
      <c r="K36" t="s">
        <v>84</v>
      </c>
      <c r="N36" t="s">
        <v>23</v>
      </c>
      <c r="O36">
        <v>989</v>
      </c>
      <c r="P36">
        <v>19.5</v>
      </c>
      <c r="Q36">
        <v>7</v>
      </c>
      <c r="R36" s="7" t="str">
        <f>IF(AllData[[#This Row],[Nitrate (PPM)]]&gt;2, "Very high", IF(AllData[[#This Row],[Nitrate (PPM)]]&gt;1, "High", IF(AllData[[#This Row],[Nitrate (PPM)]]&gt;0.5, "Some evidence", IF(AllData[[#This Row],[Nitrate (PPM)]]&gt;=0, "No evidence"))))</f>
        <v>Very high</v>
      </c>
      <c r="S36" s="4">
        <v>0.8</v>
      </c>
      <c r="T36" s="7" t="str">
        <f>IF(AllData[[#This Row],[Phosphate (PPM)]]&gt;0.5, "Very high", IF(AllData[[#This Row],[Phosphate (PPM)]]&gt;0.1, "High", IF(AllData[[#This Row],[Phosphate (PPM)]]&gt;0.05, "Some evidence", IF(AllData[[#This Row],[Phosphate (PPM)]]&lt;=0.05, "No Evidence", ""))))</f>
        <v>Very high</v>
      </c>
      <c r="U36">
        <v>0</v>
      </c>
    </row>
    <row r="37" spans="1:22" x14ac:dyDescent="0.25">
      <c r="A37" t="s">
        <v>92</v>
      </c>
      <c r="B37" s="2">
        <v>45151</v>
      </c>
      <c r="C37" s="2" t="str" cm="1">
        <f t="array" ref="C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7">
        <f>YEAR(AllData[[#This Row],[Date]])</f>
        <v>2023</v>
      </c>
      <c r="E37" s="1">
        <v>0.46875</v>
      </c>
      <c r="F37" s="2" t="str">
        <f>IF(AND(AllData[[#This Row],[Time]]&lt;0.5, AllData[[#This Row],[Time]]&gt;0.17)=TRUE, "Morning", IF(AND(AllData[[#This Row],[Time]]&lt;0.75, AllData[[#This Row],[Time]]&gt;=0.5)=TRUE, "Afternoon", IF(AND(AllData[[#This Row],[Time]]&lt;1, AllData[[#This Row],[Time]]&gt;=0.75)=TRUE, "Evening", "Night")))</f>
        <v>Morning</v>
      </c>
      <c r="G37" t="str">
        <f>_xlfn.XLOOKUP(AllData[[#This Row],[Location Name]], Locations[Location Name],Locations[Group As])</f>
        <v>Hampton Wood</v>
      </c>
      <c r="H37" t="e" vm="2">
        <f>_xlfn.XLOOKUP(AllData[[#This Row],[Site Name]],LocationsKey[Site Name],LocationsKey[District])</f>
        <v>#VALUE!</v>
      </c>
      <c r="I37" t="e" vm="3">
        <f>_xlfn.XLOOKUP(AllData[[#This Row],[Site Name]],LocationsKey[Site Name],LocationsKey[Town])</f>
        <v>#VALUE!</v>
      </c>
      <c r="J37" t="str">
        <f>_xlfn.XLOOKUP(AllData[[#This Row],[Site Name]],LocationsKey[Site Name], LocationsKey[Waterway])</f>
        <v>Avon</v>
      </c>
      <c r="K37" t="s">
        <v>34</v>
      </c>
      <c r="L37">
        <v>52.238149999999997</v>
      </c>
      <c r="M37">
        <v>-1.6245799999999999</v>
      </c>
      <c r="N37" t="s">
        <v>29</v>
      </c>
      <c r="O37">
        <v>888</v>
      </c>
      <c r="P37">
        <v>18.600000000000001</v>
      </c>
      <c r="Q37">
        <v>6</v>
      </c>
      <c r="R37" s="7" t="str">
        <f>IF(AllData[[#This Row],[Nitrate (PPM)]]&gt;2, "Very high", IF(AllData[[#This Row],[Nitrate (PPM)]]&gt;1, "High", IF(AllData[[#This Row],[Nitrate (PPM)]]&gt;0.5, "Some evidence", IF(AllData[[#This Row],[Nitrate (PPM)]]&gt;=0, "No evidence"))))</f>
        <v>Very high</v>
      </c>
      <c r="S37" s="4">
        <v>0.57999999999999996</v>
      </c>
      <c r="T37" s="7" t="str">
        <f>IF(AllData[[#This Row],[Phosphate (PPM)]]&gt;0.5, "Very high", IF(AllData[[#This Row],[Phosphate (PPM)]]&gt;0.1, "High", IF(AllData[[#This Row],[Phosphate (PPM)]]&gt;0.05, "Some evidence", IF(AllData[[#This Row],[Phosphate (PPM)]]&lt;=0.05, "No Evidence", ""))))</f>
        <v>Very high</v>
      </c>
      <c r="U37">
        <v>0</v>
      </c>
    </row>
    <row r="38" spans="1:22" x14ac:dyDescent="0.25">
      <c r="A38" t="s">
        <v>93</v>
      </c>
      <c r="B38" s="2">
        <v>45151</v>
      </c>
      <c r="C38" s="2" t="str" cm="1">
        <f t="array" ref="C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8">
        <f>YEAR(AllData[[#This Row],[Date]])</f>
        <v>2023</v>
      </c>
      <c r="E38" s="1">
        <v>0.52083333333333337</v>
      </c>
      <c r="F38" s="2" t="str">
        <f>IF(AND(AllData[[#This Row],[Time]]&lt;0.5, AllData[[#This Row],[Time]]&gt;0.17)=TRUE, "Morning", IF(AND(AllData[[#This Row],[Time]]&lt;0.75, AllData[[#This Row],[Time]]&gt;=0.5)=TRUE, "Afternoon", IF(AND(AllData[[#This Row],[Time]]&lt;1, AllData[[#This Row],[Time]]&gt;=0.75)=TRUE, "Evening", "Night")))</f>
        <v>Afternoon</v>
      </c>
      <c r="G38" t="str">
        <f>_xlfn.XLOOKUP(AllData[[#This Row],[Location Name]], Locations[Location Name],Locations[Group As])</f>
        <v>Hampton Lucy</v>
      </c>
      <c r="H38" t="e" vm="2">
        <f>_xlfn.XLOOKUP(AllData[[#This Row],[Site Name]],LocationsKey[Site Name],LocationsKey[District])</f>
        <v>#VALUE!</v>
      </c>
      <c r="I38" t="e" vm="4">
        <f>_xlfn.XLOOKUP(AllData[[#This Row],[Site Name]],LocationsKey[Site Name],LocationsKey[Town])</f>
        <v>#VALUE!</v>
      </c>
      <c r="J38" t="str">
        <f>_xlfn.XLOOKUP(AllData[[#This Row],[Site Name]],LocationsKey[Site Name], LocationsKey[Waterway])</f>
        <v>Avon</v>
      </c>
      <c r="K38" t="s">
        <v>37</v>
      </c>
      <c r="L38">
        <v>52.211680000000001</v>
      </c>
      <c r="M38">
        <v>-1.6244400000000001</v>
      </c>
      <c r="N38" t="s">
        <v>23</v>
      </c>
      <c r="O38">
        <v>868</v>
      </c>
      <c r="P38">
        <v>20</v>
      </c>
      <c r="Q38">
        <v>6</v>
      </c>
      <c r="R38" s="7" t="str">
        <f>IF(AllData[[#This Row],[Nitrate (PPM)]]&gt;2, "Very high", IF(AllData[[#This Row],[Nitrate (PPM)]]&gt;1, "High", IF(AllData[[#This Row],[Nitrate (PPM)]]&gt;0.5, "Some evidence", IF(AllData[[#This Row],[Nitrate (PPM)]]&gt;=0, "No evidence"))))</f>
        <v>Very high</v>
      </c>
      <c r="S38" s="4">
        <v>0.61</v>
      </c>
      <c r="T38" s="7" t="str">
        <f>IF(AllData[[#This Row],[Phosphate (PPM)]]&gt;0.5, "Very high", IF(AllData[[#This Row],[Phosphate (PPM)]]&gt;0.1, "High", IF(AllData[[#This Row],[Phosphate (PPM)]]&gt;0.05, "Some evidence", IF(AllData[[#This Row],[Phosphate (PPM)]]&lt;=0.05, "No Evidence", ""))))</f>
        <v>Very high</v>
      </c>
      <c r="U38">
        <v>0</v>
      </c>
    </row>
    <row r="39" spans="1:22" x14ac:dyDescent="0.25">
      <c r="A39" t="s">
        <v>94</v>
      </c>
      <c r="B39" s="2">
        <v>45151</v>
      </c>
      <c r="C39" s="2" t="str" cm="1">
        <f t="array" ref="C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39">
        <f>YEAR(AllData[[#This Row],[Date]])</f>
        <v>2023</v>
      </c>
      <c r="E39" s="1">
        <v>0.63194444444444442</v>
      </c>
      <c r="F39" s="2" t="str">
        <f>IF(AND(AllData[[#This Row],[Time]]&lt;0.5, AllData[[#This Row],[Time]]&gt;0.17)=TRUE, "Morning", IF(AND(AllData[[#This Row],[Time]]&lt;0.75, AllData[[#This Row],[Time]]&gt;=0.5)=TRUE, "Afternoon", IF(AND(AllData[[#This Row],[Time]]&lt;1, AllData[[#This Row],[Time]]&gt;=0.75)=TRUE, "Evening", "Night")))</f>
        <v>Afternoon</v>
      </c>
      <c r="G39" t="str">
        <f>_xlfn.XLOOKUP(AllData[[#This Row],[Location Name]], Locations[Location Name],Locations[Group As])</f>
        <v>Abbey Mill</v>
      </c>
      <c r="H39" t="e" vm="1">
        <f>_xlfn.XLOOKUP(AllData[[#This Row],[Site Name]],LocationsKey[Site Name],LocationsKey[District])</f>
        <v>#VALUE!</v>
      </c>
      <c r="I39" t="e" vm="1">
        <f>_xlfn.XLOOKUP(AllData[[#This Row],[Site Name]],LocationsKey[Site Name],LocationsKey[Town])</f>
        <v>#VALUE!</v>
      </c>
      <c r="J39" t="str">
        <f>_xlfn.XLOOKUP(AllData[[#This Row],[Site Name]],LocationsKey[Site Name], LocationsKey[Waterway])</f>
        <v>Avon</v>
      </c>
      <c r="K39" t="s">
        <v>25</v>
      </c>
      <c r="L39">
        <v>51.991483000000002</v>
      </c>
      <c r="M39">
        <v>-2.16275</v>
      </c>
      <c r="N39" t="s">
        <v>23</v>
      </c>
      <c r="O39">
        <v>896</v>
      </c>
      <c r="P39">
        <v>19.7</v>
      </c>
      <c r="Q39">
        <v>8</v>
      </c>
      <c r="R39" s="7" t="str">
        <f>IF(AllData[[#This Row],[Nitrate (PPM)]]&gt;2, "Very high", IF(AllData[[#This Row],[Nitrate (PPM)]]&gt;1, "High", IF(AllData[[#This Row],[Nitrate (PPM)]]&gt;0.5, "Some evidence", IF(AllData[[#This Row],[Nitrate (PPM)]]&gt;=0, "No evidence"))))</f>
        <v>Very high</v>
      </c>
      <c r="S39" s="4">
        <v>0.91</v>
      </c>
      <c r="T39" s="7" t="str">
        <f>IF(AllData[[#This Row],[Phosphate (PPM)]]&gt;0.5, "Very high", IF(AllData[[#This Row],[Phosphate (PPM)]]&gt;0.1, "High", IF(AllData[[#This Row],[Phosphate (PPM)]]&gt;0.05, "Some evidence", IF(AllData[[#This Row],[Phosphate (PPM)]]&lt;=0.05, "No Evidence", ""))))</f>
        <v>Very high</v>
      </c>
      <c r="U39">
        <v>0</v>
      </c>
    </row>
    <row r="40" spans="1:22" x14ac:dyDescent="0.25">
      <c r="A40" t="s">
        <v>95</v>
      </c>
      <c r="B40" s="2">
        <v>45151</v>
      </c>
      <c r="C40" s="2" t="str" cm="1">
        <f t="array" ref="C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0">
        <f>YEAR(AllData[[#This Row],[Date]])</f>
        <v>2023</v>
      </c>
      <c r="E40" s="1">
        <v>0.79166666666666663</v>
      </c>
      <c r="F40" s="2" t="str">
        <f>IF(AND(AllData[[#This Row],[Time]]&lt;0.5, AllData[[#This Row],[Time]]&gt;0.17)=TRUE, "Morning", IF(AND(AllData[[#This Row],[Time]]&lt;0.75, AllData[[#This Row],[Time]]&gt;=0.5)=TRUE, "Afternoon", IF(AND(AllData[[#This Row],[Time]]&lt;1, AllData[[#This Row],[Time]]&gt;=0.75)=TRUE, "Evening", "Night")))</f>
        <v>Evening</v>
      </c>
      <c r="G40" t="str">
        <f>_xlfn.XLOOKUP(AllData[[#This Row],[Location Name]], Locations[Location Name],Locations[Group As])</f>
        <v>Welford Boat Station</v>
      </c>
      <c r="H40" t="e" vm="2">
        <f>_xlfn.XLOOKUP(AllData[[#This Row],[Site Name]],LocationsKey[Site Name],LocationsKey[District])</f>
        <v>#VALUE!</v>
      </c>
      <c r="I40" t="e" vm="5">
        <f>_xlfn.XLOOKUP(AllData[[#This Row],[Site Name]],LocationsKey[Site Name],LocationsKey[Town])</f>
        <v>#VALUE!</v>
      </c>
      <c r="J40" t="str">
        <f>_xlfn.XLOOKUP(AllData[[#This Row],[Site Name]],LocationsKey[Site Name], LocationsKey[Waterway])</f>
        <v>Avon</v>
      </c>
      <c r="K40" t="s">
        <v>39</v>
      </c>
      <c r="L40">
        <v>52.173999000000002</v>
      </c>
      <c r="M40">
        <v>-1.791587</v>
      </c>
      <c r="N40" t="s">
        <v>29</v>
      </c>
      <c r="O40">
        <v>952</v>
      </c>
      <c r="P40">
        <v>19.3</v>
      </c>
      <c r="Q40">
        <v>9</v>
      </c>
      <c r="R40" s="7" t="str">
        <f>IF(AllData[[#This Row],[Nitrate (PPM)]]&gt;2, "Very high", IF(AllData[[#This Row],[Nitrate (PPM)]]&gt;1, "High", IF(AllData[[#This Row],[Nitrate (PPM)]]&gt;0.5, "Some evidence", IF(AllData[[#This Row],[Nitrate (PPM)]]&gt;=0, "No evidence"))))</f>
        <v>Very high</v>
      </c>
      <c r="S40" s="4">
        <v>0.61</v>
      </c>
      <c r="T40" s="7" t="str">
        <f>IF(AllData[[#This Row],[Phosphate (PPM)]]&gt;0.5, "Very high", IF(AllData[[#This Row],[Phosphate (PPM)]]&gt;0.1, "High", IF(AllData[[#This Row],[Phosphate (PPM)]]&gt;0.05, "Some evidence", IF(AllData[[#This Row],[Phosphate (PPM)]]&lt;=0.05, "No Evidence", ""))))</f>
        <v>Very high</v>
      </c>
      <c r="U40">
        <v>0</v>
      </c>
      <c r="V40" t="s">
        <v>96</v>
      </c>
    </row>
    <row r="41" spans="1:22" x14ac:dyDescent="0.25">
      <c r="A41" t="s">
        <v>97</v>
      </c>
      <c r="B41" s="2">
        <v>45152</v>
      </c>
      <c r="C41" s="2" t="str" cm="1">
        <f t="array" ref="C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1">
        <f>YEAR(AllData[[#This Row],[Date]])</f>
        <v>2023</v>
      </c>
      <c r="E41" s="1">
        <v>0.5</v>
      </c>
      <c r="F41" s="2" t="str">
        <f>IF(AND(AllData[[#This Row],[Time]]&lt;0.5, AllData[[#This Row],[Time]]&gt;0.17)=TRUE, "Morning", IF(AND(AllData[[#This Row],[Time]]&lt;0.75, AllData[[#This Row],[Time]]&gt;=0.5)=TRUE, "Afternoon", IF(AND(AllData[[#This Row],[Time]]&lt;1, AllData[[#This Row],[Time]]&gt;=0.75)=TRUE, "Evening", "Night")))</f>
        <v>Afternoon</v>
      </c>
      <c r="G41" t="str">
        <f>_xlfn.XLOOKUP(AllData[[#This Row],[Location Name]], Locations[Location Name],Locations[Group As])</f>
        <v>Barton</v>
      </c>
      <c r="H41" t="e" vm="2">
        <f>_xlfn.XLOOKUP(AllData[[#This Row],[Site Name]],LocationsKey[Site Name],LocationsKey[District])</f>
        <v>#VALUE!</v>
      </c>
      <c r="I41" t="str">
        <f>_xlfn.XLOOKUP(AllData[[#This Row],[Site Name]],LocationsKey[Site Name],LocationsKey[Town])</f>
        <v>Barton</v>
      </c>
      <c r="J41" t="str">
        <f>_xlfn.XLOOKUP(AllData[[#This Row],[Site Name]],LocationsKey[Site Name], LocationsKey[Waterway])</f>
        <v>Avon</v>
      </c>
      <c r="K41" t="s">
        <v>49</v>
      </c>
      <c r="L41">
        <v>52.161209999999997</v>
      </c>
      <c r="M41">
        <v>-1.8301499999999999</v>
      </c>
      <c r="N41" t="s">
        <v>29</v>
      </c>
      <c r="O41">
        <v>932</v>
      </c>
      <c r="P41">
        <v>18.399999999999999</v>
      </c>
      <c r="Q41">
        <v>6</v>
      </c>
      <c r="R41" s="7" t="str">
        <f>IF(AllData[[#This Row],[Nitrate (PPM)]]&gt;2, "Very high", IF(AllData[[#This Row],[Nitrate (PPM)]]&gt;1, "High", IF(AllData[[#This Row],[Nitrate (PPM)]]&gt;0.5, "Some evidence", IF(AllData[[#This Row],[Nitrate (PPM)]]&gt;=0, "No evidence"))))</f>
        <v>Very high</v>
      </c>
      <c r="S41" s="4">
        <v>0.73</v>
      </c>
      <c r="T41" s="7" t="str">
        <f>IF(AllData[[#This Row],[Phosphate (PPM)]]&gt;0.5, "Very high", IF(AllData[[#This Row],[Phosphate (PPM)]]&gt;0.1, "High", IF(AllData[[#This Row],[Phosphate (PPM)]]&gt;0.05, "Some evidence", IF(AllData[[#This Row],[Phosphate (PPM)]]&lt;=0.05, "No Evidence", ""))))</f>
        <v>Very high</v>
      </c>
      <c r="U41">
        <v>0</v>
      </c>
    </row>
    <row r="42" spans="1:22" x14ac:dyDescent="0.25">
      <c r="A42" t="s">
        <v>98</v>
      </c>
      <c r="B42" s="2">
        <v>45152</v>
      </c>
      <c r="C42" s="2" t="str" cm="1">
        <f t="array" ref="C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2">
        <f>YEAR(AllData[[#This Row],[Date]])</f>
        <v>2023</v>
      </c>
      <c r="E42" s="1">
        <v>0.63194444444444442</v>
      </c>
      <c r="F42" s="2" t="str">
        <f>IF(AND(AllData[[#This Row],[Time]]&lt;0.5, AllData[[#This Row],[Time]]&gt;0.17)=TRUE, "Morning", IF(AND(AllData[[#This Row],[Time]]&lt;0.75, AllData[[#This Row],[Time]]&gt;=0.5)=TRUE, "Afternoon", IF(AND(AllData[[#This Row],[Time]]&lt;1, AllData[[#This Row],[Time]]&gt;=0.75)=TRUE, "Evening", "Night")))</f>
        <v>Afternoon</v>
      </c>
      <c r="G42" t="str">
        <f>_xlfn.XLOOKUP(AllData[[#This Row],[Location Name]], Locations[Location Name],Locations[Group As])</f>
        <v>Weston-on-Avon</v>
      </c>
      <c r="H42" t="e" vm="2">
        <f>_xlfn.XLOOKUP(AllData[[#This Row],[Site Name]],LocationsKey[Site Name],LocationsKey[District])</f>
        <v>#VALUE!</v>
      </c>
      <c r="I42" t="e" vm="6">
        <f>_xlfn.XLOOKUP(AllData[[#This Row],[Site Name]],LocationsKey[Site Name],LocationsKey[Town])</f>
        <v>#VALUE!</v>
      </c>
      <c r="J42" t="str">
        <f>_xlfn.XLOOKUP(AllData[[#This Row],[Site Name]],LocationsKey[Site Name], LocationsKey[Waterway])</f>
        <v>Avon</v>
      </c>
      <c r="K42" t="s">
        <v>41</v>
      </c>
      <c r="L42">
        <v>52.167430000000003</v>
      </c>
      <c r="M42">
        <v>-1.7744800000000001</v>
      </c>
      <c r="N42" t="s">
        <v>29</v>
      </c>
      <c r="O42">
        <v>948</v>
      </c>
      <c r="P42">
        <v>20</v>
      </c>
      <c r="Q42">
        <v>5</v>
      </c>
      <c r="R42" s="7" t="str">
        <f>IF(AllData[[#This Row],[Nitrate (PPM)]]&gt;2, "Very high", IF(AllData[[#This Row],[Nitrate (PPM)]]&gt;1, "High", IF(AllData[[#This Row],[Nitrate (PPM)]]&gt;0.5, "Some evidence", IF(AllData[[#This Row],[Nitrate (PPM)]]&gt;=0, "No evidence"))))</f>
        <v>Very high</v>
      </c>
      <c r="S42" s="4">
        <v>0.84</v>
      </c>
      <c r="T42" s="7" t="str">
        <f>IF(AllData[[#This Row],[Phosphate (PPM)]]&gt;0.5, "Very high", IF(AllData[[#This Row],[Phosphate (PPM)]]&gt;0.1, "High", IF(AllData[[#This Row],[Phosphate (PPM)]]&gt;0.05, "Some evidence", IF(AllData[[#This Row],[Phosphate (PPM)]]&lt;=0.05, "No Evidence", ""))))</f>
        <v>Very high</v>
      </c>
      <c r="U42">
        <v>0</v>
      </c>
    </row>
    <row r="43" spans="1:22" x14ac:dyDescent="0.25">
      <c r="A43" t="s">
        <v>99</v>
      </c>
      <c r="B43" s="2">
        <v>45154</v>
      </c>
      <c r="C43" s="2" t="str" cm="1">
        <f t="array" ref="C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3">
        <f>YEAR(AllData[[#This Row],[Date]])</f>
        <v>2023</v>
      </c>
      <c r="E43" s="1">
        <v>0.81388888888888888</v>
      </c>
      <c r="F43" s="2" t="str">
        <f>IF(AND(AllData[[#This Row],[Time]]&lt;0.5, AllData[[#This Row],[Time]]&gt;0.17)=TRUE, "Morning", IF(AND(AllData[[#This Row],[Time]]&lt;0.75, AllData[[#This Row],[Time]]&gt;=0.5)=TRUE, "Afternoon", IF(AND(AllData[[#This Row],[Time]]&lt;1, AllData[[#This Row],[Time]]&gt;=0.75)=TRUE, "Evening", "Night")))</f>
        <v>Evening</v>
      </c>
      <c r="G43" t="str">
        <f>_xlfn.XLOOKUP(AllData[[#This Row],[Location Name]], Locations[Location Name],Locations[Group As])</f>
        <v>Abbey Mill</v>
      </c>
      <c r="H43" t="e" vm="1">
        <f>_xlfn.XLOOKUP(AllData[[#This Row],[Site Name]],LocationsKey[Site Name],LocationsKey[District])</f>
        <v>#VALUE!</v>
      </c>
      <c r="I43" t="e" vm="1">
        <f>_xlfn.XLOOKUP(AllData[[#This Row],[Site Name]],LocationsKey[Site Name],LocationsKey[Town])</f>
        <v>#VALUE!</v>
      </c>
      <c r="J43" t="str">
        <f>_xlfn.XLOOKUP(AllData[[#This Row],[Site Name]],LocationsKey[Site Name], LocationsKey[Waterway])</f>
        <v>Avon</v>
      </c>
      <c r="K43" t="s">
        <v>25</v>
      </c>
      <c r="L43">
        <v>51.991405999999998</v>
      </c>
      <c r="M43">
        <v>-2.162811</v>
      </c>
      <c r="N43" t="s">
        <v>23</v>
      </c>
      <c r="O43">
        <v>931</v>
      </c>
      <c r="P43">
        <v>21.2</v>
      </c>
      <c r="Q43">
        <v>7</v>
      </c>
      <c r="R43" s="7" t="str">
        <f>IF(AllData[[#This Row],[Nitrate (PPM)]]&gt;2, "Very high", IF(AllData[[#This Row],[Nitrate (PPM)]]&gt;1, "High", IF(AllData[[#This Row],[Nitrate (PPM)]]&gt;0.5, "Some evidence", IF(AllData[[#This Row],[Nitrate (PPM)]]&gt;=0, "No evidence"))))</f>
        <v>Very high</v>
      </c>
      <c r="S43" s="4">
        <v>1.05</v>
      </c>
      <c r="T43" s="7" t="str">
        <f>IF(AllData[[#This Row],[Phosphate (PPM)]]&gt;0.5, "Very high", IF(AllData[[#This Row],[Phosphate (PPM)]]&gt;0.1, "High", IF(AllData[[#This Row],[Phosphate (PPM)]]&gt;0.05, "Some evidence", IF(AllData[[#This Row],[Phosphate (PPM)]]&lt;=0.05, "No Evidence", ""))))</f>
        <v>Very high</v>
      </c>
      <c r="U43">
        <v>0</v>
      </c>
    </row>
    <row r="44" spans="1:22" x14ac:dyDescent="0.25">
      <c r="A44" t="s">
        <v>100</v>
      </c>
      <c r="B44" s="2">
        <v>45155</v>
      </c>
      <c r="C44" s="2" t="str" cm="1">
        <f t="array" ref="C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4">
        <f>YEAR(AllData[[#This Row],[Date]])</f>
        <v>2023</v>
      </c>
      <c r="E44" s="1">
        <v>0.44097222222222221</v>
      </c>
      <c r="F44" s="2" t="str">
        <f>IF(AND(AllData[[#This Row],[Time]]&lt;0.5, AllData[[#This Row],[Time]]&gt;0.17)=TRUE, "Morning", IF(AND(AllData[[#This Row],[Time]]&lt;0.75, AllData[[#This Row],[Time]]&gt;=0.5)=TRUE, "Afternoon", IF(AND(AllData[[#This Row],[Time]]&lt;1, AllData[[#This Row],[Time]]&gt;=0.75)=TRUE, "Evening", "Night")))</f>
        <v>Morning</v>
      </c>
      <c r="G44" t="str">
        <f>_xlfn.XLOOKUP(AllData[[#This Row],[Location Name]], Locations[Location Name],Locations[Group As])</f>
        <v>Swilgate</v>
      </c>
      <c r="H44" t="e" vm="1">
        <f>_xlfn.XLOOKUP(AllData[[#This Row],[Site Name]],LocationsKey[Site Name],LocationsKey[District])</f>
        <v>#VALUE!</v>
      </c>
      <c r="I44" t="e" vm="1">
        <f>_xlfn.XLOOKUP(AllData[[#This Row],[Site Name]],LocationsKey[Site Name],LocationsKey[Town])</f>
        <v>#VALUE!</v>
      </c>
      <c r="J44" t="str">
        <f>_xlfn.XLOOKUP(AllData[[#This Row],[Site Name]],LocationsKey[Site Name], LocationsKey[Waterway])</f>
        <v>Swilgate</v>
      </c>
      <c r="K44" t="s">
        <v>84</v>
      </c>
      <c r="N44" t="s">
        <v>23</v>
      </c>
      <c r="O44">
        <v>890</v>
      </c>
      <c r="P44">
        <v>18.3</v>
      </c>
      <c r="Q44">
        <v>7</v>
      </c>
      <c r="R44" s="7" t="str">
        <f>IF(AllData[[#This Row],[Nitrate (PPM)]]&gt;2, "Very high", IF(AllData[[#This Row],[Nitrate (PPM)]]&gt;1, "High", IF(AllData[[#This Row],[Nitrate (PPM)]]&gt;0.5, "Some evidence", IF(AllData[[#This Row],[Nitrate (PPM)]]&gt;=0, "No evidence"))))</f>
        <v>Very high</v>
      </c>
      <c r="S44" s="4">
        <v>0.65</v>
      </c>
      <c r="T44" s="7" t="str">
        <f>IF(AllData[[#This Row],[Phosphate (PPM)]]&gt;0.5, "Very high", IF(AllData[[#This Row],[Phosphate (PPM)]]&gt;0.1, "High", IF(AllData[[#This Row],[Phosphate (PPM)]]&gt;0.05, "Some evidence", IF(AllData[[#This Row],[Phosphate (PPM)]]&lt;=0.05, "No Evidence", ""))))</f>
        <v>Very high</v>
      </c>
      <c r="U44">
        <v>0</v>
      </c>
    </row>
    <row r="45" spans="1:22" x14ac:dyDescent="0.25">
      <c r="A45" t="s">
        <v>101</v>
      </c>
      <c r="B45" s="2">
        <v>45157</v>
      </c>
      <c r="C45" s="2" t="str" cm="1">
        <f t="array" ref="C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5">
        <f>YEAR(AllData[[#This Row],[Date]])</f>
        <v>2023</v>
      </c>
      <c r="E45" s="1">
        <v>0.60416666666666663</v>
      </c>
      <c r="F45" s="2" t="str">
        <f>IF(AND(AllData[[#This Row],[Time]]&lt;0.5, AllData[[#This Row],[Time]]&gt;0.17)=TRUE, "Morning", IF(AND(AllData[[#This Row],[Time]]&lt;0.75, AllData[[#This Row],[Time]]&gt;=0.5)=TRUE, "Afternoon", IF(AND(AllData[[#This Row],[Time]]&lt;1, AllData[[#This Row],[Time]]&gt;=0.75)=TRUE, "Evening", "Night")))</f>
        <v>Afternoon</v>
      </c>
      <c r="G45" t="str">
        <f>_xlfn.XLOOKUP(AllData[[#This Row],[Location Name]], Locations[Location Name],Locations[Group As])</f>
        <v>Carrant Bredon Rd</v>
      </c>
      <c r="H45" t="e" vm="1">
        <f>_xlfn.XLOOKUP(AllData[[#This Row],[Site Name]],LocationsKey[Site Name],LocationsKey[District])</f>
        <v>#VALUE!</v>
      </c>
      <c r="I45" t="e" vm="1">
        <f>_xlfn.XLOOKUP(AllData[[#This Row],[Site Name]],LocationsKey[Site Name],LocationsKey[Town])</f>
        <v>#VALUE!</v>
      </c>
      <c r="J45" t="str">
        <f>_xlfn.XLOOKUP(AllData[[#This Row],[Site Name]],LocationsKey[Site Name], LocationsKey[Waterway])</f>
        <v>Carrant</v>
      </c>
      <c r="K45" t="s">
        <v>90</v>
      </c>
      <c r="N45" t="s">
        <v>23</v>
      </c>
      <c r="O45" s="219">
        <v>632</v>
      </c>
      <c r="P45">
        <v>19.399999999999999</v>
      </c>
      <c r="Q45" s="219">
        <v>5</v>
      </c>
      <c r="R45" s="7" t="str">
        <f>IF(AllData[[#This Row],[Nitrate (PPM)]]&gt;2, "Very high", IF(AllData[[#This Row],[Nitrate (PPM)]]&gt;1, "High", IF(AllData[[#This Row],[Nitrate (PPM)]]&gt;0.5, "Some evidence", IF(AllData[[#This Row],[Nitrate (PPM)]]&gt;=0, "No evidence"))))</f>
        <v>Very high</v>
      </c>
      <c r="S45" s="221">
        <v>0.64</v>
      </c>
      <c r="T45" s="7" t="str">
        <f>IF(AllData[[#This Row],[Phosphate (PPM)]]&gt;0.5, "Very high", IF(AllData[[#This Row],[Phosphate (PPM)]]&gt;0.1, "High", IF(AllData[[#This Row],[Phosphate (PPM)]]&gt;0.05, "Some evidence", IF(AllData[[#This Row],[Phosphate (PPM)]]&lt;=0.05, "No Evidence", ""))))</f>
        <v>Very high</v>
      </c>
      <c r="U45">
        <v>0</v>
      </c>
    </row>
    <row r="46" spans="1:22" x14ac:dyDescent="0.25">
      <c r="A46" t="s">
        <v>102</v>
      </c>
      <c r="B46" s="2">
        <v>45157</v>
      </c>
      <c r="C46" s="2" t="str" cm="1">
        <f t="array" ref="C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6">
        <f>YEAR(AllData[[#This Row],[Date]])</f>
        <v>2023</v>
      </c>
      <c r="E46" s="1">
        <v>0.74861111111111112</v>
      </c>
      <c r="F46" s="2" t="str">
        <f>IF(AND(AllData[[#This Row],[Time]]&lt;0.5, AllData[[#This Row],[Time]]&gt;0.17)=TRUE, "Morning", IF(AND(AllData[[#This Row],[Time]]&lt;0.75, AllData[[#This Row],[Time]]&gt;=0.5)=TRUE, "Afternoon", IF(AND(AllData[[#This Row],[Time]]&lt;1, AllData[[#This Row],[Time]]&gt;=0.75)=TRUE, "Evening", "Night")))</f>
        <v>Afternoon</v>
      </c>
      <c r="G46" t="str">
        <f>_xlfn.XLOOKUP(AllData[[#This Row],[Location Name]], Locations[Location Name],Locations[Group As])</f>
        <v>Avonbank Drive</v>
      </c>
      <c r="H46" t="e" vm="2">
        <f>_xlfn.XLOOKUP(AllData[[#This Row],[Site Name]],LocationsKey[Site Name],LocationsKey[District])</f>
        <v>#VALUE!</v>
      </c>
      <c r="I46" t="e" vm="7">
        <f>_xlfn.XLOOKUP(AllData[[#This Row],[Site Name]],LocationsKey[Site Name],LocationsKey[Town])</f>
        <v>#VALUE!</v>
      </c>
      <c r="J46" t="str">
        <f>_xlfn.XLOOKUP(AllData[[#This Row],[Site Name]],LocationsKey[Site Name], LocationsKey[Waterway])</f>
        <v>Avon</v>
      </c>
      <c r="K46" t="s">
        <v>103</v>
      </c>
      <c r="L46">
        <v>52.177</v>
      </c>
      <c r="M46">
        <v>-1.736</v>
      </c>
      <c r="N46" t="s">
        <v>66</v>
      </c>
      <c r="O46">
        <v>919</v>
      </c>
      <c r="P46">
        <v>20.7</v>
      </c>
      <c r="Q46">
        <v>10</v>
      </c>
      <c r="R46" s="7" t="str">
        <f>IF(AllData[[#This Row],[Nitrate (PPM)]]&gt;2, "Very high", IF(AllData[[#This Row],[Nitrate (PPM)]]&gt;1, "High", IF(AllData[[#This Row],[Nitrate (PPM)]]&gt;0.5, "Some evidence", IF(AllData[[#This Row],[Nitrate (PPM)]]&gt;=0, "No evidence"))))</f>
        <v>Very high</v>
      </c>
      <c r="S46" s="4">
        <v>0.49</v>
      </c>
      <c r="T46" s="7" t="str">
        <f>IF(AllData[[#This Row],[Phosphate (PPM)]]&gt;0.5, "Very high", IF(AllData[[#This Row],[Phosphate (PPM)]]&gt;0.1, "High", IF(AllData[[#This Row],[Phosphate (PPM)]]&gt;0.05, "Some evidence", IF(AllData[[#This Row],[Phosphate (PPM)]]&lt;=0.05, "No Evidence", ""))))</f>
        <v>High</v>
      </c>
      <c r="U46">
        <v>0.57999999999999996</v>
      </c>
    </row>
    <row r="47" spans="1:22" x14ac:dyDescent="0.25">
      <c r="A47" t="s">
        <v>104</v>
      </c>
      <c r="B47" s="2">
        <v>45157</v>
      </c>
      <c r="C47" s="2" t="str" cm="1">
        <f t="array" ref="C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7">
        <f>YEAR(AllData[[#This Row],[Date]])</f>
        <v>2023</v>
      </c>
      <c r="E47" s="1">
        <v>0.75</v>
      </c>
      <c r="F47" s="2" t="str">
        <f>IF(AND(AllData[[#This Row],[Time]]&lt;0.5, AllData[[#This Row],[Time]]&gt;0.17)=TRUE, "Morning", IF(AND(AllData[[#This Row],[Time]]&lt;0.75, AllData[[#This Row],[Time]]&gt;=0.5)=TRUE, "Afternoon", IF(AND(AllData[[#This Row],[Time]]&lt;1, AllData[[#This Row],[Time]]&gt;=0.75)=TRUE, "Evening", "Night")))</f>
        <v>Evening</v>
      </c>
      <c r="G47" t="str">
        <f>_xlfn.XLOOKUP(AllData[[#This Row],[Location Name]], Locations[Location Name],Locations[Group As])</f>
        <v>Pitch 16</v>
      </c>
      <c r="H47" t="e" vm="2">
        <f>_xlfn.XLOOKUP(AllData[[#This Row],[Site Name]],LocationsKey[Site Name],LocationsKey[District])</f>
        <v>#VALUE!</v>
      </c>
      <c r="I47" t="e" vm="7">
        <f>_xlfn.XLOOKUP(AllData[[#This Row],[Site Name]],LocationsKey[Site Name],LocationsKey[Town])</f>
        <v>#VALUE!</v>
      </c>
      <c r="J47" t="str">
        <f>_xlfn.XLOOKUP(AllData[[#This Row],[Site Name]],LocationsKey[Site Name], LocationsKey[Waterway])</f>
        <v>Avon</v>
      </c>
      <c r="K47" t="s">
        <v>69</v>
      </c>
      <c r="N47" t="s">
        <v>29</v>
      </c>
      <c r="O47">
        <v>952</v>
      </c>
      <c r="P47">
        <v>19.7</v>
      </c>
      <c r="Q47">
        <v>10</v>
      </c>
      <c r="R47" s="7" t="str">
        <f>IF(AllData[[#This Row],[Nitrate (PPM)]]&gt;2, "Very high", IF(AllData[[#This Row],[Nitrate (PPM)]]&gt;1, "High", IF(AllData[[#This Row],[Nitrate (PPM)]]&gt;0.5, "Some evidence", IF(AllData[[#This Row],[Nitrate (PPM)]]&gt;=0, "No evidence"))))</f>
        <v>Very high</v>
      </c>
      <c r="S47" s="4">
        <v>0.55000000000000004</v>
      </c>
      <c r="T47" s="7" t="str">
        <f>IF(AllData[[#This Row],[Phosphate (PPM)]]&gt;0.5, "Very high", IF(AllData[[#This Row],[Phosphate (PPM)]]&gt;0.1, "High", IF(AllData[[#This Row],[Phosphate (PPM)]]&gt;0.05, "Some evidence", IF(AllData[[#This Row],[Phosphate (PPM)]]&lt;=0.05, "No Evidence", ""))))</f>
        <v>Very high</v>
      </c>
      <c r="U47">
        <v>0.57999999999999996</v>
      </c>
    </row>
    <row r="48" spans="1:22" x14ac:dyDescent="0.25">
      <c r="A48" t="s">
        <v>105</v>
      </c>
      <c r="B48" s="2">
        <v>45158</v>
      </c>
      <c r="C48" s="2" t="str" cm="1">
        <f t="array" ref="C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8">
        <f>YEAR(AllData[[#This Row],[Date]])</f>
        <v>2023</v>
      </c>
      <c r="E48" s="1">
        <v>0.47916666666666669</v>
      </c>
      <c r="F48" s="2" t="str">
        <f>IF(AND(AllData[[#This Row],[Time]]&lt;0.5, AllData[[#This Row],[Time]]&gt;0.17)=TRUE, "Morning", IF(AND(AllData[[#This Row],[Time]]&lt;0.75, AllData[[#This Row],[Time]]&gt;=0.5)=TRUE, "Afternoon", IF(AND(AllData[[#This Row],[Time]]&lt;1, AllData[[#This Row],[Time]]&gt;=0.75)=TRUE, "Evening", "Night")))</f>
        <v>Morning</v>
      </c>
      <c r="G48" t="str">
        <f>_xlfn.XLOOKUP(AllData[[#This Row],[Location Name]], Locations[Location Name],Locations[Group As])</f>
        <v>Hampton Wood</v>
      </c>
      <c r="H48" t="e" vm="2">
        <f>_xlfn.XLOOKUP(AllData[[#This Row],[Site Name]],LocationsKey[Site Name],LocationsKey[District])</f>
        <v>#VALUE!</v>
      </c>
      <c r="I48" t="e" vm="3">
        <f>_xlfn.XLOOKUP(AllData[[#This Row],[Site Name]],LocationsKey[Site Name],LocationsKey[Town])</f>
        <v>#VALUE!</v>
      </c>
      <c r="J48" t="str">
        <f>_xlfn.XLOOKUP(AllData[[#This Row],[Site Name]],LocationsKey[Site Name], LocationsKey[Waterway])</f>
        <v>Avon</v>
      </c>
      <c r="K48" t="s">
        <v>34</v>
      </c>
      <c r="L48">
        <v>52.238149999999997</v>
      </c>
      <c r="M48">
        <v>-1.6245799999999999</v>
      </c>
      <c r="N48" t="s">
        <v>29</v>
      </c>
      <c r="O48">
        <v>930</v>
      </c>
      <c r="P48">
        <v>21.4</v>
      </c>
      <c r="Q48">
        <v>9</v>
      </c>
      <c r="R48" s="7" t="str">
        <f>IF(AllData[[#This Row],[Nitrate (PPM)]]&gt;2, "Very high", IF(AllData[[#This Row],[Nitrate (PPM)]]&gt;1, "High", IF(AllData[[#This Row],[Nitrate (PPM)]]&gt;0.5, "Some evidence", IF(AllData[[#This Row],[Nitrate (PPM)]]&gt;=0, "No evidence"))))</f>
        <v>Very high</v>
      </c>
      <c r="S48" s="4">
        <v>0.49</v>
      </c>
      <c r="T48" s="7" t="str">
        <f>IF(AllData[[#This Row],[Phosphate (PPM)]]&gt;0.5, "Very high", IF(AllData[[#This Row],[Phosphate (PPM)]]&gt;0.1, "High", IF(AllData[[#This Row],[Phosphate (PPM)]]&gt;0.05, "Some evidence", IF(AllData[[#This Row],[Phosphate (PPM)]]&lt;=0.05, "No Evidence", ""))))</f>
        <v>High</v>
      </c>
      <c r="U48">
        <v>0</v>
      </c>
    </row>
    <row r="49" spans="1:22" x14ac:dyDescent="0.25">
      <c r="A49" t="s">
        <v>106</v>
      </c>
      <c r="B49" s="2">
        <v>45158</v>
      </c>
      <c r="C49" s="2" t="str" cm="1">
        <f t="array" ref="C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49">
        <f>YEAR(AllData[[#This Row],[Date]])</f>
        <v>2023</v>
      </c>
      <c r="E49" s="1">
        <v>0.54166666666666663</v>
      </c>
      <c r="F49" s="2" t="str">
        <f>IF(AND(AllData[[#This Row],[Time]]&lt;0.5, AllData[[#This Row],[Time]]&gt;0.17)=TRUE, "Morning", IF(AND(AllData[[#This Row],[Time]]&lt;0.75, AllData[[#This Row],[Time]]&gt;=0.5)=TRUE, "Afternoon", IF(AND(AllData[[#This Row],[Time]]&lt;1, AllData[[#This Row],[Time]]&gt;=0.75)=TRUE, "Evening", "Night")))</f>
        <v>Afternoon</v>
      </c>
      <c r="G49" t="str">
        <f>_xlfn.XLOOKUP(AllData[[#This Row],[Location Name]], Locations[Location Name],Locations[Group As])</f>
        <v>Hampton Lucy</v>
      </c>
      <c r="H49" t="e" vm="2">
        <f>_xlfn.XLOOKUP(AllData[[#This Row],[Site Name]],LocationsKey[Site Name],LocationsKey[District])</f>
        <v>#VALUE!</v>
      </c>
      <c r="I49" t="e" vm="4">
        <f>_xlfn.XLOOKUP(AllData[[#This Row],[Site Name]],LocationsKey[Site Name],LocationsKey[Town])</f>
        <v>#VALUE!</v>
      </c>
      <c r="J49" t="str">
        <f>_xlfn.XLOOKUP(AllData[[#This Row],[Site Name]],LocationsKey[Site Name], LocationsKey[Waterway])</f>
        <v>Avon</v>
      </c>
      <c r="K49" t="s">
        <v>37</v>
      </c>
      <c r="L49">
        <v>52.211680000000001</v>
      </c>
      <c r="M49">
        <v>-1.6244400000000001</v>
      </c>
      <c r="N49" t="s">
        <v>23</v>
      </c>
      <c r="O49" s="219">
        <v>892</v>
      </c>
      <c r="P49">
        <v>22.1</v>
      </c>
      <c r="Q49" s="219">
        <v>10</v>
      </c>
      <c r="R49" s="7" t="str">
        <f>IF(AllData[[#This Row],[Nitrate (PPM)]]&gt;2, "Very high", IF(AllData[[#This Row],[Nitrate (PPM)]]&gt;1, "High", IF(AllData[[#This Row],[Nitrate (PPM)]]&gt;0.5, "Some evidence", IF(AllData[[#This Row],[Nitrate (PPM)]]&gt;=0, "No evidence"))))</f>
        <v>Very high</v>
      </c>
      <c r="S49" s="221">
        <v>0.56999999999999995</v>
      </c>
      <c r="T49" s="7" t="str">
        <f>IF(AllData[[#This Row],[Phosphate (PPM)]]&gt;0.5, "Very high", IF(AllData[[#This Row],[Phosphate (PPM)]]&gt;0.1, "High", IF(AllData[[#This Row],[Phosphate (PPM)]]&gt;0.05, "Some evidence", IF(AllData[[#This Row],[Phosphate (PPM)]]&lt;=0.05, "No Evidence", ""))))</f>
        <v>Very high</v>
      </c>
      <c r="U49">
        <v>0</v>
      </c>
    </row>
    <row r="50" spans="1:22" x14ac:dyDescent="0.25">
      <c r="A50" t="s">
        <v>107</v>
      </c>
      <c r="B50" s="2">
        <v>45158</v>
      </c>
      <c r="C50" s="2" t="str" cm="1">
        <f t="array" ref="C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0">
        <f>YEAR(AllData[[#This Row],[Date]])</f>
        <v>2023</v>
      </c>
      <c r="E50" s="1">
        <v>0.70833333333333337</v>
      </c>
      <c r="F50" s="2" t="str">
        <f>IF(AND(AllData[[#This Row],[Time]]&lt;0.5, AllData[[#This Row],[Time]]&gt;0.17)=TRUE, "Morning", IF(AND(AllData[[#This Row],[Time]]&lt;0.75, AllData[[#This Row],[Time]]&gt;=0.5)=TRUE, "Afternoon", IF(AND(AllData[[#This Row],[Time]]&lt;1, AllData[[#This Row],[Time]]&gt;=0.75)=TRUE, "Evening", "Night")))</f>
        <v>Afternoon</v>
      </c>
      <c r="G50" t="str">
        <f>_xlfn.XLOOKUP(AllData[[#This Row],[Location Name]], Locations[Location Name],Locations[Group As])</f>
        <v>Welford Boat Station</v>
      </c>
      <c r="H50" t="e" vm="2">
        <f>_xlfn.XLOOKUP(AllData[[#This Row],[Site Name]],LocationsKey[Site Name],LocationsKey[District])</f>
        <v>#VALUE!</v>
      </c>
      <c r="I50" t="e" vm="5">
        <f>_xlfn.XLOOKUP(AllData[[#This Row],[Site Name]],LocationsKey[Site Name],LocationsKey[Town])</f>
        <v>#VALUE!</v>
      </c>
      <c r="J50" t="str">
        <f>_xlfn.XLOOKUP(AllData[[#This Row],[Site Name]],LocationsKey[Site Name], LocationsKey[Waterway])</f>
        <v>Avon</v>
      </c>
      <c r="K50" t="s">
        <v>39</v>
      </c>
      <c r="L50">
        <v>52.175240000000002</v>
      </c>
      <c r="M50">
        <v>-1.7918700000000001</v>
      </c>
      <c r="N50" t="s">
        <v>29</v>
      </c>
      <c r="O50">
        <v>896</v>
      </c>
      <c r="P50">
        <v>21.3</v>
      </c>
      <c r="Q50">
        <v>4</v>
      </c>
      <c r="R50" s="7" t="str">
        <f>IF(AllData[[#This Row],[Nitrate (PPM)]]&gt;2, "Very high", IF(AllData[[#This Row],[Nitrate (PPM)]]&gt;1, "High", IF(AllData[[#This Row],[Nitrate (PPM)]]&gt;0.5, "Some evidence", IF(AllData[[#This Row],[Nitrate (PPM)]]&gt;=0, "No evidence"))))</f>
        <v>Very high</v>
      </c>
      <c r="S50" s="4">
        <v>0.51</v>
      </c>
      <c r="T50" s="7" t="str">
        <f>IF(AllData[[#This Row],[Phosphate (PPM)]]&gt;0.5, "Very high", IF(AllData[[#This Row],[Phosphate (PPM)]]&gt;0.1, "High", IF(AllData[[#This Row],[Phosphate (PPM)]]&gt;0.05, "Some evidence", IF(AllData[[#This Row],[Phosphate (PPM)]]&lt;=0.05, "No Evidence", ""))))</f>
        <v>Very high</v>
      </c>
      <c r="U50">
        <v>0</v>
      </c>
      <c r="V50" t="s">
        <v>96</v>
      </c>
    </row>
    <row r="51" spans="1:22" x14ac:dyDescent="0.25">
      <c r="A51" t="s">
        <v>108</v>
      </c>
      <c r="B51" s="2">
        <v>45159</v>
      </c>
      <c r="C51" s="2" t="str" cm="1">
        <f t="array" ref="C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1">
        <f>YEAR(AllData[[#This Row],[Date]])</f>
        <v>2023</v>
      </c>
      <c r="E51" s="1">
        <v>0.67708333333333337</v>
      </c>
      <c r="F51" s="2" t="str">
        <f>IF(AND(AllData[[#This Row],[Time]]&lt;0.5, AllData[[#This Row],[Time]]&gt;0.17)=TRUE, "Morning", IF(AND(AllData[[#This Row],[Time]]&lt;0.75, AllData[[#This Row],[Time]]&gt;=0.5)=TRUE, "Afternoon", IF(AND(AllData[[#This Row],[Time]]&lt;1, AllData[[#This Row],[Time]]&gt;=0.75)=TRUE, "Evening", "Night")))</f>
        <v>Afternoon</v>
      </c>
      <c r="G51" t="str">
        <f>_xlfn.XLOOKUP(AllData[[#This Row],[Location Name]], Locations[Location Name],Locations[Group As])</f>
        <v>Weston-on-Avon</v>
      </c>
      <c r="H51" t="e" vm="2">
        <f>_xlfn.XLOOKUP(AllData[[#This Row],[Site Name]],LocationsKey[Site Name],LocationsKey[District])</f>
        <v>#VALUE!</v>
      </c>
      <c r="I51" t="e" vm="6">
        <f>_xlfn.XLOOKUP(AllData[[#This Row],[Site Name]],LocationsKey[Site Name],LocationsKey[Town])</f>
        <v>#VALUE!</v>
      </c>
      <c r="J51" t="str">
        <f>_xlfn.XLOOKUP(AllData[[#This Row],[Site Name]],LocationsKey[Site Name], LocationsKey[Waterway])</f>
        <v>Avon</v>
      </c>
      <c r="K51" t="s">
        <v>41</v>
      </c>
      <c r="L51">
        <v>52.167430000000003</v>
      </c>
      <c r="M51">
        <v>-1.7744800000000001</v>
      </c>
      <c r="N51" t="s">
        <v>29</v>
      </c>
      <c r="O51">
        <v>954</v>
      </c>
      <c r="P51">
        <v>21.3</v>
      </c>
      <c r="Q51">
        <v>6</v>
      </c>
      <c r="R51" s="7" t="str">
        <f>IF(AllData[[#This Row],[Nitrate (PPM)]]&gt;2, "Very high", IF(AllData[[#This Row],[Nitrate (PPM)]]&gt;1, "High", IF(AllData[[#This Row],[Nitrate (PPM)]]&gt;0.5, "Some evidence", IF(AllData[[#This Row],[Nitrate (PPM)]]&gt;=0, "No evidence"))))</f>
        <v>Very high</v>
      </c>
      <c r="S51" s="4">
        <v>0.68</v>
      </c>
      <c r="T51" s="7" t="str">
        <f>IF(AllData[[#This Row],[Phosphate (PPM)]]&gt;0.5, "Very high", IF(AllData[[#This Row],[Phosphate (PPM)]]&gt;0.1, "High", IF(AllData[[#This Row],[Phosphate (PPM)]]&gt;0.05, "Some evidence", IF(AllData[[#This Row],[Phosphate (PPM)]]&lt;=0.05, "No Evidence", ""))))</f>
        <v>Very high</v>
      </c>
      <c r="U51">
        <v>0</v>
      </c>
    </row>
    <row r="52" spans="1:22" x14ac:dyDescent="0.25">
      <c r="A52" t="s">
        <v>109</v>
      </c>
      <c r="B52" s="2">
        <v>45160</v>
      </c>
      <c r="C52" s="2" t="str" cm="1">
        <f t="array" ref="C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2">
        <f>YEAR(AllData[[#This Row],[Date]])</f>
        <v>2023</v>
      </c>
      <c r="E52" s="1">
        <v>0.39583333333333331</v>
      </c>
      <c r="F52" s="2" t="str">
        <f>IF(AND(AllData[[#This Row],[Time]]&lt;0.5, AllData[[#This Row],[Time]]&gt;0.17)=TRUE, "Morning", IF(AND(AllData[[#This Row],[Time]]&lt;0.75, AllData[[#This Row],[Time]]&gt;=0.5)=TRUE, "Afternoon", IF(AND(AllData[[#This Row],[Time]]&lt;1, AllData[[#This Row],[Time]]&gt;=0.75)=TRUE, "Evening", "Night")))</f>
        <v>Morning</v>
      </c>
      <c r="G52" t="str">
        <f>_xlfn.XLOOKUP(AllData[[#This Row],[Location Name]], Locations[Location Name],Locations[Group As])</f>
        <v>Abbey Mill</v>
      </c>
      <c r="H52" t="e" vm="1">
        <f>_xlfn.XLOOKUP(AllData[[#This Row],[Site Name]],LocationsKey[Site Name],LocationsKey[District])</f>
        <v>#VALUE!</v>
      </c>
      <c r="I52" t="e" vm="1">
        <f>_xlfn.XLOOKUP(AllData[[#This Row],[Site Name]],LocationsKey[Site Name],LocationsKey[Town])</f>
        <v>#VALUE!</v>
      </c>
      <c r="J52" t="str">
        <f>_xlfn.XLOOKUP(AllData[[#This Row],[Site Name]],LocationsKey[Site Name], LocationsKey[Waterway])</f>
        <v>Avon</v>
      </c>
      <c r="K52" t="s">
        <v>25</v>
      </c>
      <c r="L52">
        <v>51.991433000000001</v>
      </c>
      <c r="M52">
        <v>-2.1627329999999998</v>
      </c>
      <c r="N52" t="s">
        <v>23</v>
      </c>
      <c r="O52">
        <v>985</v>
      </c>
      <c r="P52">
        <v>20.8</v>
      </c>
      <c r="Q52">
        <v>10</v>
      </c>
      <c r="R52" s="7" t="str">
        <f>IF(AllData[[#This Row],[Nitrate (PPM)]]&gt;2, "Very high", IF(AllData[[#This Row],[Nitrate (PPM)]]&gt;1, "High", IF(AllData[[#This Row],[Nitrate (PPM)]]&gt;0.5, "Some evidence", IF(AllData[[#This Row],[Nitrate (PPM)]]&gt;=0, "No evidence"))))</f>
        <v>Very high</v>
      </c>
      <c r="S52" s="4">
        <v>0.91</v>
      </c>
      <c r="T52" s="7" t="str">
        <f>IF(AllData[[#This Row],[Phosphate (PPM)]]&gt;0.5, "Very high", IF(AllData[[#This Row],[Phosphate (PPM)]]&gt;0.1, "High", IF(AllData[[#This Row],[Phosphate (PPM)]]&gt;0.05, "Some evidence", IF(AllData[[#This Row],[Phosphate (PPM)]]&lt;=0.05, "No Evidence", ""))))</f>
        <v>Very high</v>
      </c>
      <c r="U52">
        <v>0</v>
      </c>
    </row>
    <row r="53" spans="1:22" x14ac:dyDescent="0.25">
      <c r="A53" t="s">
        <v>110</v>
      </c>
      <c r="B53" s="2">
        <v>45162</v>
      </c>
      <c r="C53" s="2" t="str" cm="1">
        <f t="array" ref="C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3">
        <f>YEAR(AllData[[#This Row],[Date]])</f>
        <v>2023</v>
      </c>
      <c r="E53" s="1">
        <v>0.4375</v>
      </c>
      <c r="F53" s="2" t="str">
        <f>IF(AND(AllData[[#This Row],[Time]]&lt;0.5, AllData[[#This Row],[Time]]&gt;0.17)=TRUE, "Morning", IF(AND(AllData[[#This Row],[Time]]&lt;0.75, AllData[[#This Row],[Time]]&gt;=0.5)=TRUE, "Afternoon", IF(AND(AllData[[#This Row],[Time]]&lt;1, AllData[[#This Row],[Time]]&gt;=0.75)=TRUE, "Evening", "Night")))</f>
        <v>Morning</v>
      </c>
      <c r="G53" t="str">
        <f>_xlfn.XLOOKUP(AllData[[#This Row],[Location Name]], Locations[Location Name],Locations[Group As])</f>
        <v>Swilgate</v>
      </c>
      <c r="H53" t="e" vm="1">
        <f>_xlfn.XLOOKUP(AllData[[#This Row],[Site Name]],LocationsKey[Site Name],LocationsKey[District])</f>
        <v>#VALUE!</v>
      </c>
      <c r="I53" t="e" vm="1">
        <f>_xlfn.XLOOKUP(AllData[[#This Row],[Site Name]],LocationsKey[Site Name],LocationsKey[Town])</f>
        <v>#VALUE!</v>
      </c>
      <c r="J53" t="str">
        <f>_xlfn.XLOOKUP(AllData[[#This Row],[Site Name]],LocationsKey[Site Name], LocationsKey[Waterway])</f>
        <v>Swilgate</v>
      </c>
      <c r="K53" t="s">
        <v>84</v>
      </c>
      <c r="N53" t="s">
        <v>23</v>
      </c>
      <c r="O53">
        <v>984</v>
      </c>
      <c r="P53">
        <v>18.5</v>
      </c>
      <c r="Q53">
        <v>9</v>
      </c>
      <c r="R53" s="7" t="str">
        <f>IF(AllData[[#This Row],[Nitrate (PPM)]]&gt;2, "Very high", IF(AllData[[#This Row],[Nitrate (PPM)]]&gt;1, "High", IF(AllData[[#This Row],[Nitrate (PPM)]]&gt;0.5, "Some evidence", IF(AllData[[#This Row],[Nitrate (PPM)]]&gt;=0, "No evidence"))))</f>
        <v>Very high</v>
      </c>
      <c r="S53" s="4">
        <v>0.91</v>
      </c>
      <c r="T53" s="7" t="str">
        <f>IF(AllData[[#This Row],[Phosphate (PPM)]]&gt;0.5, "Very high", IF(AllData[[#This Row],[Phosphate (PPM)]]&gt;0.1, "High", IF(AllData[[#This Row],[Phosphate (PPM)]]&gt;0.05, "Some evidence", IF(AllData[[#This Row],[Phosphate (PPM)]]&lt;=0.05, "No Evidence", ""))))</f>
        <v>Very high</v>
      </c>
      <c r="U53">
        <v>0</v>
      </c>
    </row>
    <row r="54" spans="1:22" x14ac:dyDescent="0.25">
      <c r="A54" t="s">
        <v>111</v>
      </c>
      <c r="B54" s="2">
        <v>45164</v>
      </c>
      <c r="C54" s="2" t="str" cm="1">
        <f t="array" ref="C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4">
        <f>YEAR(AllData[[#This Row],[Date]])</f>
        <v>2023</v>
      </c>
      <c r="E54" s="1">
        <v>0.4513888888888889</v>
      </c>
      <c r="F54" s="2" t="str">
        <f>IF(AND(AllData[[#This Row],[Time]]&lt;0.5, AllData[[#This Row],[Time]]&gt;0.17)=TRUE, "Morning", IF(AND(AllData[[#This Row],[Time]]&lt;0.75, AllData[[#This Row],[Time]]&gt;=0.5)=TRUE, "Afternoon", IF(AND(AllData[[#This Row],[Time]]&lt;1, AllData[[#This Row],[Time]]&gt;=0.75)=TRUE, "Evening", "Night")))</f>
        <v>Morning</v>
      </c>
      <c r="G54" t="str">
        <f>_xlfn.XLOOKUP(AllData[[#This Row],[Location Name]], Locations[Location Name],Locations[Group As])</f>
        <v>Pitch 16</v>
      </c>
      <c r="H54" t="e" vm="2">
        <f>_xlfn.XLOOKUP(AllData[[#This Row],[Site Name]],LocationsKey[Site Name],LocationsKey[District])</f>
        <v>#VALUE!</v>
      </c>
      <c r="I54" t="e" vm="7">
        <f>_xlfn.XLOOKUP(AllData[[#This Row],[Site Name]],LocationsKey[Site Name],LocationsKey[Town])</f>
        <v>#VALUE!</v>
      </c>
      <c r="J54" t="str">
        <f>_xlfn.XLOOKUP(AllData[[#This Row],[Site Name]],LocationsKey[Site Name], LocationsKey[Waterway])</f>
        <v>Avon</v>
      </c>
      <c r="K54" t="s">
        <v>69</v>
      </c>
      <c r="L54">
        <v>52.172899999999998</v>
      </c>
      <c r="M54">
        <v>-1.7453149999999999</v>
      </c>
      <c r="N54" t="s">
        <v>29</v>
      </c>
      <c r="O54">
        <v>981</v>
      </c>
      <c r="P54">
        <v>19.100000000000001</v>
      </c>
      <c r="Q54">
        <v>10</v>
      </c>
      <c r="R54" s="7" t="str">
        <f>IF(AllData[[#This Row],[Nitrate (PPM)]]&gt;2, "Very high", IF(AllData[[#This Row],[Nitrate (PPM)]]&gt;1, "High", IF(AllData[[#This Row],[Nitrate (PPM)]]&gt;0.5, "Some evidence", IF(AllData[[#This Row],[Nitrate (PPM)]]&gt;=0, "No evidence"))))</f>
        <v>Very high</v>
      </c>
      <c r="S54" s="4">
        <v>0.88</v>
      </c>
      <c r="T54" s="7" t="str">
        <f>IF(AllData[[#This Row],[Phosphate (PPM)]]&gt;0.5, "Very high", IF(AllData[[#This Row],[Phosphate (PPM)]]&gt;0.1, "High", IF(AllData[[#This Row],[Phosphate (PPM)]]&gt;0.05, "Some evidence", IF(AllData[[#This Row],[Phosphate (PPM)]]&lt;=0.05, "No Evidence", ""))))</f>
        <v>Very high</v>
      </c>
      <c r="U54">
        <v>0.5</v>
      </c>
      <c r="V54" t="s">
        <v>70</v>
      </c>
    </row>
    <row r="55" spans="1:22" x14ac:dyDescent="0.25">
      <c r="A55" t="s">
        <v>112</v>
      </c>
      <c r="B55" s="2">
        <v>45164</v>
      </c>
      <c r="C55" s="2" t="str" cm="1">
        <f t="array" ref="C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5">
        <f>YEAR(AllData[[#This Row],[Date]])</f>
        <v>2023</v>
      </c>
      <c r="E55" s="1">
        <v>0.46527777777777779</v>
      </c>
      <c r="F55" s="2" t="str">
        <f>IF(AND(AllData[[#This Row],[Time]]&lt;0.5, AllData[[#This Row],[Time]]&gt;0.17)=TRUE, "Morning", IF(AND(AllData[[#This Row],[Time]]&lt;0.75, AllData[[#This Row],[Time]]&gt;=0.5)=TRUE, "Afternoon", IF(AND(AllData[[#This Row],[Time]]&lt;1, AllData[[#This Row],[Time]]&gt;=0.75)=TRUE, "Evening", "Night")))</f>
        <v>Morning</v>
      </c>
      <c r="G55" t="str">
        <f>_xlfn.XLOOKUP(AllData[[#This Row],[Location Name]], Locations[Location Name],Locations[Group As])</f>
        <v>Avonbank Drive</v>
      </c>
      <c r="H55" t="e" vm="2">
        <f>_xlfn.XLOOKUP(AllData[[#This Row],[Site Name]],LocationsKey[Site Name],LocationsKey[District])</f>
        <v>#VALUE!</v>
      </c>
      <c r="I55" t="e" vm="7">
        <f>_xlfn.XLOOKUP(AllData[[#This Row],[Site Name]],LocationsKey[Site Name],LocationsKey[Town])</f>
        <v>#VALUE!</v>
      </c>
      <c r="J55" t="str">
        <f>_xlfn.XLOOKUP(AllData[[#This Row],[Site Name]],LocationsKey[Site Name], LocationsKey[Waterway])</f>
        <v>Avon</v>
      </c>
      <c r="K55" t="s">
        <v>65</v>
      </c>
      <c r="L55">
        <v>52.177103000000002</v>
      </c>
      <c r="M55">
        <v>-1.7356130000000001</v>
      </c>
      <c r="N55" t="s">
        <v>66</v>
      </c>
      <c r="O55">
        <v>1000</v>
      </c>
      <c r="P55">
        <v>20.5</v>
      </c>
      <c r="Q55">
        <v>10</v>
      </c>
      <c r="R55" s="7" t="str">
        <f>IF(AllData[[#This Row],[Nitrate (PPM)]]&gt;2, "Very high", IF(AllData[[#This Row],[Nitrate (PPM)]]&gt;1, "High", IF(AllData[[#This Row],[Nitrate (PPM)]]&gt;0.5, "Some evidence", IF(AllData[[#This Row],[Nitrate (PPM)]]&gt;=0, "No evidence"))))</f>
        <v>Very high</v>
      </c>
      <c r="S55" s="4">
        <v>0.56000000000000005</v>
      </c>
      <c r="T55" s="7" t="str">
        <f>IF(AllData[[#This Row],[Phosphate (PPM)]]&gt;0.5, "Very high", IF(AllData[[#This Row],[Phosphate (PPM)]]&gt;0.1, "High", IF(AllData[[#This Row],[Phosphate (PPM)]]&gt;0.05, "Some evidence", IF(AllData[[#This Row],[Phosphate (PPM)]]&lt;=0.05, "No Evidence", ""))))</f>
        <v>Very high</v>
      </c>
      <c r="U55">
        <v>0.5</v>
      </c>
      <c r="V55" t="s">
        <v>70</v>
      </c>
    </row>
    <row r="56" spans="1:22" x14ac:dyDescent="0.25">
      <c r="A56" t="s">
        <v>113</v>
      </c>
      <c r="B56" s="2">
        <v>45165</v>
      </c>
      <c r="C56" s="2" t="str" cm="1">
        <f t="array" ref="C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6">
        <f>YEAR(AllData[[#This Row],[Date]])</f>
        <v>2023</v>
      </c>
      <c r="E56" s="1">
        <v>0.39652777777777776</v>
      </c>
      <c r="F56" s="2" t="str">
        <f>IF(AND(AllData[[#This Row],[Time]]&lt;0.5, AllData[[#This Row],[Time]]&gt;0.17)=TRUE, "Morning", IF(AND(AllData[[#This Row],[Time]]&lt;0.75, AllData[[#This Row],[Time]]&gt;=0.5)=TRUE, "Afternoon", IF(AND(AllData[[#This Row],[Time]]&lt;1, AllData[[#This Row],[Time]]&gt;=0.75)=TRUE, "Evening", "Night")))</f>
        <v>Morning</v>
      </c>
      <c r="G56" t="str">
        <f>_xlfn.XLOOKUP(AllData[[#This Row],[Location Name]], Locations[Location Name],Locations[Group As])</f>
        <v>Abbey Mill</v>
      </c>
      <c r="H56" t="e" vm="1">
        <f>_xlfn.XLOOKUP(AllData[[#This Row],[Site Name]],LocationsKey[Site Name],LocationsKey[District])</f>
        <v>#VALUE!</v>
      </c>
      <c r="I56" t="e" vm="1">
        <f>_xlfn.XLOOKUP(AllData[[#This Row],[Site Name]],LocationsKey[Site Name],LocationsKey[Town])</f>
        <v>#VALUE!</v>
      </c>
      <c r="J56" t="str">
        <f>_xlfn.XLOOKUP(AllData[[#This Row],[Site Name]],LocationsKey[Site Name], LocationsKey[Waterway])</f>
        <v>Avon</v>
      </c>
      <c r="K56" t="s">
        <v>25</v>
      </c>
      <c r="N56" t="s">
        <v>23</v>
      </c>
      <c r="O56">
        <v>997</v>
      </c>
      <c r="P56">
        <v>19.399999999999999</v>
      </c>
      <c r="Q56">
        <v>8</v>
      </c>
      <c r="R56" s="7" t="str">
        <f>IF(AllData[[#This Row],[Nitrate (PPM)]]&gt;2, "Very high", IF(AllData[[#This Row],[Nitrate (PPM)]]&gt;1, "High", IF(AllData[[#This Row],[Nitrate (PPM)]]&gt;0.5, "Some evidence", IF(AllData[[#This Row],[Nitrate (PPM)]]&gt;=0, "No evidence"))))</f>
        <v>Very high</v>
      </c>
      <c r="S56" s="4">
        <v>1.02</v>
      </c>
      <c r="T56" s="7" t="str">
        <f>IF(AllData[[#This Row],[Phosphate (PPM)]]&gt;0.5, "Very high", IF(AllData[[#This Row],[Phosphate (PPM)]]&gt;0.1, "High", IF(AllData[[#This Row],[Phosphate (PPM)]]&gt;0.05, "Some evidence", IF(AllData[[#This Row],[Phosphate (PPM)]]&lt;=0.05, "No Evidence", ""))))</f>
        <v>Very high</v>
      </c>
      <c r="U56">
        <v>0</v>
      </c>
    </row>
    <row r="57" spans="1:22" x14ac:dyDescent="0.25">
      <c r="A57" t="s">
        <v>114</v>
      </c>
      <c r="B57" s="2">
        <v>45165</v>
      </c>
      <c r="C57" s="2" t="str" cm="1">
        <f t="array" ref="C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7">
        <f>YEAR(AllData[[#This Row],[Date]])</f>
        <v>2023</v>
      </c>
      <c r="E57" s="1">
        <v>0.40277777777777779</v>
      </c>
      <c r="F57" s="2" t="str">
        <f>IF(AND(AllData[[#This Row],[Time]]&lt;0.5, AllData[[#This Row],[Time]]&gt;0.17)=TRUE, "Morning", IF(AND(AllData[[#This Row],[Time]]&lt;0.75, AllData[[#This Row],[Time]]&gt;=0.5)=TRUE, "Afternoon", IF(AND(AllData[[#This Row],[Time]]&lt;1, AllData[[#This Row],[Time]]&gt;=0.75)=TRUE, "Evening", "Night")))</f>
        <v>Morning</v>
      </c>
      <c r="G57" t="str">
        <f>_xlfn.XLOOKUP(AllData[[#This Row],[Location Name]], Locations[Location Name],Locations[Group As])</f>
        <v>Twyning Fleet</v>
      </c>
      <c r="H57" t="e" vm="1">
        <f>_xlfn.XLOOKUP(AllData[[#This Row],[Site Name]],LocationsKey[Site Name],LocationsKey[District])</f>
        <v>#VALUE!</v>
      </c>
      <c r="I57" t="str">
        <f>_xlfn.XLOOKUP(AllData[[#This Row],[Site Name]],LocationsKey[Site Name],LocationsKey[Town])</f>
        <v>Twyning Green</v>
      </c>
      <c r="J57" t="str">
        <f>_xlfn.XLOOKUP(AllData[[#This Row],[Site Name]],LocationsKey[Site Name], LocationsKey[Waterway])</f>
        <v>Avon</v>
      </c>
      <c r="K57" t="s">
        <v>54</v>
      </c>
      <c r="L57">
        <v>52.027028999999999</v>
      </c>
      <c r="M57">
        <v>-2.1405729999999998</v>
      </c>
      <c r="N57" t="s">
        <v>29</v>
      </c>
      <c r="O57">
        <v>1010</v>
      </c>
      <c r="P57">
        <v>20.399999999999999</v>
      </c>
      <c r="Q57">
        <v>10</v>
      </c>
      <c r="R57" s="7" t="str">
        <f>IF(AllData[[#This Row],[Nitrate (PPM)]]&gt;2, "Very high", IF(AllData[[#This Row],[Nitrate (PPM)]]&gt;1, "High", IF(AllData[[#This Row],[Nitrate (PPM)]]&gt;0.5, "Some evidence", IF(AllData[[#This Row],[Nitrate (PPM)]]&gt;=0, "No evidence"))))</f>
        <v>Very high</v>
      </c>
      <c r="S57" s="4">
        <v>1.07</v>
      </c>
      <c r="T57" s="7" t="str">
        <f>IF(AllData[[#This Row],[Phosphate (PPM)]]&gt;0.5, "Very high", IF(AllData[[#This Row],[Phosphate (PPM)]]&gt;0.1, "High", IF(AllData[[#This Row],[Phosphate (PPM)]]&gt;0.05, "Some evidence", IF(AllData[[#This Row],[Phosphate (PPM)]]&lt;=0.05, "No Evidence", ""))))</f>
        <v>Very high</v>
      </c>
      <c r="U57">
        <v>0</v>
      </c>
      <c r="V57" t="s">
        <v>115</v>
      </c>
    </row>
    <row r="58" spans="1:22" x14ac:dyDescent="0.25">
      <c r="A58" t="s">
        <v>116</v>
      </c>
      <c r="B58" s="2">
        <v>45165</v>
      </c>
      <c r="C58" s="2" t="str" cm="1">
        <f t="array" ref="C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8">
        <f>YEAR(AllData[[#This Row],[Date]])</f>
        <v>2023</v>
      </c>
      <c r="E58" s="1">
        <v>0.46527777777777779</v>
      </c>
      <c r="F58" s="2" t="str">
        <f>IF(AND(AllData[[#This Row],[Time]]&lt;0.5, AllData[[#This Row],[Time]]&gt;0.17)=TRUE, "Morning", IF(AND(AllData[[#This Row],[Time]]&lt;0.75, AllData[[#This Row],[Time]]&gt;=0.5)=TRUE, "Afternoon", IF(AND(AllData[[#This Row],[Time]]&lt;1, AllData[[#This Row],[Time]]&gt;=0.75)=TRUE, "Evening", "Night")))</f>
        <v>Morning</v>
      </c>
      <c r="G58" t="str">
        <f>_xlfn.XLOOKUP(AllData[[#This Row],[Location Name]], Locations[Location Name],Locations[Group As])</f>
        <v>Hampton Wood</v>
      </c>
      <c r="H58" t="e" vm="2">
        <f>_xlfn.XLOOKUP(AllData[[#This Row],[Site Name]],LocationsKey[Site Name],LocationsKey[District])</f>
        <v>#VALUE!</v>
      </c>
      <c r="I58" t="e" vm="3">
        <f>_xlfn.XLOOKUP(AllData[[#This Row],[Site Name]],LocationsKey[Site Name],LocationsKey[Town])</f>
        <v>#VALUE!</v>
      </c>
      <c r="J58" t="str">
        <f>_xlfn.XLOOKUP(AllData[[#This Row],[Site Name]],LocationsKey[Site Name], LocationsKey[Waterway])</f>
        <v>Avon</v>
      </c>
      <c r="K58" t="s">
        <v>34</v>
      </c>
      <c r="L58">
        <v>52.238149999999997</v>
      </c>
      <c r="M58">
        <v>-1.6245799999999999</v>
      </c>
      <c r="N58" t="s">
        <v>29</v>
      </c>
      <c r="O58">
        <v>950</v>
      </c>
      <c r="P58">
        <v>19.100000000000001</v>
      </c>
      <c r="Q58">
        <v>7</v>
      </c>
      <c r="R58" s="7" t="str">
        <f>IF(AllData[[#This Row],[Nitrate (PPM)]]&gt;2, "Very high", IF(AllData[[#This Row],[Nitrate (PPM)]]&gt;1, "High", IF(AllData[[#This Row],[Nitrate (PPM)]]&gt;0.5, "Some evidence", IF(AllData[[#This Row],[Nitrate (PPM)]]&gt;=0, "No evidence"))))</f>
        <v>Very high</v>
      </c>
      <c r="S58" s="4">
        <v>0.42</v>
      </c>
      <c r="T58" s="7" t="str">
        <f>IF(AllData[[#This Row],[Phosphate (PPM)]]&gt;0.5, "Very high", IF(AllData[[#This Row],[Phosphate (PPM)]]&gt;0.1, "High", IF(AllData[[#This Row],[Phosphate (PPM)]]&gt;0.05, "Some evidence", IF(AllData[[#This Row],[Phosphate (PPM)]]&lt;=0.05, "No Evidence", ""))))</f>
        <v>High</v>
      </c>
      <c r="U58">
        <v>0</v>
      </c>
    </row>
    <row r="59" spans="1:22" x14ac:dyDescent="0.25">
      <c r="A59" t="s">
        <v>117</v>
      </c>
      <c r="B59" s="2">
        <v>45165</v>
      </c>
      <c r="C59" s="2" t="str" cm="1">
        <f t="array" ref="C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59">
        <f>YEAR(AllData[[#This Row],[Date]])</f>
        <v>2023</v>
      </c>
      <c r="E59" s="1">
        <v>0.52083333333333337</v>
      </c>
      <c r="F59" s="2" t="str">
        <f>IF(AND(AllData[[#This Row],[Time]]&lt;0.5, AllData[[#This Row],[Time]]&gt;0.17)=TRUE, "Morning", IF(AND(AllData[[#This Row],[Time]]&lt;0.75, AllData[[#This Row],[Time]]&gt;=0.5)=TRUE, "Afternoon", IF(AND(AllData[[#This Row],[Time]]&lt;1, AllData[[#This Row],[Time]]&gt;=0.75)=TRUE, "Evening", "Night")))</f>
        <v>Afternoon</v>
      </c>
      <c r="G59" t="str">
        <f>_xlfn.XLOOKUP(AllData[[#This Row],[Location Name]], Locations[Location Name],Locations[Group As])</f>
        <v>Hampton Lucy</v>
      </c>
      <c r="H59" t="e" vm="2">
        <f>_xlfn.XLOOKUP(AllData[[#This Row],[Site Name]],LocationsKey[Site Name],LocationsKey[District])</f>
        <v>#VALUE!</v>
      </c>
      <c r="I59" t="e" vm="4">
        <f>_xlfn.XLOOKUP(AllData[[#This Row],[Site Name]],LocationsKey[Site Name],LocationsKey[Town])</f>
        <v>#VALUE!</v>
      </c>
      <c r="J59" t="str">
        <f>_xlfn.XLOOKUP(AllData[[#This Row],[Site Name]],LocationsKey[Site Name], LocationsKey[Waterway])</f>
        <v>Avon</v>
      </c>
      <c r="K59" t="s">
        <v>37</v>
      </c>
      <c r="L59">
        <v>52.211680000000001</v>
      </c>
      <c r="M59">
        <v>-1.6244400000000001</v>
      </c>
      <c r="N59" t="s">
        <v>23</v>
      </c>
      <c r="O59">
        <v>948</v>
      </c>
      <c r="P59">
        <v>18.8</v>
      </c>
      <c r="Q59">
        <v>7</v>
      </c>
      <c r="R59" s="7" t="str">
        <f>IF(AllData[[#This Row],[Nitrate (PPM)]]&gt;2, "Very high", IF(AllData[[#This Row],[Nitrate (PPM)]]&gt;1, "High", IF(AllData[[#This Row],[Nitrate (PPM)]]&gt;0.5, "Some evidence", IF(AllData[[#This Row],[Nitrate (PPM)]]&gt;=0, "No evidence"))))</f>
        <v>Very high</v>
      </c>
      <c r="S59" s="4">
        <v>0.49</v>
      </c>
      <c r="T59" s="7" t="str">
        <f>IF(AllData[[#This Row],[Phosphate (PPM)]]&gt;0.5, "Very high", IF(AllData[[#This Row],[Phosphate (PPM)]]&gt;0.1, "High", IF(AllData[[#This Row],[Phosphate (PPM)]]&gt;0.05, "Some evidence", IF(AllData[[#This Row],[Phosphate (PPM)]]&lt;=0.05, "No Evidence", ""))))</f>
        <v>High</v>
      </c>
      <c r="U59">
        <v>0</v>
      </c>
    </row>
    <row r="60" spans="1:22" x14ac:dyDescent="0.25">
      <c r="A60" t="s">
        <v>118</v>
      </c>
      <c r="B60" s="2">
        <v>45165</v>
      </c>
      <c r="C60" s="2" t="str" cm="1">
        <f t="array" ref="C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0">
        <f>YEAR(AllData[[#This Row],[Date]])</f>
        <v>2023</v>
      </c>
      <c r="E60" s="1">
        <v>0.70833333333333337</v>
      </c>
      <c r="F60" s="2" t="str">
        <f>IF(AND(AllData[[#This Row],[Time]]&lt;0.5, AllData[[#This Row],[Time]]&gt;0.17)=TRUE, "Morning", IF(AND(AllData[[#This Row],[Time]]&lt;0.75, AllData[[#This Row],[Time]]&gt;=0.5)=TRUE, "Afternoon", IF(AND(AllData[[#This Row],[Time]]&lt;1, AllData[[#This Row],[Time]]&gt;=0.75)=TRUE, "Evening", "Night")))</f>
        <v>Afternoon</v>
      </c>
      <c r="G60" t="str">
        <f>_xlfn.XLOOKUP(AllData[[#This Row],[Location Name]], Locations[Location Name],Locations[Group As])</f>
        <v>Welford Boat Station</v>
      </c>
      <c r="H60" t="e" vm="2">
        <f>_xlfn.XLOOKUP(AllData[[#This Row],[Site Name]],LocationsKey[Site Name],LocationsKey[District])</f>
        <v>#VALUE!</v>
      </c>
      <c r="I60" t="e" vm="5">
        <f>_xlfn.XLOOKUP(AllData[[#This Row],[Site Name]],LocationsKey[Site Name],LocationsKey[Town])</f>
        <v>#VALUE!</v>
      </c>
      <c r="J60" t="str">
        <f>_xlfn.XLOOKUP(AllData[[#This Row],[Site Name]],LocationsKey[Site Name], LocationsKey[Waterway])</f>
        <v>Avon</v>
      </c>
      <c r="K60" t="s">
        <v>39</v>
      </c>
      <c r="L60">
        <v>52.175240000000002</v>
      </c>
      <c r="M60">
        <v>-1.7918700000000001</v>
      </c>
      <c r="N60" t="s">
        <v>29</v>
      </c>
      <c r="O60">
        <v>992</v>
      </c>
      <c r="P60">
        <v>18.600000000000001</v>
      </c>
      <c r="Q60">
        <v>5</v>
      </c>
      <c r="R60" s="7" t="str">
        <f>IF(AllData[[#This Row],[Nitrate (PPM)]]&gt;2, "Very high", IF(AllData[[#This Row],[Nitrate (PPM)]]&gt;1, "High", IF(AllData[[#This Row],[Nitrate (PPM)]]&gt;0.5, "Some evidence", IF(AllData[[#This Row],[Nitrate (PPM)]]&gt;=0, "No evidence"))))</f>
        <v>Very high</v>
      </c>
      <c r="S60" s="4">
        <v>0.54</v>
      </c>
      <c r="T60" s="7" t="str">
        <f>IF(AllData[[#This Row],[Phosphate (PPM)]]&gt;0.5, "Very high", IF(AllData[[#This Row],[Phosphate (PPM)]]&gt;0.1, "High", IF(AllData[[#This Row],[Phosphate (PPM)]]&gt;0.05, "Some evidence", IF(AllData[[#This Row],[Phosphate (PPM)]]&lt;=0.05, "No Evidence", ""))))</f>
        <v>Very high</v>
      </c>
      <c r="U60">
        <v>0</v>
      </c>
      <c r="V60" t="s">
        <v>96</v>
      </c>
    </row>
    <row r="61" spans="1:22" x14ac:dyDescent="0.25">
      <c r="A61" t="s">
        <v>119</v>
      </c>
      <c r="B61" s="2">
        <v>45167</v>
      </c>
      <c r="C61" s="2" t="str" cm="1">
        <f t="array" ref="C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1">
        <f>YEAR(AllData[[#This Row],[Date]])</f>
        <v>2023</v>
      </c>
      <c r="E61" s="1">
        <v>0.60624999999999996</v>
      </c>
      <c r="F61" s="2" t="str">
        <f>IF(AND(AllData[[#This Row],[Time]]&lt;0.5, AllData[[#This Row],[Time]]&gt;0.17)=TRUE, "Morning", IF(AND(AllData[[#This Row],[Time]]&lt;0.75, AllData[[#This Row],[Time]]&gt;=0.5)=TRUE, "Afternoon", IF(AND(AllData[[#This Row],[Time]]&lt;1, AllData[[#This Row],[Time]]&gt;=0.75)=TRUE, "Evening", "Night")))</f>
        <v>Afternoon</v>
      </c>
      <c r="G61" t="str">
        <f>_xlfn.XLOOKUP(AllData[[#This Row],[Location Name]], Locations[Location Name],Locations[Group As])</f>
        <v>Talton Lodge</v>
      </c>
      <c r="H61" t="e" vm="2">
        <f>_xlfn.XLOOKUP(AllData[[#This Row],[Site Name]],LocationsKey[Site Name],LocationsKey[District])</f>
        <v>#VALUE!</v>
      </c>
      <c r="I61" t="e" vm="8">
        <f>_xlfn.XLOOKUP(AllData[[#This Row],[Site Name]],LocationsKey[Site Name],LocationsKey[Town])</f>
        <v>#VALUE!</v>
      </c>
      <c r="J61" t="str">
        <f>_xlfn.XLOOKUP(AllData[[#This Row],[Site Name]],LocationsKey[Site Name], LocationsKey[Waterway])</f>
        <v>Avon</v>
      </c>
      <c r="K61" t="s">
        <v>120</v>
      </c>
      <c r="L61">
        <v>52.120947999999999</v>
      </c>
      <c r="M61">
        <v>-1.6505399999999999</v>
      </c>
      <c r="N61" t="s">
        <v>29</v>
      </c>
      <c r="O61">
        <v>819</v>
      </c>
      <c r="P61">
        <v>15.8</v>
      </c>
      <c r="Q61">
        <v>10</v>
      </c>
      <c r="R61" s="7" t="str">
        <f>IF(AllData[[#This Row],[Nitrate (PPM)]]&gt;2, "Very high", IF(AllData[[#This Row],[Nitrate (PPM)]]&gt;1, "High", IF(AllData[[#This Row],[Nitrate (PPM)]]&gt;0.5, "Some evidence", IF(AllData[[#This Row],[Nitrate (PPM)]]&gt;=0, "No evidence"))))</f>
        <v>Very high</v>
      </c>
      <c r="S61" s="4">
        <v>0.33</v>
      </c>
      <c r="T61" s="7" t="str">
        <f>IF(AllData[[#This Row],[Phosphate (PPM)]]&gt;0.5, "Very high", IF(AllData[[#This Row],[Phosphate (PPM)]]&gt;0.1, "High", IF(AllData[[#This Row],[Phosphate (PPM)]]&gt;0.05, "Some evidence", IF(AllData[[#This Row],[Phosphate (PPM)]]&lt;=0.05, "No Evidence", ""))))</f>
        <v>High</v>
      </c>
      <c r="U61">
        <v>0.5</v>
      </c>
    </row>
    <row r="62" spans="1:22" x14ac:dyDescent="0.25">
      <c r="A62" t="s">
        <v>121</v>
      </c>
      <c r="B62" s="2">
        <v>45167</v>
      </c>
      <c r="C62" s="2" t="str" cm="1">
        <f t="array" ref="C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2">
        <f>YEAR(AllData[[#This Row],[Date]])</f>
        <v>2023</v>
      </c>
      <c r="E62" s="1">
        <v>0.69791666666666663</v>
      </c>
      <c r="F62" s="2" t="str">
        <f>IF(AND(AllData[[#This Row],[Time]]&lt;0.5, AllData[[#This Row],[Time]]&gt;0.17)=TRUE, "Morning", IF(AND(AllData[[#This Row],[Time]]&lt;0.75, AllData[[#This Row],[Time]]&gt;=0.5)=TRUE, "Afternoon", IF(AND(AllData[[#This Row],[Time]]&lt;1, AllData[[#This Row],[Time]]&gt;=0.75)=TRUE, "Evening", "Night")))</f>
        <v>Afternoon</v>
      </c>
      <c r="G62" t="str">
        <f>_xlfn.XLOOKUP(AllData[[#This Row],[Location Name]], Locations[Location Name],Locations[Group As])</f>
        <v>Weston-on-Avon</v>
      </c>
      <c r="H62" t="e" vm="2">
        <f>_xlfn.XLOOKUP(AllData[[#This Row],[Site Name]],LocationsKey[Site Name],LocationsKey[District])</f>
        <v>#VALUE!</v>
      </c>
      <c r="I62" t="e" vm="6">
        <f>_xlfn.XLOOKUP(AllData[[#This Row],[Site Name]],LocationsKey[Site Name],LocationsKey[Town])</f>
        <v>#VALUE!</v>
      </c>
      <c r="J62" t="str">
        <f>_xlfn.XLOOKUP(AllData[[#This Row],[Site Name]],LocationsKey[Site Name], LocationsKey[Waterway])</f>
        <v>Avon</v>
      </c>
      <c r="K62" t="s">
        <v>41</v>
      </c>
      <c r="L62">
        <v>52.167430000000003</v>
      </c>
      <c r="M62">
        <v>-1.7744800000000001</v>
      </c>
      <c r="N62" t="s">
        <v>29</v>
      </c>
      <c r="O62">
        <v>1028</v>
      </c>
      <c r="P62">
        <v>18.5</v>
      </c>
      <c r="Q62">
        <v>5</v>
      </c>
      <c r="R62" s="7" t="str">
        <f>IF(AllData[[#This Row],[Nitrate (PPM)]]&gt;2, "Very high", IF(AllData[[#This Row],[Nitrate (PPM)]]&gt;1, "High", IF(AllData[[#This Row],[Nitrate (PPM)]]&gt;0.5, "Some evidence", IF(AllData[[#This Row],[Nitrate (PPM)]]&gt;=0, "No evidence"))))</f>
        <v>Very high</v>
      </c>
      <c r="S62" s="4">
        <v>0.76</v>
      </c>
      <c r="T62" s="7" t="str">
        <f>IF(AllData[[#This Row],[Phosphate (PPM)]]&gt;0.5, "Very high", IF(AllData[[#This Row],[Phosphate (PPM)]]&gt;0.1, "High", IF(AllData[[#This Row],[Phosphate (PPM)]]&gt;0.05, "Some evidence", IF(AllData[[#This Row],[Phosphate (PPM)]]&lt;=0.05, "No Evidence", ""))))</f>
        <v>Very high</v>
      </c>
      <c r="U62">
        <v>0</v>
      </c>
    </row>
    <row r="63" spans="1:22" x14ac:dyDescent="0.25">
      <c r="A63" t="s">
        <v>122</v>
      </c>
      <c r="B63" s="2">
        <v>45168</v>
      </c>
      <c r="C63" s="2" t="str" cm="1">
        <f t="array" ref="C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3">
        <f>YEAR(AllData[[#This Row],[Date]])</f>
        <v>2023</v>
      </c>
      <c r="E63" s="1">
        <v>0.47708333333333336</v>
      </c>
      <c r="F63" s="2" t="str">
        <f>IF(AND(AllData[[#This Row],[Time]]&lt;0.5, AllData[[#This Row],[Time]]&gt;0.17)=TRUE, "Morning", IF(AND(AllData[[#This Row],[Time]]&lt;0.75, AllData[[#This Row],[Time]]&gt;=0.5)=TRUE, "Afternoon", IF(AND(AllData[[#This Row],[Time]]&lt;1, AllData[[#This Row],[Time]]&gt;=0.75)=TRUE, "Evening", "Night")))</f>
        <v>Morning</v>
      </c>
      <c r="G63" t="str">
        <f>_xlfn.XLOOKUP(AllData[[#This Row],[Location Name]], Locations[Location Name],Locations[Group As])</f>
        <v>Stour Newbold Mill</v>
      </c>
      <c r="H63" t="e" vm="2">
        <f>_xlfn.XLOOKUP(AllData[[#This Row],[Site Name]],LocationsKey[Site Name],LocationsKey[District])</f>
        <v>#VALUE!</v>
      </c>
      <c r="I63" t="e" vm="8">
        <f>_xlfn.XLOOKUP(AllData[[#This Row],[Site Name]],LocationsKey[Site Name],LocationsKey[Town])</f>
        <v>#VALUE!</v>
      </c>
      <c r="J63" t="str">
        <f>_xlfn.XLOOKUP(AllData[[#This Row],[Site Name]],LocationsKey[Site Name], LocationsKey[Waterway])</f>
        <v>Stour</v>
      </c>
      <c r="K63" t="s">
        <v>123</v>
      </c>
      <c r="L63">
        <v>52.113463000000003</v>
      </c>
      <c r="M63">
        <v>-1.633265</v>
      </c>
      <c r="N63" t="s">
        <v>29</v>
      </c>
      <c r="O63">
        <v>637</v>
      </c>
      <c r="P63">
        <v>18.399999999999999</v>
      </c>
      <c r="Q63">
        <v>2</v>
      </c>
      <c r="R63" s="7" t="str">
        <f>IF(AllData[[#This Row],[Nitrate (PPM)]]&gt;2, "Very high", IF(AllData[[#This Row],[Nitrate (PPM)]]&gt;1, "High", IF(AllData[[#This Row],[Nitrate (PPM)]]&gt;0.5, "Some evidence", IF(AllData[[#This Row],[Nitrate (PPM)]]&gt;=0, "No evidence"))))</f>
        <v>High</v>
      </c>
      <c r="S63" s="4">
        <v>0.78</v>
      </c>
      <c r="T63" s="7" t="str">
        <f>IF(AllData[[#This Row],[Phosphate (PPM)]]&gt;0.5, "Very high", IF(AllData[[#This Row],[Phosphate (PPM)]]&gt;0.1, "High", IF(AllData[[#This Row],[Phosphate (PPM)]]&gt;0.05, "Some evidence", IF(AllData[[#This Row],[Phosphate (PPM)]]&lt;=0.05, "No Evidence", ""))))</f>
        <v>Very high</v>
      </c>
      <c r="U63">
        <v>2</v>
      </c>
      <c r="V63" t="s">
        <v>124</v>
      </c>
    </row>
    <row r="64" spans="1:22" x14ac:dyDescent="0.25">
      <c r="A64" t="s">
        <v>125</v>
      </c>
      <c r="B64" s="2">
        <v>45168</v>
      </c>
      <c r="C64" s="2" t="str" cm="1">
        <f t="array" ref="C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4">
        <f>YEAR(AllData[[#This Row],[Date]])</f>
        <v>2023</v>
      </c>
      <c r="E64" s="1">
        <v>0.52083333333333337</v>
      </c>
      <c r="F64" s="2" t="str">
        <f>IF(AND(AllData[[#This Row],[Time]]&lt;0.5, AllData[[#This Row],[Time]]&gt;0.17)=TRUE, "Morning", IF(AND(AllData[[#This Row],[Time]]&lt;0.75, AllData[[#This Row],[Time]]&gt;=0.5)=TRUE, "Afternoon", IF(AND(AllData[[#This Row],[Time]]&lt;1, AllData[[#This Row],[Time]]&gt;=0.75)=TRUE, "Evening", "Night")))</f>
        <v>Afternoon</v>
      </c>
      <c r="G64" t="str">
        <f>_xlfn.XLOOKUP(AllData[[#This Row],[Location Name]], Locations[Location Name],Locations[Group As])</f>
        <v>Barton</v>
      </c>
      <c r="H64" t="e" vm="2">
        <f>_xlfn.XLOOKUP(AllData[[#This Row],[Site Name]],LocationsKey[Site Name],LocationsKey[District])</f>
        <v>#VALUE!</v>
      </c>
      <c r="I64" t="str">
        <f>_xlfn.XLOOKUP(AllData[[#This Row],[Site Name]],LocationsKey[Site Name],LocationsKey[Town])</f>
        <v>Barton</v>
      </c>
      <c r="J64" t="str">
        <f>_xlfn.XLOOKUP(AllData[[#This Row],[Site Name]],LocationsKey[Site Name], LocationsKey[Waterway])</f>
        <v>Avon</v>
      </c>
      <c r="K64" t="s">
        <v>49</v>
      </c>
      <c r="L64">
        <v>52.161209999999997</v>
      </c>
      <c r="M64">
        <v>-1.8301499999999999</v>
      </c>
      <c r="N64" t="s">
        <v>29</v>
      </c>
      <c r="O64">
        <v>1018</v>
      </c>
      <c r="P64">
        <v>17</v>
      </c>
      <c r="Q64">
        <v>7</v>
      </c>
      <c r="R64" s="7" t="str">
        <f>IF(AllData[[#This Row],[Nitrate (PPM)]]&gt;2, "Very high", IF(AllData[[#This Row],[Nitrate (PPM)]]&gt;1, "High", IF(AllData[[#This Row],[Nitrate (PPM)]]&gt;0.5, "Some evidence", IF(AllData[[#This Row],[Nitrate (PPM)]]&gt;=0, "No evidence"))))</f>
        <v>Very high</v>
      </c>
      <c r="S64" s="4">
        <v>0.63</v>
      </c>
      <c r="T64" s="7" t="str">
        <f>IF(AllData[[#This Row],[Phosphate (PPM)]]&gt;0.5, "Very high", IF(AllData[[#This Row],[Phosphate (PPM)]]&gt;0.1, "High", IF(AllData[[#This Row],[Phosphate (PPM)]]&gt;0.05, "Some evidence", IF(AllData[[#This Row],[Phosphate (PPM)]]&lt;=0.05, "No Evidence", ""))))</f>
        <v>Very high</v>
      </c>
      <c r="U64">
        <v>0</v>
      </c>
    </row>
    <row r="65" spans="1:22" x14ac:dyDescent="0.25">
      <c r="A65" t="s">
        <v>126</v>
      </c>
      <c r="B65" s="2">
        <v>45169</v>
      </c>
      <c r="C65" s="2" t="str" cm="1">
        <f t="array" ref="C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5">
        <f>YEAR(AllData[[#This Row],[Date]])</f>
        <v>2023</v>
      </c>
      <c r="E65" s="1">
        <v>0.43055555555555558</v>
      </c>
      <c r="F65" s="2" t="str">
        <f>IF(AND(AllData[[#This Row],[Time]]&lt;0.5, AllData[[#This Row],[Time]]&gt;0.17)=TRUE, "Morning", IF(AND(AllData[[#This Row],[Time]]&lt;0.75, AllData[[#This Row],[Time]]&gt;=0.5)=TRUE, "Afternoon", IF(AND(AllData[[#This Row],[Time]]&lt;1, AllData[[#This Row],[Time]]&gt;=0.75)=TRUE, "Evening", "Night")))</f>
        <v>Morning</v>
      </c>
      <c r="G65" t="str">
        <f>_xlfn.XLOOKUP(AllData[[#This Row],[Location Name]], Locations[Location Name],Locations[Group As])</f>
        <v>Preston-on-Stour River Bridge</v>
      </c>
      <c r="H65" t="e" vm="2">
        <f>_xlfn.XLOOKUP(AllData[[#This Row],[Site Name]],LocationsKey[Site Name],LocationsKey[District])</f>
        <v>#VALUE!</v>
      </c>
      <c r="I65" t="e" vm="9">
        <f>_xlfn.XLOOKUP(AllData[[#This Row],[Site Name]],LocationsKey[Site Name],LocationsKey[Town])</f>
        <v>#VALUE!</v>
      </c>
      <c r="J65" t="str">
        <f>_xlfn.XLOOKUP(AllData[[#This Row],[Site Name]],LocationsKey[Site Name], LocationsKey[Waterway])</f>
        <v>Stour</v>
      </c>
      <c r="K65" t="s">
        <v>127</v>
      </c>
      <c r="L65">
        <v>52.146448999999997</v>
      </c>
      <c r="M65">
        <v>-1.7003729999999999</v>
      </c>
      <c r="N65" t="s">
        <v>29</v>
      </c>
      <c r="O65">
        <v>699</v>
      </c>
      <c r="P65">
        <v>16</v>
      </c>
      <c r="Q65">
        <v>5</v>
      </c>
      <c r="R65" s="7" t="str">
        <f>IF(AllData[[#This Row],[Nitrate (PPM)]]&gt;2, "Very high", IF(AllData[[#This Row],[Nitrate (PPM)]]&gt;1, "High", IF(AllData[[#This Row],[Nitrate (PPM)]]&gt;0.5, "Some evidence", IF(AllData[[#This Row],[Nitrate (PPM)]]&gt;=0, "No evidence"))))</f>
        <v>Very high</v>
      </c>
      <c r="S65" s="4">
        <v>0.55000000000000004</v>
      </c>
      <c r="T65" s="7" t="str">
        <f>IF(AllData[[#This Row],[Phosphate (PPM)]]&gt;0.5, "Very high", IF(AllData[[#This Row],[Phosphate (PPM)]]&gt;0.1, "High", IF(AllData[[#This Row],[Phosphate (PPM)]]&gt;0.05, "Some evidence", IF(AllData[[#This Row],[Phosphate (PPM)]]&lt;=0.05, "No Evidence", ""))))</f>
        <v>Very high</v>
      </c>
      <c r="U65">
        <v>4</v>
      </c>
      <c r="V65" t="s">
        <v>128</v>
      </c>
    </row>
    <row r="66" spans="1:22" x14ac:dyDescent="0.25">
      <c r="A66" t="s">
        <v>129</v>
      </c>
      <c r="B66" s="2">
        <v>45169</v>
      </c>
      <c r="C66" s="2" t="str" cm="1">
        <f t="array" ref="C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66">
        <f>YEAR(AllData[[#This Row],[Date]])</f>
        <v>2023</v>
      </c>
      <c r="E66" s="1">
        <v>0.60763888888888884</v>
      </c>
      <c r="F66" s="2" t="str">
        <f>IF(AND(AllData[[#This Row],[Time]]&lt;0.5, AllData[[#This Row],[Time]]&gt;0.17)=TRUE, "Morning", IF(AND(AllData[[#This Row],[Time]]&lt;0.75, AllData[[#This Row],[Time]]&gt;=0.5)=TRUE, "Afternoon", IF(AND(AllData[[#This Row],[Time]]&lt;1, AllData[[#This Row],[Time]]&gt;=0.75)=TRUE, "Evening", "Night")))</f>
        <v>Afternoon</v>
      </c>
      <c r="G66" t="str">
        <f>_xlfn.XLOOKUP(AllData[[#This Row],[Location Name]], Locations[Location Name],Locations[Group As])</f>
        <v>Swilgate</v>
      </c>
      <c r="H66" t="e" vm="1">
        <f>_xlfn.XLOOKUP(AllData[[#This Row],[Site Name]],LocationsKey[Site Name],LocationsKey[District])</f>
        <v>#VALUE!</v>
      </c>
      <c r="I66" t="e" vm="1">
        <f>_xlfn.XLOOKUP(AllData[[#This Row],[Site Name]],LocationsKey[Site Name],LocationsKey[Town])</f>
        <v>#VALUE!</v>
      </c>
      <c r="J66" t="str">
        <f>_xlfn.XLOOKUP(AllData[[#This Row],[Site Name]],LocationsKey[Site Name], LocationsKey[Waterway])</f>
        <v>Swilgate</v>
      </c>
      <c r="K66" t="s">
        <v>84</v>
      </c>
      <c r="N66" t="s">
        <v>23</v>
      </c>
      <c r="O66">
        <v>872</v>
      </c>
      <c r="P66">
        <v>15.7</v>
      </c>
      <c r="Q66">
        <v>8</v>
      </c>
      <c r="R66" s="7" t="str">
        <f>IF(AllData[[#This Row],[Nitrate (PPM)]]&gt;2, "Very high", IF(AllData[[#This Row],[Nitrate (PPM)]]&gt;1, "High", IF(AllData[[#This Row],[Nitrate (PPM)]]&gt;0.5, "Some evidence", IF(AllData[[#This Row],[Nitrate (PPM)]]&gt;=0, "No evidence"))))</f>
        <v>Very high</v>
      </c>
      <c r="S66" s="4">
        <v>0.65</v>
      </c>
      <c r="T66" s="7" t="str">
        <f>IF(AllData[[#This Row],[Phosphate (PPM)]]&gt;0.5, "Very high", IF(AllData[[#This Row],[Phosphate (PPM)]]&gt;0.1, "High", IF(AllData[[#This Row],[Phosphate (PPM)]]&gt;0.05, "Some evidence", IF(AllData[[#This Row],[Phosphate (PPM)]]&lt;=0.05, "No Evidence", ""))))</f>
        <v>Very high</v>
      </c>
      <c r="U66">
        <v>0</v>
      </c>
    </row>
    <row r="67" spans="1:22" x14ac:dyDescent="0.25">
      <c r="A67" t="s">
        <v>131</v>
      </c>
      <c r="B67" s="2">
        <v>45171</v>
      </c>
      <c r="C67" s="2" t="str" cm="1">
        <f t="array" ref="C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
        <f>YEAR(AllData[[#This Row],[Date]])</f>
        <v>2023</v>
      </c>
      <c r="E67" s="1">
        <v>0.45833333333333331</v>
      </c>
      <c r="F67" s="2" t="str">
        <f>IF(AND(AllData[[#This Row],[Time]]&lt;0.5, AllData[[#This Row],[Time]]&gt;0.17)=TRUE, "Morning", IF(AND(AllData[[#This Row],[Time]]&lt;0.75, AllData[[#This Row],[Time]]&gt;=0.5)=TRUE, "Afternoon", IF(AND(AllData[[#This Row],[Time]]&lt;1, AllData[[#This Row],[Time]]&gt;=0.75)=TRUE, "Evening", "Night")))</f>
        <v>Morning</v>
      </c>
      <c r="G67" t="str">
        <f>_xlfn.XLOOKUP(AllData[[#This Row],[Location Name]], Locations[Location Name],Locations[Group As])</f>
        <v>Avonbank Drive</v>
      </c>
      <c r="H67" t="e" vm="2">
        <f>_xlfn.XLOOKUP(AllData[[#This Row],[Site Name]],LocationsKey[Site Name],LocationsKey[District])</f>
        <v>#VALUE!</v>
      </c>
      <c r="I67" t="e" vm="7">
        <f>_xlfn.XLOOKUP(AllData[[#This Row],[Site Name]],LocationsKey[Site Name],LocationsKey[Town])</f>
        <v>#VALUE!</v>
      </c>
      <c r="J67" t="str">
        <f>_xlfn.XLOOKUP(AllData[[#This Row],[Site Name]],LocationsKey[Site Name], LocationsKey[Waterway])</f>
        <v>Avon</v>
      </c>
      <c r="K67" t="s">
        <v>103</v>
      </c>
      <c r="L67">
        <v>52.177</v>
      </c>
      <c r="M67">
        <v>-1.736</v>
      </c>
      <c r="N67" t="s">
        <v>66</v>
      </c>
      <c r="O67">
        <v>990</v>
      </c>
      <c r="P67">
        <v>23.4</v>
      </c>
      <c r="Q67">
        <v>10</v>
      </c>
      <c r="R67" s="7" t="str">
        <f>IF(AllData[[#This Row],[Nitrate (PPM)]]&gt;2, "Very high", IF(AllData[[#This Row],[Nitrate (PPM)]]&gt;1, "High", IF(AllData[[#This Row],[Nitrate (PPM)]]&gt;0.5, "Some evidence", IF(AllData[[#This Row],[Nitrate (PPM)]]&gt;=0, "No evidence"))))</f>
        <v>Very high</v>
      </c>
      <c r="S67" s="4">
        <v>0.51</v>
      </c>
      <c r="T67" s="7" t="str">
        <f>IF(AllData[[#This Row],[Phosphate (PPM)]]&gt;0.5, "Very high", IF(AllData[[#This Row],[Phosphate (PPM)]]&gt;0.1, "High", IF(AllData[[#This Row],[Phosphate (PPM)]]&gt;0.05, "Some evidence", IF(AllData[[#This Row],[Phosphate (PPM)]]&lt;=0.05, "No Evidence", ""))))</f>
        <v>Very high</v>
      </c>
      <c r="U67">
        <v>0.56999999999999995</v>
      </c>
    </row>
    <row r="68" spans="1:22" x14ac:dyDescent="0.25">
      <c r="A68" t="s">
        <v>130</v>
      </c>
      <c r="B68" s="2">
        <v>45171</v>
      </c>
      <c r="C68" s="2" t="str" cm="1">
        <f t="array" ref="C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
        <f>YEAR(AllData[[#This Row],[Date]])</f>
        <v>2023</v>
      </c>
      <c r="E68" s="1">
        <v>0.45833333333333331</v>
      </c>
      <c r="F68" s="2" t="str">
        <f>IF(AND(AllData[[#This Row],[Time]]&lt;0.5, AllData[[#This Row],[Time]]&gt;0.17)=TRUE, "Morning", IF(AND(AllData[[#This Row],[Time]]&lt;0.75, AllData[[#This Row],[Time]]&gt;=0.5)=TRUE, "Afternoon", IF(AND(AllData[[#This Row],[Time]]&lt;1, AllData[[#This Row],[Time]]&gt;=0.75)=TRUE, "Evening", "Night")))</f>
        <v>Morning</v>
      </c>
      <c r="G68" t="str">
        <f>_xlfn.XLOOKUP(AllData[[#This Row],[Location Name]], Locations[Location Name],Locations[Group As])</f>
        <v>Pitch 16</v>
      </c>
      <c r="H68" t="e" vm="2">
        <f>_xlfn.XLOOKUP(AllData[[#This Row],[Site Name]],LocationsKey[Site Name],LocationsKey[District])</f>
        <v>#VALUE!</v>
      </c>
      <c r="I68" t="e" vm="7">
        <f>_xlfn.XLOOKUP(AllData[[#This Row],[Site Name]],LocationsKey[Site Name],LocationsKey[Town])</f>
        <v>#VALUE!</v>
      </c>
      <c r="J68" t="str">
        <f>_xlfn.XLOOKUP(AllData[[#This Row],[Site Name]],LocationsKey[Site Name], LocationsKey[Waterway])</f>
        <v>Avon</v>
      </c>
      <c r="K68" t="s">
        <v>69</v>
      </c>
      <c r="N68" t="s">
        <v>29</v>
      </c>
      <c r="O68">
        <v>971</v>
      </c>
      <c r="P68">
        <v>21.7</v>
      </c>
      <c r="Q68">
        <v>10</v>
      </c>
      <c r="R68" s="7" t="str">
        <f>IF(AllData[[#This Row],[Nitrate (PPM)]]&gt;2, "Very high", IF(AllData[[#This Row],[Nitrate (PPM)]]&gt;1, "High", IF(AllData[[#This Row],[Nitrate (PPM)]]&gt;0.5, "Some evidence", IF(AllData[[#This Row],[Nitrate (PPM)]]&gt;=0, "No evidence"))))</f>
        <v>Very high</v>
      </c>
      <c r="S68" s="4">
        <v>0.45</v>
      </c>
      <c r="T68" s="7" t="str">
        <f>IF(AllData[[#This Row],[Phosphate (PPM)]]&gt;0.5, "Very high", IF(AllData[[#This Row],[Phosphate (PPM)]]&gt;0.1, "High", IF(AllData[[#This Row],[Phosphate (PPM)]]&gt;0.05, "Some evidence", IF(AllData[[#This Row],[Phosphate (PPM)]]&lt;=0.05, "No Evidence", ""))))</f>
        <v>High</v>
      </c>
      <c r="U68">
        <v>0.56999999999999995</v>
      </c>
    </row>
    <row r="69" spans="1:22" x14ac:dyDescent="0.25">
      <c r="A69" t="s">
        <v>132</v>
      </c>
      <c r="B69" s="2">
        <v>45171</v>
      </c>
      <c r="C69" s="2" t="str" cm="1">
        <f t="array" ref="C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
        <f>YEAR(AllData[[#This Row],[Date]])</f>
        <v>2023</v>
      </c>
      <c r="E69" s="1">
        <v>0.60416666666666663</v>
      </c>
      <c r="F69" s="2" t="str">
        <f>IF(AND(AllData[[#This Row],[Time]]&lt;0.5, AllData[[#This Row],[Time]]&gt;0.17)=TRUE, "Morning", IF(AND(AllData[[#This Row],[Time]]&lt;0.75, AllData[[#This Row],[Time]]&gt;=0.5)=TRUE, "Afternoon", IF(AND(AllData[[#This Row],[Time]]&lt;1, AllData[[#This Row],[Time]]&gt;=0.75)=TRUE, "Evening", "Night")))</f>
        <v>Afternoon</v>
      </c>
      <c r="G69" t="str">
        <f>_xlfn.XLOOKUP(AllData[[#This Row],[Location Name]], Locations[Location Name],Locations[Group As])</f>
        <v>Carrant Bredon Rd</v>
      </c>
      <c r="H69" t="e" vm="1">
        <f>_xlfn.XLOOKUP(AllData[[#This Row],[Site Name]],LocationsKey[Site Name],LocationsKey[District])</f>
        <v>#VALUE!</v>
      </c>
      <c r="I69" t="e" vm="1">
        <f>_xlfn.XLOOKUP(AllData[[#This Row],[Site Name]],LocationsKey[Site Name],LocationsKey[Town])</f>
        <v>#VALUE!</v>
      </c>
      <c r="J69" t="str">
        <f>_xlfn.XLOOKUP(AllData[[#This Row],[Site Name]],LocationsKey[Site Name], LocationsKey[Waterway])</f>
        <v>Carrant</v>
      </c>
      <c r="K69" t="s">
        <v>90</v>
      </c>
      <c r="N69" t="s">
        <v>23</v>
      </c>
      <c r="O69" s="219">
        <v>641</v>
      </c>
      <c r="P69">
        <v>17.3</v>
      </c>
      <c r="Q69" s="219">
        <v>6</v>
      </c>
      <c r="R69" s="7" t="str">
        <f>IF(AllData[[#This Row],[Nitrate (PPM)]]&gt;2, "Very high", IF(AllData[[#This Row],[Nitrate (PPM)]]&gt;1, "High", IF(AllData[[#This Row],[Nitrate (PPM)]]&gt;0.5, "Some evidence", IF(AllData[[#This Row],[Nitrate (PPM)]]&gt;=0, "No evidence"))))</f>
        <v>Very high</v>
      </c>
      <c r="S69" s="221">
        <v>0.11</v>
      </c>
      <c r="T69" s="7" t="str">
        <f>IF(AllData[[#This Row],[Phosphate (PPM)]]&gt;0.5, "Very high", IF(AllData[[#This Row],[Phosphate (PPM)]]&gt;0.1, "High", IF(AllData[[#This Row],[Phosphate (PPM)]]&gt;0.05, "Some evidence", IF(AllData[[#This Row],[Phosphate (PPM)]]&lt;=0.05, "No Evidence", ""))))</f>
        <v>High</v>
      </c>
      <c r="U69">
        <v>0</v>
      </c>
    </row>
    <row r="70" spans="1:22" x14ac:dyDescent="0.25">
      <c r="A70" t="s">
        <v>133</v>
      </c>
      <c r="B70" s="2">
        <v>45171</v>
      </c>
      <c r="C70" s="2" t="str" cm="1">
        <f t="array" ref="C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
        <f>YEAR(AllData[[#This Row],[Date]])</f>
        <v>2023</v>
      </c>
      <c r="E70" s="1">
        <v>0.625</v>
      </c>
      <c r="F70" s="2" t="str">
        <f>IF(AND(AllData[[#This Row],[Time]]&lt;0.5, AllData[[#This Row],[Time]]&gt;0.17)=TRUE, "Morning", IF(AND(AllData[[#This Row],[Time]]&lt;0.75, AllData[[#This Row],[Time]]&gt;=0.5)=TRUE, "Afternoon", IF(AND(AllData[[#This Row],[Time]]&lt;1, AllData[[#This Row],[Time]]&gt;=0.75)=TRUE, "Evening", "Night")))</f>
        <v>Afternoon</v>
      </c>
      <c r="G70" t="str">
        <f>_xlfn.XLOOKUP(AllData[[#This Row],[Location Name]], Locations[Location Name],Locations[Group As])</f>
        <v>Abbey Mill</v>
      </c>
      <c r="H70" t="e" vm="1">
        <f>_xlfn.XLOOKUP(AllData[[#This Row],[Site Name]],LocationsKey[Site Name],LocationsKey[District])</f>
        <v>#VALUE!</v>
      </c>
      <c r="I70" t="e" vm="1">
        <f>_xlfn.XLOOKUP(AllData[[#This Row],[Site Name]],LocationsKey[Site Name],LocationsKey[Town])</f>
        <v>#VALUE!</v>
      </c>
      <c r="J70" t="str">
        <f>_xlfn.XLOOKUP(AllData[[#This Row],[Site Name]],LocationsKey[Site Name], LocationsKey[Waterway])</f>
        <v>Avon</v>
      </c>
      <c r="K70" t="s">
        <v>25</v>
      </c>
      <c r="N70" t="s">
        <v>23</v>
      </c>
      <c r="O70">
        <v>1020</v>
      </c>
      <c r="P70">
        <v>19.5</v>
      </c>
      <c r="Q70">
        <v>10</v>
      </c>
      <c r="R70" s="7" t="str">
        <f>IF(AllData[[#This Row],[Nitrate (PPM)]]&gt;2, "Very high", IF(AllData[[#This Row],[Nitrate (PPM)]]&gt;1, "High", IF(AllData[[#This Row],[Nitrate (PPM)]]&gt;0.5, "Some evidence", IF(AllData[[#This Row],[Nitrate (PPM)]]&gt;=0, "No evidence"))))</f>
        <v>Very high</v>
      </c>
      <c r="S70" s="4">
        <v>1.08</v>
      </c>
      <c r="T70" s="7" t="str">
        <f>IF(AllData[[#This Row],[Phosphate (PPM)]]&gt;0.5, "Very high", IF(AllData[[#This Row],[Phosphate (PPM)]]&gt;0.1, "High", IF(AllData[[#This Row],[Phosphate (PPM)]]&gt;0.05, "Some evidence", IF(AllData[[#This Row],[Phosphate (PPM)]]&lt;=0.05, "No Evidence", ""))))</f>
        <v>Very high</v>
      </c>
      <c r="U70">
        <v>0</v>
      </c>
    </row>
    <row r="71" spans="1:22" x14ac:dyDescent="0.25">
      <c r="A71" t="s">
        <v>134</v>
      </c>
      <c r="B71" s="2">
        <v>45172</v>
      </c>
      <c r="C71" s="2" t="str" cm="1">
        <f t="array" ref="C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
        <f>YEAR(AllData[[#This Row],[Date]])</f>
        <v>2023</v>
      </c>
      <c r="E71" s="1">
        <v>0.49305555555555558</v>
      </c>
      <c r="F71" s="2" t="str">
        <f>IF(AND(AllData[[#This Row],[Time]]&lt;0.5, AllData[[#This Row],[Time]]&gt;0.17)=TRUE, "Morning", IF(AND(AllData[[#This Row],[Time]]&lt;0.75, AllData[[#This Row],[Time]]&gt;=0.5)=TRUE, "Afternoon", IF(AND(AllData[[#This Row],[Time]]&lt;1, AllData[[#This Row],[Time]]&gt;=0.75)=TRUE, "Evening", "Night")))</f>
        <v>Morning</v>
      </c>
      <c r="G71" t="str">
        <f>_xlfn.XLOOKUP(AllData[[#This Row],[Location Name]], Locations[Location Name],Locations[Group As])</f>
        <v>Hampton Wood</v>
      </c>
      <c r="H71" t="e" vm="2">
        <f>_xlfn.XLOOKUP(AllData[[#This Row],[Site Name]],LocationsKey[Site Name],LocationsKey[District])</f>
        <v>#VALUE!</v>
      </c>
      <c r="I71" t="e" vm="3">
        <f>_xlfn.XLOOKUP(AllData[[#This Row],[Site Name]],LocationsKey[Site Name],LocationsKey[Town])</f>
        <v>#VALUE!</v>
      </c>
      <c r="J71" t="str">
        <f>_xlfn.XLOOKUP(AllData[[#This Row],[Site Name]],LocationsKey[Site Name], LocationsKey[Waterway])</f>
        <v>Avon</v>
      </c>
      <c r="K71" t="s">
        <v>34</v>
      </c>
      <c r="L71">
        <v>52.238149999999997</v>
      </c>
      <c r="M71">
        <v>-1.6245799999999999</v>
      </c>
      <c r="N71" t="s">
        <v>29</v>
      </c>
      <c r="O71">
        <v>890</v>
      </c>
      <c r="P71">
        <v>21.2</v>
      </c>
      <c r="Q71">
        <v>5</v>
      </c>
      <c r="R71" s="7" t="str">
        <f>IF(AllData[[#This Row],[Nitrate (PPM)]]&gt;2, "Very high", IF(AllData[[#This Row],[Nitrate (PPM)]]&gt;1, "High", IF(AllData[[#This Row],[Nitrate (PPM)]]&gt;0.5, "Some evidence", IF(AllData[[#This Row],[Nitrate (PPM)]]&gt;=0, "No evidence"))))</f>
        <v>Very high</v>
      </c>
      <c r="S71" s="4">
        <v>0.52</v>
      </c>
      <c r="T71" s="7" t="str">
        <f>IF(AllData[[#This Row],[Phosphate (PPM)]]&gt;0.5, "Very high", IF(AllData[[#This Row],[Phosphate (PPM)]]&gt;0.1, "High", IF(AllData[[#This Row],[Phosphate (PPM)]]&gt;0.05, "Some evidence", IF(AllData[[#This Row],[Phosphate (PPM)]]&lt;=0.05, "No Evidence", ""))))</f>
        <v>Very high</v>
      </c>
      <c r="U71">
        <v>0</v>
      </c>
    </row>
    <row r="72" spans="1:22" x14ac:dyDescent="0.25">
      <c r="A72" t="s">
        <v>135</v>
      </c>
      <c r="B72" s="2">
        <v>45172</v>
      </c>
      <c r="C72" s="2" t="str" cm="1">
        <f t="array" ref="C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
        <f>YEAR(AllData[[#This Row],[Date]])</f>
        <v>2023</v>
      </c>
      <c r="E72" s="1">
        <v>0.53125</v>
      </c>
      <c r="F72" s="2" t="str">
        <f>IF(AND(AllData[[#This Row],[Time]]&lt;0.5, AllData[[#This Row],[Time]]&gt;0.17)=TRUE, "Morning", IF(AND(AllData[[#This Row],[Time]]&lt;0.75, AllData[[#This Row],[Time]]&gt;=0.5)=TRUE, "Afternoon", IF(AND(AllData[[#This Row],[Time]]&lt;1, AllData[[#This Row],[Time]]&gt;=0.75)=TRUE, "Evening", "Night")))</f>
        <v>Afternoon</v>
      </c>
      <c r="G72" t="str">
        <f>_xlfn.XLOOKUP(AllData[[#This Row],[Location Name]], Locations[Location Name],Locations[Group As])</f>
        <v>Hampton Lucy</v>
      </c>
      <c r="H72" t="e" vm="2">
        <f>_xlfn.XLOOKUP(AllData[[#This Row],[Site Name]],LocationsKey[Site Name],LocationsKey[District])</f>
        <v>#VALUE!</v>
      </c>
      <c r="I72" t="e" vm="4">
        <f>_xlfn.XLOOKUP(AllData[[#This Row],[Site Name]],LocationsKey[Site Name],LocationsKey[Town])</f>
        <v>#VALUE!</v>
      </c>
      <c r="J72" t="str">
        <f>_xlfn.XLOOKUP(AllData[[#This Row],[Site Name]],LocationsKey[Site Name], LocationsKey[Waterway])</f>
        <v>Avon</v>
      </c>
      <c r="K72" t="s">
        <v>37</v>
      </c>
      <c r="L72">
        <v>52.211680000000001</v>
      </c>
      <c r="M72">
        <v>-1.6244400000000001</v>
      </c>
      <c r="N72" t="s">
        <v>23</v>
      </c>
      <c r="O72" s="219">
        <v>834</v>
      </c>
      <c r="P72">
        <v>21.1</v>
      </c>
      <c r="Q72" s="219">
        <v>6</v>
      </c>
      <c r="R72" s="7" t="str">
        <f>IF(AllData[[#This Row],[Nitrate (PPM)]]&gt;2, "Very high", IF(AllData[[#This Row],[Nitrate (PPM)]]&gt;1, "High", IF(AllData[[#This Row],[Nitrate (PPM)]]&gt;0.5, "Some evidence", IF(AllData[[#This Row],[Nitrate (PPM)]]&gt;=0, "No evidence"))))</f>
        <v>Very high</v>
      </c>
      <c r="S72" s="221">
        <v>0.53</v>
      </c>
      <c r="T72" s="7" t="str">
        <f>IF(AllData[[#This Row],[Phosphate (PPM)]]&gt;0.5, "Very high", IF(AllData[[#This Row],[Phosphate (PPM)]]&gt;0.1, "High", IF(AllData[[#This Row],[Phosphate (PPM)]]&gt;0.05, "Some evidence", IF(AllData[[#This Row],[Phosphate (PPM)]]&lt;=0.05, "No Evidence", ""))))</f>
        <v>Very high</v>
      </c>
      <c r="U72">
        <v>0</v>
      </c>
    </row>
    <row r="73" spans="1:22" x14ac:dyDescent="0.25">
      <c r="A73" t="s">
        <v>136</v>
      </c>
      <c r="B73" s="2">
        <v>45172</v>
      </c>
      <c r="C73" s="2" t="str" cm="1">
        <f t="array" ref="C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
        <f>YEAR(AllData[[#This Row],[Date]])</f>
        <v>2023</v>
      </c>
      <c r="E73" s="1">
        <v>0.75</v>
      </c>
      <c r="F73" s="2" t="str">
        <f>IF(AND(AllData[[#This Row],[Time]]&lt;0.5, AllData[[#This Row],[Time]]&gt;0.17)=TRUE, "Morning", IF(AND(AllData[[#This Row],[Time]]&lt;0.75, AllData[[#This Row],[Time]]&gt;=0.5)=TRUE, "Afternoon", IF(AND(AllData[[#This Row],[Time]]&lt;1, AllData[[#This Row],[Time]]&gt;=0.75)=TRUE, "Evening", "Night")))</f>
        <v>Evening</v>
      </c>
      <c r="G73" t="str">
        <f>_xlfn.XLOOKUP(AllData[[#This Row],[Location Name]], Locations[Location Name],Locations[Group As])</f>
        <v>Welford Boat Station</v>
      </c>
      <c r="H73" t="e" vm="2">
        <f>_xlfn.XLOOKUP(AllData[[#This Row],[Site Name]],LocationsKey[Site Name],LocationsKey[District])</f>
        <v>#VALUE!</v>
      </c>
      <c r="I73" t="e" vm="5">
        <f>_xlfn.XLOOKUP(AllData[[#This Row],[Site Name]],LocationsKey[Site Name],LocationsKey[Town])</f>
        <v>#VALUE!</v>
      </c>
      <c r="J73" t="str">
        <f>_xlfn.XLOOKUP(AllData[[#This Row],[Site Name]],LocationsKey[Site Name], LocationsKey[Waterway])</f>
        <v>Avon</v>
      </c>
      <c r="K73" t="s">
        <v>39</v>
      </c>
      <c r="L73">
        <v>52.175240000000002</v>
      </c>
      <c r="M73">
        <v>-1.7918700000000001</v>
      </c>
      <c r="N73" t="s">
        <v>29</v>
      </c>
      <c r="O73">
        <v>992</v>
      </c>
      <c r="P73">
        <v>20.100000000000001</v>
      </c>
      <c r="Q73">
        <v>4.5</v>
      </c>
      <c r="R73" s="7" t="str">
        <f>IF(AllData[[#This Row],[Nitrate (PPM)]]&gt;2, "Very high", IF(AllData[[#This Row],[Nitrate (PPM)]]&gt;1, "High", IF(AllData[[#This Row],[Nitrate (PPM)]]&gt;0.5, "Some evidence", IF(AllData[[#This Row],[Nitrate (PPM)]]&gt;=0, "No evidence"))))</f>
        <v>Very high</v>
      </c>
      <c r="S73" s="4">
        <v>0.54</v>
      </c>
      <c r="T73" s="7" t="str">
        <f>IF(AllData[[#This Row],[Phosphate (PPM)]]&gt;0.5, "Very high", IF(AllData[[#This Row],[Phosphate (PPM)]]&gt;0.1, "High", IF(AllData[[#This Row],[Phosphate (PPM)]]&gt;0.05, "Some evidence", IF(AllData[[#This Row],[Phosphate (PPM)]]&lt;=0.05, "No Evidence", ""))))</f>
        <v>Very high</v>
      </c>
      <c r="U73">
        <v>0</v>
      </c>
      <c r="V73" t="s">
        <v>137</v>
      </c>
    </row>
    <row r="74" spans="1:22" x14ac:dyDescent="0.25">
      <c r="A74" t="s">
        <v>138</v>
      </c>
      <c r="B74" s="2">
        <v>45173</v>
      </c>
      <c r="C74" s="2" t="str" cm="1">
        <f t="array" ref="C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
        <f>YEAR(AllData[[#This Row],[Date]])</f>
        <v>2023</v>
      </c>
      <c r="E74" s="1">
        <v>0.71180555555555558</v>
      </c>
      <c r="F74" s="2" t="str">
        <f>IF(AND(AllData[[#This Row],[Time]]&lt;0.5, AllData[[#This Row],[Time]]&gt;0.17)=TRUE, "Morning", IF(AND(AllData[[#This Row],[Time]]&lt;0.75, AllData[[#This Row],[Time]]&gt;=0.5)=TRUE, "Afternoon", IF(AND(AllData[[#This Row],[Time]]&lt;1, AllData[[#This Row],[Time]]&gt;=0.75)=TRUE, "Evening", "Night")))</f>
        <v>Afternoon</v>
      </c>
      <c r="G74" t="str">
        <f>_xlfn.XLOOKUP(AllData[[#This Row],[Location Name]], Locations[Location Name],Locations[Group As])</f>
        <v>Weston-on-Avon</v>
      </c>
      <c r="H74" t="e" vm="2">
        <f>_xlfn.XLOOKUP(AllData[[#This Row],[Site Name]],LocationsKey[Site Name],LocationsKey[District])</f>
        <v>#VALUE!</v>
      </c>
      <c r="I74" t="e" vm="6">
        <f>_xlfn.XLOOKUP(AllData[[#This Row],[Site Name]],LocationsKey[Site Name],LocationsKey[Town])</f>
        <v>#VALUE!</v>
      </c>
      <c r="J74" t="str">
        <f>_xlfn.XLOOKUP(AllData[[#This Row],[Site Name]],LocationsKey[Site Name], LocationsKey[Waterway])</f>
        <v>Avon</v>
      </c>
      <c r="K74" t="s">
        <v>41</v>
      </c>
      <c r="L74">
        <v>52.167430000000003</v>
      </c>
      <c r="M74">
        <v>-1.7744800000000001</v>
      </c>
      <c r="N74" t="s">
        <v>29</v>
      </c>
      <c r="O74">
        <v>976</v>
      </c>
      <c r="P74">
        <v>21.6</v>
      </c>
      <c r="Q74">
        <v>4</v>
      </c>
      <c r="R74" s="7" t="str">
        <f>IF(AllData[[#This Row],[Nitrate (PPM)]]&gt;2, "Very high", IF(AllData[[#This Row],[Nitrate (PPM)]]&gt;1, "High", IF(AllData[[#This Row],[Nitrate (PPM)]]&gt;0.5, "Some evidence", IF(AllData[[#This Row],[Nitrate (PPM)]]&gt;=0, "No evidence"))))</f>
        <v>Very high</v>
      </c>
      <c r="S74" s="4">
        <v>0.7</v>
      </c>
      <c r="T74" s="7" t="str">
        <f>IF(AllData[[#This Row],[Phosphate (PPM)]]&gt;0.5, "Very high", IF(AllData[[#This Row],[Phosphate (PPM)]]&gt;0.1, "High", IF(AllData[[#This Row],[Phosphate (PPM)]]&gt;0.05, "Some evidence", IF(AllData[[#This Row],[Phosphate (PPM)]]&lt;=0.05, "No Evidence", ""))))</f>
        <v>Very high</v>
      </c>
      <c r="U74">
        <v>0</v>
      </c>
    </row>
    <row r="75" spans="1:22" x14ac:dyDescent="0.25">
      <c r="A75" t="s">
        <v>139</v>
      </c>
      <c r="B75" s="2">
        <v>45175</v>
      </c>
      <c r="C75" s="2" t="str" cm="1">
        <f t="array" ref="C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
        <f>YEAR(AllData[[#This Row],[Date]])</f>
        <v>2023</v>
      </c>
      <c r="E75" s="1">
        <v>0.65694444444444444</v>
      </c>
      <c r="F75" s="2" t="str">
        <f>IF(AND(AllData[[#This Row],[Time]]&lt;0.5, AllData[[#This Row],[Time]]&gt;0.17)=TRUE, "Morning", IF(AND(AllData[[#This Row],[Time]]&lt;0.75, AllData[[#This Row],[Time]]&gt;=0.5)=TRUE, "Afternoon", IF(AND(AllData[[#This Row],[Time]]&lt;1, AllData[[#This Row],[Time]]&gt;=0.75)=TRUE, "Evening", "Night")))</f>
        <v>Afternoon</v>
      </c>
      <c r="G75" t="str">
        <f>_xlfn.XLOOKUP(AllData[[#This Row],[Location Name]], Locations[Location Name],Locations[Group As])</f>
        <v>Stour Newbold Mill</v>
      </c>
      <c r="H75" t="e" vm="2">
        <f>_xlfn.XLOOKUP(AllData[[#This Row],[Site Name]],LocationsKey[Site Name],LocationsKey[District])</f>
        <v>#VALUE!</v>
      </c>
      <c r="I75" t="e" vm="8">
        <f>_xlfn.XLOOKUP(AllData[[#This Row],[Site Name]],LocationsKey[Site Name],LocationsKey[Town])</f>
        <v>#VALUE!</v>
      </c>
      <c r="J75" t="str">
        <f>_xlfn.XLOOKUP(AllData[[#This Row],[Site Name]],LocationsKey[Site Name], LocationsKey[Waterway])</f>
        <v>Stour</v>
      </c>
      <c r="K75" t="s">
        <v>140</v>
      </c>
      <c r="L75">
        <v>52.113444999999999</v>
      </c>
      <c r="M75">
        <v>-1.6333759999999999</v>
      </c>
      <c r="N75" t="s">
        <v>29</v>
      </c>
      <c r="O75">
        <v>694</v>
      </c>
      <c r="P75">
        <v>19.7</v>
      </c>
      <c r="Q75">
        <v>10</v>
      </c>
      <c r="R75" s="7" t="str">
        <f>IF(AllData[[#This Row],[Nitrate (PPM)]]&gt;2, "Very high", IF(AllData[[#This Row],[Nitrate (PPM)]]&gt;1, "High", IF(AllData[[#This Row],[Nitrate (PPM)]]&gt;0.5, "Some evidence", IF(AllData[[#This Row],[Nitrate (PPM)]]&gt;=0, "No evidence"))))</f>
        <v>Very high</v>
      </c>
      <c r="S75" s="4">
        <v>0.56999999999999995</v>
      </c>
      <c r="T75" s="7" t="str">
        <f>IF(AllData[[#This Row],[Phosphate (PPM)]]&gt;0.5, "Very high", IF(AllData[[#This Row],[Phosphate (PPM)]]&gt;0.1, "High", IF(AllData[[#This Row],[Phosphate (PPM)]]&gt;0.05, "Some evidence", IF(AllData[[#This Row],[Phosphate (PPM)]]&lt;=0.05, "No Evidence", ""))))</f>
        <v>Very high</v>
      </c>
      <c r="U75">
        <v>2</v>
      </c>
      <c r="V75" t="s">
        <v>141</v>
      </c>
    </row>
    <row r="76" spans="1:22" x14ac:dyDescent="0.25">
      <c r="A76" t="s">
        <v>142</v>
      </c>
      <c r="B76" s="2">
        <v>45176</v>
      </c>
      <c r="C76" s="2" t="str" cm="1">
        <f t="array" ref="C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
        <f>YEAR(AllData[[#This Row],[Date]])</f>
        <v>2023</v>
      </c>
      <c r="E76" s="1">
        <v>0.46527777777777779</v>
      </c>
      <c r="F76" s="2" t="str">
        <f>IF(AND(AllData[[#This Row],[Time]]&lt;0.5, AllData[[#This Row],[Time]]&gt;0.17)=TRUE, "Morning", IF(AND(AllData[[#This Row],[Time]]&lt;0.75, AllData[[#This Row],[Time]]&gt;=0.5)=TRUE, "Afternoon", IF(AND(AllData[[#This Row],[Time]]&lt;1, AllData[[#This Row],[Time]]&gt;=0.75)=TRUE, "Evening", "Night")))</f>
        <v>Morning</v>
      </c>
      <c r="G76" t="str">
        <f>_xlfn.XLOOKUP(AllData[[#This Row],[Location Name]], Locations[Location Name],Locations[Group As])</f>
        <v>Swilgate</v>
      </c>
      <c r="H76" t="e" vm="1">
        <f>_xlfn.XLOOKUP(AllData[[#This Row],[Site Name]],LocationsKey[Site Name],LocationsKey[District])</f>
        <v>#VALUE!</v>
      </c>
      <c r="I76" t="e" vm="1">
        <f>_xlfn.XLOOKUP(AllData[[#This Row],[Site Name]],LocationsKey[Site Name],LocationsKey[Town])</f>
        <v>#VALUE!</v>
      </c>
      <c r="J76" t="str">
        <f>_xlfn.XLOOKUP(AllData[[#This Row],[Site Name]],LocationsKey[Site Name], LocationsKey[Waterway])</f>
        <v>Swilgate</v>
      </c>
      <c r="K76" t="s">
        <v>84</v>
      </c>
      <c r="N76" t="s">
        <v>23</v>
      </c>
      <c r="O76">
        <v>111</v>
      </c>
      <c r="P76">
        <v>20.2</v>
      </c>
      <c r="Q76">
        <v>8</v>
      </c>
      <c r="R76" s="7" t="str">
        <f>IF(AllData[[#This Row],[Nitrate (PPM)]]&gt;2, "Very high", IF(AllData[[#This Row],[Nitrate (PPM)]]&gt;1, "High", IF(AllData[[#This Row],[Nitrate (PPM)]]&gt;0.5, "Some evidence", IF(AllData[[#This Row],[Nitrate (PPM)]]&gt;=0, "No evidence"))))</f>
        <v>Very high</v>
      </c>
      <c r="S76" s="4"/>
      <c r="T76" s="7"/>
      <c r="U76">
        <v>0</v>
      </c>
      <c r="V76" t="s">
        <v>143</v>
      </c>
    </row>
    <row r="77" spans="1:22" x14ac:dyDescent="0.25">
      <c r="A77" t="s">
        <v>144</v>
      </c>
      <c r="B77" s="2">
        <v>45176</v>
      </c>
      <c r="C77" s="2" t="str" cm="1">
        <f t="array" ref="C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
        <f>YEAR(AllData[[#This Row],[Date]])</f>
        <v>2023</v>
      </c>
      <c r="E77" s="1">
        <v>0.55347222222222225</v>
      </c>
      <c r="F77" s="2" t="str">
        <f>IF(AND(AllData[[#This Row],[Time]]&lt;0.5, AllData[[#This Row],[Time]]&gt;0.17)=TRUE, "Morning", IF(AND(AllData[[#This Row],[Time]]&lt;0.75, AllData[[#This Row],[Time]]&gt;=0.5)=TRUE, "Afternoon", IF(AND(AllData[[#This Row],[Time]]&lt;1, AllData[[#This Row],[Time]]&gt;=0.75)=TRUE, "Evening", "Night")))</f>
        <v>Afternoon</v>
      </c>
      <c r="G77" t="str">
        <f>_xlfn.XLOOKUP(AllData[[#This Row],[Location Name]], Locations[Location Name],Locations[Group As])</f>
        <v>Preston-on-Stour River Bridge</v>
      </c>
      <c r="H77" t="e" vm="2">
        <f>_xlfn.XLOOKUP(AllData[[#This Row],[Site Name]],LocationsKey[Site Name],LocationsKey[District])</f>
        <v>#VALUE!</v>
      </c>
      <c r="I77" t="e" vm="9">
        <f>_xlfn.XLOOKUP(AllData[[#This Row],[Site Name]],LocationsKey[Site Name],LocationsKey[Town])</f>
        <v>#VALUE!</v>
      </c>
      <c r="J77" t="str">
        <f>_xlfn.XLOOKUP(AllData[[#This Row],[Site Name]],LocationsKey[Site Name], LocationsKey[Waterway])</f>
        <v>Stour</v>
      </c>
      <c r="K77" t="s">
        <v>145</v>
      </c>
      <c r="L77">
        <v>52.146562000000003</v>
      </c>
      <c r="M77">
        <v>-1.6991529999999999</v>
      </c>
      <c r="N77" t="s">
        <v>29</v>
      </c>
      <c r="O77" s="219">
        <v>712</v>
      </c>
      <c r="P77">
        <v>21.4</v>
      </c>
      <c r="Q77" s="219">
        <v>5</v>
      </c>
      <c r="R77" s="7" t="str">
        <f>IF(AllData[[#This Row],[Nitrate (PPM)]]&gt;2, "Very high", IF(AllData[[#This Row],[Nitrate (PPM)]]&gt;1, "High", IF(AllData[[#This Row],[Nitrate (PPM)]]&gt;0.5, "Some evidence", IF(AllData[[#This Row],[Nitrate (PPM)]]&gt;=0, "No evidence"))))</f>
        <v>Very high</v>
      </c>
      <c r="S77" s="221">
        <v>0.6</v>
      </c>
      <c r="T77" s="7" t="str">
        <f>IF(AllData[[#This Row],[Phosphate (PPM)]]&gt;0.5, "Very high", IF(AllData[[#This Row],[Phosphate (PPM)]]&gt;0.1, "High", IF(AllData[[#This Row],[Phosphate (PPM)]]&gt;0.05, "Some evidence", IF(AllData[[#This Row],[Phosphate (PPM)]]&lt;=0.05, "No Evidence", ""))))</f>
        <v>Very high</v>
      </c>
      <c r="U77">
        <v>4</v>
      </c>
      <c r="V77" t="s">
        <v>146</v>
      </c>
    </row>
    <row r="78" spans="1:22" x14ac:dyDescent="0.25">
      <c r="A78" t="s">
        <v>147</v>
      </c>
      <c r="B78" s="2">
        <v>45178</v>
      </c>
      <c r="C78" s="2" t="str" cm="1">
        <f t="array" ref="C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
        <f>YEAR(AllData[[#This Row],[Date]])</f>
        <v>2023</v>
      </c>
      <c r="E78" s="1">
        <v>0.46875</v>
      </c>
      <c r="F78" s="2" t="str">
        <f>IF(AND(AllData[[#This Row],[Time]]&lt;0.5, AllData[[#This Row],[Time]]&gt;0.17)=TRUE, "Morning", IF(AND(AllData[[#This Row],[Time]]&lt;0.75, AllData[[#This Row],[Time]]&gt;=0.5)=TRUE, "Afternoon", IF(AND(AllData[[#This Row],[Time]]&lt;1, AllData[[#This Row],[Time]]&gt;=0.75)=TRUE, "Evening", "Night")))</f>
        <v>Morning</v>
      </c>
      <c r="G78" t="str">
        <f>_xlfn.XLOOKUP(AllData[[#This Row],[Location Name]], Locations[Location Name],Locations[Group As])</f>
        <v>Avonbank Drive</v>
      </c>
      <c r="H78" t="e" vm="2">
        <f>_xlfn.XLOOKUP(AllData[[#This Row],[Site Name]],LocationsKey[Site Name],LocationsKey[District])</f>
        <v>#VALUE!</v>
      </c>
      <c r="I78" t="e" vm="7">
        <f>_xlfn.XLOOKUP(AllData[[#This Row],[Site Name]],LocationsKey[Site Name],LocationsKey[Town])</f>
        <v>#VALUE!</v>
      </c>
      <c r="J78" t="str">
        <f>_xlfn.XLOOKUP(AllData[[#This Row],[Site Name]],LocationsKey[Site Name], LocationsKey[Waterway])</f>
        <v>Avon</v>
      </c>
      <c r="K78" t="s">
        <v>103</v>
      </c>
      <c r="L78">
        <v>52.177</v>
      </c>
      <c r="M78">
        <v>-1.736</v>
      </c>
      <c r="N78" t="s">
        <v>66</v>
      </c>
      <c r="O78">
        <v>1030</v>
      </c>
      <c r="P78">
        <v>22.7</v>
      </c>
      <c r="Q78">
        <v>15</v>
      </c>
      <c r="R78" s="7" t="str">
        <f>IF(AllData[[#This Row],[Nitrate (PPM)]]&gt;2, "Very high", IF(AllData[[#This Row],[Nitrate (PPM)]]&gt;1, "High", IF(AllData[[#This Row],[Nitrate (PPM)]]&gt;0.5, "Some evidence", IF(AllData[[#This Row],[Nitrate (PPM)]]&gt;=0, "No evidence"))))</f>
        <v>Very high</v>
      </c>
      <c r="S78" s="4">
        <v>0.67</v>
      </c>
      <c r="T78" s="7" t="str">
        <f>IF(AllData[[#This Row],[Phosphate (PPM)]]&gt;0.5, "Very high", IF(AllData[[#This Row],[Phosphate (PPM)]]&gt;0.1, "High", IF(AllData[[#This Row],[Phosphate (PPM)]]&gt;0.05, "Some evidence", IF(AllData[[#This Row],[Phosphate (PPM)]]&lt;=0.05, "No Evidence", ""))))</f>
        <v>Very high</v>
      </c>
      <c r="U78">
        <v>1</v>
      </c>
    </row>
    <row r="79" spans="1:22" x14ac:dyDescent="0.25">
      <c r="A79" t="s">
        <v>148</v>
      </c>
      <c r="B79" s="2">
        <v>45178</v>
      </c>
      <c r="C79" s="2" t="str" cm="1">
        <f t="array" ref="C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
        <f>YEAR(AllData[[#This Row],[Date]])</f>
        <v>2023</v>
      </c>
      <c r="E79" s="1">
        <v>0.4861111111111111</v>
      </c>
      <c r="F79" s="2" t="str">
        <f>IF(AND(AllData[[#This Row],[Time]]&lt;0.5, AllData[[#This Row],[Time]]&gt;0.17)=TRUE, "Morning", IF(AND(AllData[[#This Row],[Time]]&lt;0.75, AllData[[#This Row],[Time]]&gt;=0.5)=TRUE, "Afternoon", IF(AND(AllData[[#This Row],[Time]]&lt;1, AllData[[#This Row],[Time]]&gt;=0.75)=TRUE, "Evening", "Night")))</f>
        <v>Morning</v>
      </c>
      <c r="G79" t="str">
        <f>_xlfn.XLOOKUP(AllData[[#This Row],[Location Name]], Locations[Location Name],Locations[Group As])</f>
        <v>Pitch 16</v>
      </c>
      <c r="H79" t="e" vm="2">
        <f>_xlfn.XLOOKUP(AllData[[#This Row],[Site Name]],LocationsKey[Site Name],LocationsKey[District])</f>
        <v>#VALUE!</v>
      </c>
      <c r="I79" t="e" vm="7">
        <f>_xlfn.XLOOKUP(AllData[[#This Row],[Site Name]],LocationsKey[Site Name],LocationsKey[Town])</f>
        <v>#VALUE!</v>
      </c>
      <c r="J79" t="str">
        <f>_xlfn.XLOOKUP(AllData[[#This Row],[Site Name]],LocationsKey[Site Name], LocationsKey[Waterway])</f>
        <v>Avon</v>
      </c>
      <c r="K79" t="s">
        <v>69</v>
      </c>
      <c r="N79" t="s">
        <v>29</v>
      </c>
      <c r="O79">
        <v>1010</v>
      </c>
      <c r="P79">
        <v>24.4</v>
      </c>
      <c r="Q79">
        <v>15</v>
      </c>
      <c r="R79" s="7" t="str">
        <f>IF(AllData[[#This Row],[Nitrate (PPM)]]&gt;2, "Very high", IF(AllData[[#This Row],[Nitrate (PPM)]]&gt;1, "High", IF(AllData[[#This Row],[Nitrate (PPM)]]&gt;0.5, "Some evidence", IF(AllData[[#This Row],[Nitrate (PPM)]]&gt;=0, "No evidence"))))</f>
        <v>Very high</v>
      </c>
      <c r="S79" s="4">
        <v>0.69</v>
      </c>
      <c r="T79" s="7" t="str">
        <f>IF(AllData[[#This Row],[Phosphate (PPM)]]&gt;0.5, "Very high", IF(AllData[[#This Row],[Phosphate (PPM)]]&gt;0.1, "High", IF(AllData[[#This Row],[Phosphate (PPM)]]&gt;0.05, "Some evidence", IF(AllData[[#This Row],[Phosphate (PPM)]]&lt;=0.05, "No Evidence", ""))))</f>
        <v>Very high</v>
      </c>
      <c r="U79">
        <v>1</v>
      </c>
    </row>
    <row r="80" spans="1:22" x14ac:dyDescent="0.25">
      <c r="A80" t="s">
        <v>149</v>
      </c>
      <c r="B80" s="2">
        <v>45178</v>
      </c>
      <c r="C80" s="2" t="str" cm="1">
        <f t="array" ref="C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
        <f>YEAR(AllData[[#This Row],[Date]])</f>
        <v>2023</v>
      </c>
      <c r="E80" s="1">
        <v>0.58333333333333337</v>
      </c>
      <c r="F80" s="2" t="str">
        <f>IF(AND(AllData[[#This Row],[Time]]&lt;0.5, AllData[[#This Row],[Time]]&gt;0.17)=TRUE, "Morning", IF(AND(AllData[[#This Row],[Time]]&lt;0.75, AllData[[#This Row],[Time]]&gt;=0.5)=TRUE, "Afternoon", IF(AND(AllData[[#This Row],[Time]]&lt;1, AllData[[#This Row],[Time]]&gt;=0.75)=TRUE, "Evening", "Night")))</f>
        <v>Afternoon</v>
      </c>
      <c r="G80" t="str">
        <f>_xlfn.XLOOKUP(AllData[[#This Row],[Location Name]], Locations[Location Name],Locations[Group As])</f>
        <v>Carrant Bredon Rd</v>
      </c>
      <c r="H80" t="e" vm="1">
        <f>_xlfn.XLOOKUP(AllData[[#This Row],[Site Name]],LocationsKey[Site Name],LocationsKey[District])</f>
        <v>#VALUE!</v>
      </c>
      <c r="I80" t="e" vm="1">
        <f>_xlfn.XLOOKUP(AllData[[#This Row],[Site Name]],LocationsKey[Site Name],LocationsKey[Town])</f>
        <v>#VALUE!</v>
      </c>
      <c r="J80" t="str">
        <f>_xlfn.XLOOKUP(AllData[[#This Row],[Site Name]],LocationsKey[Site Name], LocationsKey[Waterway])</f>
        <v>Carrant</v>
      </c>
      <c r="K80" t="s">
        <v>90</v>
      </c>
      <c r="N80" t="s">
        <v>23</v>
      </c>
      <c r="O80" s="219">
        <v>684</v>
      </c>
      <c r="P80">
        <v>21.3</v>
      </c>
      <c r="Q80" s="219">
        <v>8</v>
      </c>
      <c r="R80" s="7" t="str">
        <f>IF(AllData[[#This Row],[Nitrate (PPM)]]&gt;2, "Very high", IF(AllData[[#This Row],[Nitrate (PPM)]]&gt;1, "High", IF(AllData[[#This Row],[Nitrate (PPM)]]&gt;0.5, "Some evidence", IF(AllData[[#This Row],[Nitrate (PPM)]]&gt;=0, "No evidence"))))</f>
        <v>Very high</v>
      </c>
      <c r="S80" s="221">
        <v>0.6</v>
      </c>
      <c r="T80" s="7" t="str">
        <f>IF(AllData[[#This Row],[Phosphate (PPM)]]&gt;0.5, "Very high", IF(AllData[[#This Row],[Phosphate (PPM)]]&gt;0.1, "High", IF(AllData[[#This Row],[Phosphate (PPM)]]&gt;0.05, "Some evidence", IF(AllData[[#This Row],[Phosphate (PPM)]]&lt;=0.05, "No Evidence", ""))))</f>
        <v>Very high</v>
      </c>
      <c r="U80">
        <v>0</v>
      </c>
    </row>
    <row r="81" spans="1:22" x14ac:dyDescent="0.25">
      <c r="A81" t="s">
        <v>150</v>
      </c>
      <c r="B81" s="2">
        <v>45179</v>
      </c>
      <c r="C81" s="2" t="str" cm="1">
        <f t="array" ref="C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
        <f>YEAR(AllData[[#This Row],[Date]])</f>
        <v>2023</v>
      </c>
      <c r="E81" s="1">
        <v>0.4861111111111111</v>
      </c>
      <c r="F81" s="2" t="str">
        <f>IF(AND(AllData[[#This Row],[Time]]&lt;0.5, AllData[[#This Row],[Time]]&gt;0.17)=TRUE, "Morning", IF(AND(AllData[[#This Row],[Time]]&lt;0.75, AllData[[#This Row],[Time]]&gt;=0.5)=TRUE, "Afternoon", IF(AND(AllData[[#This Row],[Time]]&lt;1, AllData[[#This Row],[Time]]&gt;=0.75)=TRUE, "Evening", "Night")))</f>
        <v>Morning</v>
      </c>
      <c r="G81" t="str">
        <f>_xlfn.XLOOKUP(AllData[[#This Row],[Location Name]], Locations[Location Name],Locations[Group As])</f>
        <v>Hampton Wood</v>
      </c>
      <c r="H81" t="e" vm="2">
        <f>_xlfn.XLOOKUP(AllData[[#This Row],[Site Name]],LocationsKey[Site Name],LocationsKey[District])</f>
        <v>#VALUE!</v>
      </c>
      <c r="I81" t="e" vm="3">
        <f>_xlfn.XLOOKUP(AllData[[#This Row],[Site Name]],LocationsKey[Site Name],LocationsKey[Town])</f>
        <v>#VALUE!</v>
      </c>
      <c r="J81" t="str">
        <f>_xlfn.XLOOKUP(AllData[[#This Row],[Site Name]],LocationsKey[Site Name], LocationsKey[Waterway])</f>
        <v>Avon</v>
      </c>
      <c r="K81" t="s">
        <v>34</v>
      </c>
      <c r="L81">
        <v>52.238149999999997</v>
      </c>
      <c r="M81">
        <v>-1.6245799999999999</v>
      </c>
      <c r="N81" t="s">
        <v>29</v>
      </c>
      <c r="O81">
        <v>984</v>
      </c>
      <c r="P81">
        <v>22.3</v>
      </c>
      <c r="Q81">
        <v>6</v>
      </c>
      <c r="R81" s="7" t="str">
        <f>IF(AllData[[#This Row],[Nitrate (PPM)]]&gt;2, "Very high", IF(AllData[[#This Row],[Nitrate (PPM)]]&gt;1, "High", IF(AllData[[#This Row],[Nitrate (PPM)]]&gt;0.5, "Some evidence", IF(AllData[[#This Row],[Nitrate (PPM)]]&gt;=0, "No evidence"))))</f>
        <v>Very high</v>
      </c>
      <c r="S81" s="4">
        <v>0.5</v>
      </c>
      <c r="T81" s="7" t="str">
        <f>IF(AllData[[#This Row],[Phosphate (PPM)]]&gt;0.5, "Very high", IF(AllData[[#This Row],[Phosphate (PPM)]]&gt;0.1, "High", IF(AllData[[#This Row],[Phosphate (PPM)]]&gt;0.05, "Some evidence", IF(AllData[[#This Row],[Phosphate (PPM)]]&lt;=0.05, "No Evidence", ""))))</f>
        <v>High</v>
      </c>
      <c r="U81">
        <v>0</v>
      </c>
    </row>
    <row r="82" spans="1:22" x14ac:dyDescent="0.25">
      <c r="A82" t="s">
        <v>151</v>
      </c>
      <c r="B82" s="2">
        <v>45179</v>
      </c>
      <c r="C82" s="2" t="str" cm="1">
        <f t="array" ref="C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
        <f>YEAR(AllData[[#This Row],[Date]])</f>
        <v>2023</v>
      </c>
      <c r="E82" s="1">
        <v>0.52083333333333337</v>
      </c>
      <c r="F82" s="2" t="str">
        <f>IF(AND(AllData[[#This Row],[Time]]&lt;0.5, AllData[[#This Row],[Time]]&gt;0.17)=TRUE, "Morning", IF(AND(AllData[[#This Row],[Time]]&lt;0.75, AllData[[#This Row],[Time]]&gt;=0.5)=TRUE, "Afternoon", IF(AND(AllData[[#This Row],[Time]]&lt;1, AllData[[#This Row],[Time]]&gt;=0.75)=TRUE, "Evening", "Night")))</f>
        <v>Afternoon</v>
      </c>
      <c r="G82" t="str">
        <f>_xlfn.XLOOKUP(AllData[[#This Row],[Location Name]], Locations[Location Name],Locations[Group As])</f>
        <v>Hampton Lucy</v>
      </c>
      <c r="H82" t="e" vm="2">
        <f>_xlfn.XLOOKUP(AllData[[#This Row],[Site Name]],LocationsKey[Site Name],LocationsKey[District])</f>
        <v>#VALUE!</v>
      </c>
      <c r="I82" t="e" vm="4">
        <f>_xlfn.XLOOKUP(AllData[[#This Row],[Site Name]],LocationsKey[Site Name],LocationsKey[Town])</f>
        <v>#VALUE!</v>
      </c>
      <c r="J82" t="str">
        <f>_xlfn.XLOOKUP(AllData[[#This Row],[Site Name]],LocationsKey[Site Name], LocationsKey[Waterway])</f>
        <v>Avon</v>
      </c>
      <c r="K82" t="s">
        <v>37</v>
      </c>
      <c r="L82">
        <v>52.211680000000001</v>
      </c>
      <c r="M82">
        <v>-1.6244400000000001</v>
      </c>
      <c r="N82" t="s">
        <v>23</v>
      </c>
      <c r="O82">
        <v>964</v>
      </c>
      <c r="P82">
        <v>21.6</v>
      </c>
      <c r="Q82">
        <v>7</v>
      </c>
      <c r="R82" s="7" t="str">
        <f>IF(AllData[[#This Row],[Nitrate (PPM)]]&gt;2, "Very high", IF(AllData[[#This Row],[Nitrate (PPM)]]&gt;1, "High", IF(AllData[[#This Row],[Nitrate (PPM)]]&gt;0.5, "Some evidence", IF(AllData[[#This Row],[Nitrate (PPM)]]&gt;=0, "No evidence"))))</f>
        <v>Very high</v>
      </c>
      <c r="S82" s="4">
        <v>0.69</v>
      </c>
      <c r="T82" s="7" t="str">
        <f>IF(AllData[[#This Row],[Phosphate (PPM)]]&gt;0.5, "Very high", IF(AllData[[#This Row],[Phosphate (PPM)]]&gt;0.1, "High", IF(AllData[[#This Row],[Phosphate (PPM)]]&gt;0.05, "Some evidence", IF(AllData[[#This Row],[Phosphate (PPM)]]&lt;=0.05, "No Evidence", ""))))</f>
        <v>Very high</v>
      </c>
      <c r="U82">
        <v>0</v>
      </c>
    </row>
    <row r="83" spans="1:22" x14ac:dyDescent="0.25">
      <c r="A83" t="s">
        <v>152</v>
      </c>
      <c r="B83" s="2">
        <v>45179</v>
      </c>
      <c r="C83" s="2" t="str" cm="1">
        <f t="array" ref="C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
        <f>YEAR(AllData[[#This Row],[Date]])</f>
        <v>2023</v>
      </c>
      <c r="E83" s="1">
        <v>0.75486111111111109</v>
      </c>
      <c r="F83" s="2" t="str">
        <f>IF(AND(AllData[[#This Row],[Time]]&lt;0.5, AllData[[#This Row],[Time]]&gt;0.17)=TRUE, "Morning", IF(AND(AllData[[#This Row],[Time]]&lt;0.75, AllData[[#This Row],[Time]]&gt;=0.5)=TRUE, "Afternoon", IF(AND(AllData[[#This Row],[Time]]&lt;1, AllData[[#This Row],[Time]]&gt;=0.75)=TRUE, "Evening", "Night")))</f>
        <v>Evening</v>
      </c>
      <c r="G83" t="str">
        <f>_xlfn.XLOOKUP(AllData[[#This Row],[Location Name]], Locations[Location Name],Locations[Group As])</f>
        <v>Abbey Mill</v>
      </c>
      <c r="H83" t="e" vm="1">
        <f>_xlfn.XLOOKUP(AllData[[#This Row],[Site Name]],LocationsKey[Site Name],LocationsKey[District])</f>
        <v>#VALUE!</v>
      </c>
      <c r="I83" t="e" vm="1">
        <f>_xlfn.XLOOKUP(AllData[[#This Row],[Site Name]],LocationsKey[Site Name],LocationsKey[Town])</f>
        <v>#VALUE!</v>
      </c>
      <c r="J83" t="str">
        <f>_xlfn.XLOOKUP(AllData[[#This Row],[Site Name]],LocationsKey[Site Name], LocationsKey[Waterway])</f>
        <v>Avon</v>
      </c>
      <c r="K83" t="s">
        <v>25</v>
      </c>
      <c r="L83">
        <v>51.99145</v>
      </c>
      <c r="M83">
        <v>-2.1628319999999999</v>
      </c>
      <c r="N83" t="s">
        <v>23</v>
      </c>
      <c r="O83">
        <v>1020</v>
      </c>
      <c r="P83">
        <v>23.3</v>
      </c>
      <c r="Q83">
        <v>10</v>
      </c>
      <c r="R83" s="7" t="str">
        <f>IF(AllData[[#This Row],[Nitrate (PPM)]]&gt;2, "Very high", IF(AllData[[#This Row],[Nitrate (PPM)]]&gt;1, "High", IF(AllData[[#This Row],[Nitrate (PPM)]]&gt;0.5, "Some evidence", IF(AllData[[#This Row],[Nitrate (PPM)]]&gt;=0, "No evidence"))))</f>
        <v>Very high</v>
      </c>
      <c r="S83" s="4">
        <v>0.97</v>
      </c>
      <c r="T83" s="7" t="str">
        <f>IF(AllData[[#This Row],[Phosphate (PPM)]]&gt;0.5, "Very high", IF(AllData[[#This Row],[Phosphate (PPM)]]&gt;0.1, "High", IF(AllData[[#This Row],[Phosphate (PPM)]]&gt;0.05, "Some evidence", IF(AllData[[#This Row],[Phosphate (PPM)]]&lt;=0.05, "No Evidence", ""))))</f>
        <v>Very high</v>
      </c>
      <c r="U83">
        <v>0</v>
      </c>
    </row>
    <row r="84" spans="1:22" x14ac:dyDescent="0.25">
      <c r="A84" t="s">
        <v>153</v>
      </c>
      <c r="B84" s="2">
        <v>45180</v>
      </c>
      <c r="C84" s="2" t="str" cm="1">
        <f t="array" ref="C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
        <f>YEAR(AllData[[#This Row],[Date]])</f>
        <v>2023</v>
      </c>
      <c r="E84" s="1">
        <v>0.78472222222222221</v>
      </c>
      <c r="F84" s="2" t="str">
        <f>IF(AND(AllData[[#This Row],[Time]]&lt;0.5, AllData[[#This Row],[Time]]&gt;0.17)=TRUE, "Morning", IF(AND(AllData[[#This Row],[Time]]&lt;0.75, AllData[[#This Row],[Time]]&gt;=0.5)=TRUE, "Afternoon", IF(AND(AllData[[#This Row],[Time]]&lt;1, AllData[[#This Row],[Time]]&gt;=0.75)=TRUE, "Evening", "Night")))</f>
        <v>Evening</v>
      </c>
      <c r="G84" t="str">
        <f>_xlfn.XLOOKUP(AllData[[#This Row],[Location Name]], Locations[Location Name],Locations[Group As])</f>
        <v>Stour Shipston Mill Bridge</v>
      </c>
      <c r="H84" t="e" vm="2">
        <f>_xlfn.XLOOKUP(AllData[[#This Row],[Site Name]],LocationsKey[Site Name],LocationsKey[District])</f>
        <v>#VALUE!</v>
      </c>
      <c r="I84" t="e" vm="10">
        <f>_xlfn.XLOOKUP(AllData[[#This Row],[Site Name]],LocationsKey[Site Name],LocationsKey[Town])</f>
        <v>#VALUE!</v>
      </c>
      <c r="J84" t="str">
        <f>_xlfn.XLOOKUP(AllData[[#This Row],[Site Name]],LocationsKey[Site Name], LocationsKey[Waterway])</f>
        <v>Stour</v>
      </c>
      <c r="K84" t="s">
        <v>154</v>
      </c>
      <c r="L84">
        <v>52.062027</v>
      </c>
      <c r="M84">
        <v>-1.6216390000000001</v>
      </c>
      <c r="N84" t="s">
        <v>23</v>
      </c>
      <c r="O84">
        <v>678</v>
      </c>
      <c r="P84">
        <v>20.100000000000001</v>
      </c>
      <c r="Q84">
        <v>4</v>
      </c>
      <c r="R84" s="7" t="str">
        <f>IF(AllData[[#This Row],[Nitrate (PPM)]]&gt;2, "Very high", IF(AllData[[#This Row],[Nitrate (PPM)]]&gt;1, "High", IF(AllData[[#This Row],[Nitrate (PPM)]]&gt;0.5, "Some evidence", IF(AllData[[#This Row],[Nitrate (PPM)]]&gt;=0, "No evidence"))))</f>
        <v>Very high</v>
      </c>
      <c r="S84" s="4">
        <v>0.69</v>
      </c>
      <c r="T84" s="7" t="str">
        <f>IF(AllData[[#This Row],[Phosphate (PPM)]]&gt;0.5, "Very high", IF(AllData[[#This Row],[Phosphate (PPM)]]&gt;0.1, "High", IF(AllData[[#This Row],[Phosphate (PPM)]]&gt;0.05, "Some evidence", IF(AllData[[#This Row],[Phosphate (PPM)]]&lt;=0.05, "No Evidence", ""))))</f>
        <v>Very high</v>
      </c>
      <c r="U84">
        <v>0</v>
      </c>
    </row>
    <row r="85" spans="1:22" x14ac:dyDescent="0.25">
      <c r="A85" t="s">
        <v>155</v>
      </c>
      <c r="B85" s="2">
        <v>45182</v>
      </c>
      <c r="C85" s="2" t="str" cm="1">
        <f t="array" ref="C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
        <f>YEAR(AllData[[#This Row],[Date]])</f>
        <v>2023</v>
      </c>
      <c r="E85" s="1">
        <v>0.67500000000000004</v>
      </c>
      <c r="F85" s="2" t="str">
        <f>IF(AND(AllData[[#This Row],[Time]]&lt;0.5, AllData[[#This Row],[Time]]&gt;0.17)=TRUE, "Morning", IF(AND(AllData[[#This Row],[Time]]&lt;0.75, AllData[[#This Row],[Time]]&gt;=0.5)=TRUE, "Afternoon", IF(AND(AllData[[#This Row],[Time]]&lt;1, AllData[[#This Row],[Time]]&gt;=0.75)=TRUE, "Evening", "Night")))</f>
        <v>Afternoon</v>
      </c>
      <c r="G85" t="str">
        <f>_xlfn.XLOOKUP(AllData[[#This Row],[Location Name]], Locations[Location Name],Locations[Group As])</f>
        <v>Stour Newbold Mill</v>
      </c>
      <c r="H85" t="e" vm="2">
        <f>_xlfn.XLOOKUP(AllData[[#This Row],[Site Name]],LocationsKey[Site Name],LocationsKey[District])</f>
        <v>#VALUE!</v>
      </c>
      <c r="I85" t="e" vm="8">
        <f>_xlfn.XLOOKUP(AllData[[#This Row],[Site Name]],LocationsKey[Site Name],LocationsKey[Town])</f>
        <v>#VALUE!</v>
      </c>
      <c r="J85" t="str">
        <f>_xlfn.XLOOKUP(AllData[[#This Row],[Site Name]],LocationsKey[Site Name], LocationsKey[Waterway])</f>
        <v>Stour</v>
      </c>
      <c r="K85" t="s">
        <v>156</v>
      </c>
      <c r="L85">
        <v>52.113387000000003</v>
      </c>
      <c r="M85">
        <v>-1.6333120000000001</v>
      </c>
      <c r="N85" t="s">
        <v>157</v>
      </c>
      <c r="O85">
        <v>729</v>
      </c>
      <c r="P85">
        <v>17.7</v>
      </c>
      <c r="Q85">
        <v>5</v>
      </c>
      <c r="R85" s="7" t="str">
        <f>IF(AllData[[#This Row],[Nitrate (PPM)]]&gt;2, "Very high", IF(AllData[[#This Row],[Nitrate (PPM)]]&gt;1, "High", IF(AllData[[#This Row],[Nitrate (PPM)]]&gt;0.5, "Some evidence", IF(AllData[[#This Row],[Nitrate (PPM)]]&gt;=0, "No evidence"))))</f>
        <v>Very high</v>
      </c>
      <c r="S85" s="4">
        <v>0.78</v>
      </c>
      <c r="T85" s="7" t="str">
        <f>IF(AllData[[#This Row],[Phosphate (PPM)]]&gt;0.5, "Very high", IF(AllData[[#This Row],[Phosphate (PPM)]]&gt;0.1, "High", IF(AllData[[#This Row],[Phosphate (PPM)]]&gt;0.05, "Some evidence", IF(AllData[[#This Row],[Phosphate (PPM)]]&lt;=0.05, "No Evidence", ""))))</f>
        <v>Very high</v>
      </c>
      <c r="U85">
        <v>2.1</v>
      </c>
      <c r="V85" t="s">
        <v>158</v>
      </c>
    </row>
    <row r="86" spans="1:22" x14ac:dyDescent="0.25">
      <c r="A86" t="s">
        <v>159</v>
      </c>
      <c r="B86" s="2">
        <v>45183</v>
      </c>
      <c r="C86" s="2" t="str" cm="1">
        <f t="array" ref="C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
        <f>YEAR(AllData[[#This Row],[Date]])</f>
        <v>2023</v>
      </c>
      <c r="E86" s="1">
        <v>0.46736111111111112</v>
      </c>
      <c r="F86" s="2" t="str">
        <f>IF(AND(AllData[[#This Row],[Time]]&lt;0.5, AllData[[#This Row],[Time]]&gt;0.17)=TRUE, "Morning", IF(AND(AllData[[#This Row],[Time]]&lt;0.75, AllData[[#This Row],[Time]]&gt;=0.5)=TRUE, "Afternoon", IF(AND(AllData[[#This Row],[Time]]&lt;1, AllData[[#This Row],[Time]]&gt;=0.75)=TRUE, "Evening", "Night")))</f>
        <v>Morning</v>
      </c>
      <c r="G86" t="str">
        <f>_xlfn.XLOOKUP(AllData[[#This Row],[Location Name]], Locations[Location Name],Locations[Group As])</f>
        <v>Stour Shipston Mill Bridge</v>
      </c>
      <c r="H86" t="e" vm="2">
        <f>_xlfn.XLOOKUP(AllData[[#This Row],[Site Name]],LocationsKey[Site Name],LocationsKey[District])</f>
        <v>#VALUE!</v>
      </c>
      <c r="I86" t="e" vm="10">
        <f>_xlfn.XLOOKUP(AllData[[#This Row],[Site Name]],LocationsKey[Site Name],LocationsKey[Town])</f>
        <v>#VALUE!</v>
      </c>
      <c r="J86" t="str">
        <f>_xlfn.XLOOKUP(AllData[[#This Row],[Site Name]],LocationsKey[Site Name], LocationsKey[Waterway])</f>
        <v>Stour</v>
      </c>
      <c r="K86" t="s">
        <v>160</v>
      </c>
      <c r="L86">
        <v>52.062075999999998</v>
      </c>
      <c r="M86">
        <v>-1.621772</v>
      </c>
      <c r="N86" t="s">
        <v>161</v>
      </c>
      <c r="O86">
        <v>656</v>
      </c>
      <c r="P86">
        <v>16.3</v>
      </c>
      <c r="Q86">
        <v>10</v>
      </c>
      <c r="R86" s="7" t="str">
        <f>IF(AllData[[#This Row],[Nitrate (PPM)]]&gt;2, "Very high", IF(AllData[[#This Row],[Nitrate (PPM)]]&gt;1, "High", IF(AllData[[#This Row],[Nitrate (PPM)]]&gt;0.5, "Some evidence", IF(AllData[[#This Row],[Nitrate (PPM)]]&gt;=0, "No evidence"))))</f>
        <v>Very high</v>
      </c>
      <c r="S86" s="4">
        <v>0.55000000000000004</v>
      </c>
      <c r="T86" s="7" t="str">
        <f>IF(AllData[[#This Row],[Phosphate (PPM)]]&gt;0.5, "Very high", IF(AllData[[#This Row],[Phosphate (PPM)]]&gt;0.1, "High", IF(AllData[[#This Row],[Phosphate (PPM)]]&gt;0.05, "Some evidence", IF(AllData[[#This Row],[Phosphate (PPM)]]&lt;=0.05, "No Evidence", ""))))</f>
        <v>Very high</v>
      </c>
      <c r="U86">
        <v>0.5</v>
      </c>
    </row>
    <row r="87" spans="1:22" x14ac:dyDescent="0.25">
      <c r="A87" t="s">
        <v>162</v>
      </c>
      <c r="B87" s="2">
        <v>45183</v>
      </c>
      <c r="C87" s="2" t="str" cm="1">
        <f t="array" ref="C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
        <f>YEAR(AllData[[#This Row],[Date]])</f>
        <v>2023</v>
      </c>
      <c r="E87" s="1">
        <v>0.5</v>
      </c>
      <c r="F87" s="2" t="str">
        <f>IF(AND(AllData[[#This Row],[Time]]&lt;0.5, AllData[[#This Row],[Time]]&gt;0.17)=TRUE, "Morning", IF(AND(AllData[[#This Row],[Time]]&lt;0.75, AllData[[#This Row],[Time]]&gt;=0.5)=TRUE, "Afternoon", IF(AND(AllData[[#This Row],[Time]]&lt;1, AllData[[#This Row],[Time]]&gt;=0.75)=TRUE, "Evening", "Night")))</f>
        <v>Afternoon</v>
      </c>
      <c r="G87" t="str">
        <f>_xlfn.XLOOKUP(AllData[[#This Row],[Location Name]], Locations[Location Name],Locations[Group As])</f>
        <v>Preston-on-Stour River Bridge</v>
      </c>
      <c r="H87" t="e" vm="2">
        <f>_xlfn.XLOOKUP(AllData[[#This Row],[Site Name]],LocationsKey[Site Name],LocationsKey[District])</f>
        <v>#VALUE!</v>
      </c>
      <c r="I87" t="e" vm="9">
        <f>_xlfn.XLOOKUP(AllData[[#This Row],[Site Name]],LocationsKey[Site Name],LocationsKey[Town])</f>
        <v>#VALUE!</v>
      </c>
      <c r="J87" t="str">
        <f>_xlfn.XLOOKUP(AllData[[#This Row],[Site Name]],LocationsKey[Site Name], LocationsKey[Waterway])</f>
        <v>Stour</v>
      </c>
      <c r="K87" t="s">
        <v>163</v>
      </c>
      <c r="L87">
        <v>52.146673999999997</v>
      </c>
      <c r="M87">
        <v>-1.6993199999999999</v>
      </c>
      <c r="N87" t="s">
        <v>29</v>
      </c>
      <c r="O87">
        <v>717</v>
      </c>
      <c r="P87">
        <v>17.7</v>
      </c>
      <c r="Q87">
        <v>5</v>
      </c>
      <c r="R87" s="7" t="str">
        <f>IF(AllData[[#This Row],[Nitrate (PPM)]]&gt;2, "Very high", IF(AllData[[#This Row],[Nitrate (PPM)]]&gt;1, "High", IF(AllData[[#This Row],[Nitrate (PPM)]]&gt;0.5, "Some evidence", IF(AllData[[#This Row],[Nitrate (PPM)]]&gt;=0, "No evidence"))))</f>
        <v>Very high</v>
      </c>
      <c r="S87" s="4">
        <v>0.6</v>
      </c>
      <c r="T87" s="7" t="str">
        <f>IF(AllData[[#This Row],[Phosphate (PPM)]]&gt;0.5, "Very high", IF(AllData[[#This Row],[Phosphate (PPM)]]&gt;0.1, "High", IF(AllData[[#This Row],[Phosphate (PPM)]]&gt;0.05, "Some evidence", IF(AllData[[#This Row],[Phosphate (PPM)]]&lt;=0.05, "No Evidence", ""))))</f>
        <v>Very high</v>
      </c>
      <c r="U87">
        <v>5</v>
      </c>
      <c r="V87" t="s">
        <v>164</v>
      </c>
    </row>
    <row r="88" spans="1:22" x14ac:dyDescent="0.25">
      <c r="A88" t="s">
        <v>165</v>
      </c>
      <c r="B88" s="2">
        <v>45183</v>
      </c>
      <c r="C88" s="2" t="str" cm="1">
        <f t="array" ref="C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
        <f>YEAR(AllData[[#This Row],[Date]])</f>
        <v>2023</v>
      </c>
      <c r="E88" s="1">
        <v>0.66666666666666663</v>
      </c>
      <c r="F88" s="2" t="str">
        <f>IF(AND(AllData[[#This Row],[Time]]&lt;0.5, AllData[[#This Row],[Time]]&gt;0.17)=TRUE, "Morning", IF(AND(AllData[[#This Row],[Time]]&lt;0.75, AllData[[#This Row],[Time]]&gt;=0.5)=TRUE, "Afternoon", IF(AND(AllData[[#This Row],[Time]]&lt;1, AllData[[#This Row],[Time]]&gt;=0.75)=TRUE, "Evening", "Night")))</f>
        <v>Afternoon</v>
      </c>
      <c r="G88" t="str">
        <f>_xlfn.XLOOKUP(AllData[[#This Row],[Location Name]], Locations[Location Name],Locations[Group As])</f>
        <v>Welford Boat Station</v>
      </c>
      <c r="H88" t="e" vm="2">
        <f>_xlfn.XLOOKUP(AllData[[#This Row],[Site Name]],LocationsKey[Site Name],LocationsKey[District])</f>
        <v>#VALUE!</v>
      </c>
      <c r="I88" t="e" vm="5">
        <f>_xlfn.XLOOKUP(AllData[[#This Row],[Site Name]],LocationsKey[Site Name],LocationsKey[Town])</f>
        <v>#VALUE!</v>
      </c>
      <c r="J88" t="str">
        <f>_xlfn.XLOOKUP(AllData[[#This Row],[Site Name]],LocationsKey[Site Name], LocationsKey[Waterway])</f>
        <v>Avon</v>
      </c>
      <c r="K88" t="s">
        <v>39</v>
      </c>
      <c r="L88">
        <v>52.175240000000002</v>
      </c>
      <c r="M88">
        <v>-1.7918700000000001</v>
      </c>
      <c r="N88" t="s">
        <v>29</v>
      </c>
      <c r="O88">
        <v>1026</v>
      </c>
      <c r="P88">
        <v>18.8</v>
      </c>
      <c r="Q88">
        <v>5</v>
      </c>
      <c r="R88" s="7" t="str">
        <f>IF(AllData[[#This Row],[Nitrate (PPM)]]&gt;2, "Very high", IF(AllData[[#This Row],[Nitrate (PPM)]]&gt;1, "High", IF(AllData[[#This Row],[Nitrate (PPM)]]&gt;0.5, "Some evidence", IF(AllData[[#This Row],[Nitrate (PPM)]]&gt;=0, "No evidence"))))</f>
        <v>Very high</v>
      </c>
      <c r="S88" s="4">
        <v>0.56999999999999995</v>
      </c>
      <c r="T88" s="7" t="str">
        <f>IF(AllData[[#This Row],[Phosphate (PPM)]]&gt;0.5, "Very high", IF(AllData[[#This Row],[Phosphate (PPM)]]&gt;0.1, "High", IF(AllData[[#This Row],[Phosphate (PPM)]]&gt;0.05, "Some evidence", IF(AllData[[#This Row],[Phosphate (PPM)]]&lt;=0.05, "No Evidence", ""))))</f>
        <v>Very high</v>
      </c>
      <c r="U88">
        <v>0</v>
      </c>
      <c r="V88" t="s">
        <v>166</v>
      </c>
    </row>
    <row r="89" spans="1:22" x14ac:dyDescent="0.25">
      <c r="A89" t="s">
        <v>167</v>
      </c>
      <c r="B89" s="2">
        <v>45185</v>
      </c>
      <c r="C89" s="2" t="str" cm="1">
        <f t="array" ref="C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
        <f>YEAR(AllData[[#This Row],[Date]])</f>
        <v>2023</v>
      </c>
      <c r="E89" s="1">
        <v>0.41319444444444442</v>
      </c>
      <c r="F89" s="2" t="str">
        <f>IF(AND(AllData[[#This Row],[Time]]&lt;0.5, AllData[[#This Row],[Time]]&gt;0.17)=TRUE, "Morning", IF(AND(AllData[[#This Row],[Time]]&lt;0.75, AllData[[#This Row],[Time]]&gt;=0.5)=TRUE, "Afternoon", IF(AND(AllData[[#This Row],[Time]]&lt;1, AllData[[#This Row],[Time]]&gt;=0.75)=TRUE, "Evening", "Night")))</f>
        <v>Morning</v>
      </c>
      <c r="G89" t="str">
        <f>_xlfn.XLOOKUP(AllData[[#This Row],[Location Name]], Locations[Location Name],Locations[Group As])</f>
        <v>Twyning Fleet</v>
      </c>
      <c r="H89" t="e" vm="1">
        <f>_xlfn.XLOOKUP(AllData[[#This Row],[Site Name]],LocationsKey[Site Name],LocationsKey[District])</f>
        <v>#VALUE!</v>
      </c>
      <c r="I89" t="str">
        <f>_xlfn.XLOOKUP(AllData[[#This Row],[Site Name]],LocationsKey[Site Name],LocationsKey[Town])</f>
        <v>Twyning Green</v>
      </c>
      <c r="J89" t="str">
        <f>_xlfn.XLOOKUP(AllData[[#This Row],[Site Name]],LocationsKey[Site Name], LocationsKey[Waterway])</f>
        <v>Avon</v>
      </c>
      <c r="K89" t="s">
        <v>54</v>
      </c>
      <c r="L89">
        <v>52.027113</v>
      </c>
      <c r="M89">
        <v>-2.1406619999999998</v>
      </c>
      <c r="N89" t="s">
        <v>29</v>
      </c>
      <c r="O89">
        <v>1010</v>
      </c>
      <c r="P89">
        <v>19.8</v>
      </c>
      <c r="Q89">
        <v>10</v>
      </c>
      <c r="R89" s="7" t="str">
        <f>IF(AllData[[#This Row],[Nitrate (PPM)]]&gt;2, "Very high", IF(AllData[[#This Row],[Nitrate (PPM)]]&gt;1, "High", IF(AllData[[#This Row],[Nitrate (PPM)]]&gt;0.5, "Some evidence", IF(AllData[[#This Row],[Nitrate (PPM)]]&gt;=0, "No evidence"))))</f>
        <v>Very high</v>
      </c>
      <c r="S89" s="4">
        <v>1.25</v>
      </c>
      <c r="T89" s="7" t="str">
        <f>IF(AllData[[#This Row],[Phosphate (PPM)]]&gt;0.5, "Very high", IF(AllData[[#This Row],[Phosphate (PPM)]]&gt;0.1, "High", IF(AllData[[#This Row],[Phosphate (PPM)]]&gt;0.05, "Some evidence", IF(AllData[[#This Row],[Phosphate (PPM)]]&lt;=0.05, "No Evidence", ""))))</f>
        <v>Very high</v>
      </c>
      <c r="U89">
        <v>0</v>
      </c>
      <c r="V89" t="s">
        <v>115</v>
      </c>
    </row>
    <row r="90" spans="1:22" x14ac:dyDescent="0.25">
      <c r="A90" t="s">
        <v>168</v>
      </c>
      <c r="B90" s="2">
        <v>45185</v>
      </c>
      <c r="C90" s="2" t="str" cm="1">
        <f t="array" ref="C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
        <f>YEAR(AllData[[#This Row],[Date]])</f>
        <v>2023</v>
      </c>
      <c r="E90" s="1">
        <v>0.44791666666666669</v>
      </c>
      <c r="F90" s="2" t="str">
        <f>IF(AND(AllData[[#This Row],[Time]]&lt;0.5, AllData[[#This Row],[Time]]&gt;0.17)=TRUE, "Morning", IF(AND(AllData[[#This Row],[Time]]&lt;0.75, AllData[[#This Row],[Time]]&gt;=0.5)=TRUE, "Afternoon", IF(AND(AllData[[#This Row],[Time]]&lt;1, AllData[[#This Row],[Time]]&gt;=0.75)=TRUE, "Evening", "Night")))</f>
        <v>Morning</v>
      </c>
      <c r="G90" t="str">
        <f>_xlfn.XLOOKUP(AllData[[#This Row],[Location Name]], Locations[Location Name],Locations[Group As])</f>
        <v>Pitch 16</v>
      </c>
      <c r="H90" t="e" vm="2">
        <f>_xlfn.XLOOKUP(AllData[[#This Row],[Site Name]],LocationsKey[Site Name],LocationsKey[District])</f>
        <v>#VALUE!</v>
      </c>
      <c r="I90" t="e" vm="7">
        <f>_xlfn.XLOOKUP(AllData[[#This Row],[Site Name]],LocationsKey[Site Name],LocationsKey[Town])</f>
        <v>#VALUE!</v>
      </c>
      <c r="J90" t="str">
        <f>_xlfn.XLOOKUP(AllData[[#This Row],[Site Name]],LocationsKey[Site Name], LocationsKey[Waterway])</f>
        <v>Avon</v>
      </c>
      <c r="K90" t="s">
        <v>69</v>
      </c>
      <c r="N90" t="s">
        <v>29</v>
      </c>
      <c r="O90">
        <v>966</v>
      </c>
      <c r="P90">
        <v>18.600000000000001</v>
      </c>
      <c r="Q90">
        <v>15</v>
      </c>
      <c r="R90" s="7" t="str">
        <f>IF(AllData[[#This Row],[Nitrate (PPM)]]&gt;2, "Very high", IF(AllData[[#This Row],[Nitrate (PPM)]]&gt;1, "High", IF(AllData[[#This Row],[Nitrate (PPM)]]&gt;0.5, "Some evidence", IF(AllData[[#This Row],[Nitrate (PPM)]]&gt;=0, "No evidence"))))</f>
        <v>Very high</v>
      </c>
      <c r="S90" s="4">
        <v>0.73</v>
      </c>
      <c r="T90" s="7" t="str">
        <f>IF(AllData[[#This Row],[Phosphate (PPM)]]&gt;0.5, "Very high", IF(AllData[[#This Row],[Phosphate (PPM)]]&gt;0.1, "High", IF(AllData[[#This Row],[Phosphate (PPM)]]&gt;0.05, "Some evidence", IF(AllData[[#This Row],[Phosphate (PPM)]]&lt;=0.05, "No Evidence", ""))))</f>
        <v>Very high</v>
      </c>
      <c r="U90">
        <v>1</v>
      </c>
    </row>
    <row r="91" spans="1:22" x14ac:dyDescent="0.25">
      <c r="A91" t="s">
        <v>169</v>
      </c>
      <c r="B91" s="2">
        <v>45185</v>
      </c>
      <c r="C91" s="2" t="str" cm="1">
        <f t="array" ref="C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
        <f>YEAR(AllData[[#This Row],[Date]])</f>
        <v>2023</v>
      </c>
      <c r="E91" s="1">
        <v>0.46180555555555558</v>
      </c>
      <c r="F91" s="2" t="str">
        <f>IF(AND(AllData[[#This Row],[Time]]&lt;0.5, AllData[[#This Row],[Time]]&gt;0.17)=TRUE, "Morning", IF(AND(AllData[[#This Row],[Time]]&lt;0.75, AllData[[#This Row],[Time]]&gt;=0.5)=TRUE, "Afternoon", IF(AND(AllData[[#This Row],[Time]]&lt;1, AllData[[#This Row],[Time]]&gt;=0.75)=TRUE, "Evening", "Night")))</f>
        <v>Morning</v>
      </c>
      <c r="G91" t="str">
        <f>_xlfn.XLOOKUP(AllData[[#This Row],[Location Name]], Locations[Location Name],Locations[Group As])</f>
        <v>Avonbank Drive</v>
      </c>
      <c r="H91" t="e" vm="2">
        <f>_xlfn.XLOOKUP(AllData[[#This Row],[Site Name]],LocationsKey[Site Name],LocationsKey[District])</f>
        <v>#VALUE!</v>
      </c>
      <c r="I91" t="e" vm="7">
        <f>_xlfn.XLOOKUP(AllData[[#This Row],[Site Name]],LocationsKey[Site Name],LocationsKey[Town])</f>
        <v>#VALUE!</v>
      </c>
      <c r="J91" t="str">
        <f>_xlfn.XLOOKUP(AllData[[#This Row],[Site Name]],LocationsKey[Site Name], LocationsKey[Waterway])</f>
        <v>Avon</v>
      </c>
      <c r="K91" t="s">
        <v>103</v>
      </c>
      <c r="L91">
        <v>52.177</v>
      </c>
      <c r="M91">
        <v>-1.736</v>
      </c>
      <c r="N91" t="s">
        <v>66</v>
      </c>
      <c r="O91">
        <v>921</v>
      </c>
      <c r="P91">
        <v>18.2</v>
      </c>
      <c r="Q91">
        <v>15</v>
      </c>
      <c r="R91" s="7" t="str">
        <f>IF(AllData[[#This Row],[Nitrate (PPM)]]&gt;2, "Very high", IF(AllData[[#This Row],[Nitrate (PPM)]]&gt;1, "High", IF(AllData[[#This Row],[Nitrate (PPM)]]&gt;0.5, "Some evidence", IF(AllData[[#This Row],[Nitrate (PPM)]]&gt;=0, "No evidence"))))</f>
        <v>Very high</v>
      </c>
      <c r="S91" s="4">
        <v>0.56000000000000005</v>
      </c>
      <c r="T91" s="7" t="str">
        <f>IF(AllData[[#This Row],[Phosphate (PPM)]]&gt;0.5, "Very high", IF(AllData[[#This Row],[Phosphate (PPM)]]&gt;0.1, "High", IF(AllData[[#This Row],[Phosphate (PPM)]]&gt;0.05, "Some evidence", IF(AllData[[#This Row],[Phosphate (PPM)]]&lt;=0.05, "No Evidence", ""))))</f>
        <v>Very high</v>
      </c>
      <c r="U91">
        <v>1</v>
      </c>
    </row>
    <row r="92" spans="1:22" x14ac:dyDescent="0.25">
      <c r="A92" t="s">
        <v>170</v>
      </c>
      <c r="B92" s="2">
        <v>45185</v>
      </c>
      <c r="C92" s="2" t="str" cm="1">
        <f t="array" ref="C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
        <f>YEAR(AllData[[#This Row],[Date]])</f>
        <v>2023</v>
      </c>
      <c r="E92" s="1">
        <v>0.6333333333333333</v>
      </c>
      <c r="F92" s="2" t="str">
        <f>IF(AND(AllData[[#This Row],[Time]]&lt;0.5, AllData[[#This Row],[Time]]&gt;0.17)=TRUE, "Morning", IF(AND(AllData[[#This Row],[Time]]&lt;0.75, AllData[[#This Row],[Time]]&gt;=0.5)=TRUE, "Afternoon", IF(AND(AllData[[#This Row],[Time]]&lt;1, AllData[[#This Row],[Time]]&gt;=0.75)=TRUE, "Evening", "Night")))</f>
        <v>Afternoon</v>
      </c>
      <c r="G92" t="str">
        <f>_xlfn.XLOOKUP(AllData[[#This Row],[Location Name]], Locations[Location Name],Locations[Group As])</f>
        <v>Abbey Mill</v>
      </c>
      <c r="H92" t="e" vm="1">
        <f>_xlfn.XLOOKUP(AllData[[#This Row],[Site Name]],LocationsKey[Site Name],LocationsKey[District])</f>
        <v>#VALUE!</v>
      </c>
      <c r="I92" t="e" vm="1">
        <f>_xlfn.XLOOKUP(AllData[[#This Row],[Site Name]],LocationsKey[Site Name],LocationsKey[Town])</f>
        <v>#VALUE!</v>
      </c>
      <c r="J92" t="str">
        <f>_xlfn.XLOOKUP(AllData[[#This Row],[Site Name]],LocationsKey[Site Name], LocationsKey[Waterway])</f>
        <v>Avon</v>
      </c>
      <c r="K92" t="s">
        <v>22</v>
      </c>
      <c r="L92">
        <v>51.991416000000001</v>
      </c>
      <c r="M92">
        <v>-2.1629619999999998</v>
      </c>
      <c r="N92" t="s">
        <v>23</v>
      </c>
      <c r="P92">
        <v>20</v>
      </c>
      <c r="Q92">
        <v>5</v>
      </c>
      <c r="R92" s="7" t="str">
        <f>IF(AllData[[#This Row],[Nitrate (PPM)]]&gt;2, "Very high", IF(AllData[[#This Row],[Nitrate (PPM)]]&gt;1, "High", IF(AllData[[#This Row],[Nitrate (PPM)]]&gt;0.5, "Some evidence", IF(AllData[[#This Row],[Nitrate (PPM)]]&gt;=0, "No evidence"))))</f>
        <v>Very high</v>
      </c>
      <c r="S92" s="4">
        <v>1.1000000000000001</v>
      </c>
      <c r="T92" s="7" t="str">
        <f>IF(AllData[[#This Row],[Phosphate (PPM)]]&gt;0.5, "Very high", IF(AllData[[#This Row],[Phosphate (PPM)]]&gt;0.1, "High", IF(AllData[[#This Row],[Phosphate (PPM)]]&gt;0.05, "Some evidence", IF(AllData[[#This Row],[Phosphate (PPM)]]&lt;=0.05, "No Evidence", ""))))</f>
        <v>Very high</v>
      </c>
      <c r="U92">
        <v>0</v>
      </c>
    </row>
    <row r="93" spans="1:22" x14ac:dyDescent="0.25">
      <c r="A93" t="s">
        <v>171</v>
      </c>
      <c r="B93" s="2">
        <v>45186</v>
      </c>
      <c r="C93" s="2" t="str" cm="1">
        <f t="array" ref="C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
        <f>YEAR(AllData[[#This Row],[Date]])</f>
        <v>2023</v>
      </c>
      <c r="E93" s="1">
        <v>0.5</v>
      </c>
      <c r="F93" s="2" t="str">
        <f>IF(AND(AllData[[#This Row],[Time]]&lt;0.5, AllData[[#This Row],[Time]]&gt;0.17)=TRUE, "Morning", IF(AND(AllData[[#This Row],[Time]]&lt;0.75, AllData[[#This Row],[Time]]&gt;=0.5)=TRUE, "Afternoon", IF(AND(AllData[[#This Row],[Time]]&lt;1, AllData[[#This Row],[Time]]&gt;=0.75)=TRUE, "Evening", "Night")))</f>
        <v>Afternoon</v>
      </c>
      <c r="G93" t="str">
        <f>_xlfn.XLOOKUP(AllData[[#This Row],[Location Name]], Locations[Location Name],Locations[Group As])</f>
        <v>Hampton Wood</v>
      </c>
      <c r="H93" t="e" vm="2">
        <f>_xlfn.XLOOKUP(AllData[[#This Row],[Site Name]],LocationsKey[Site Name],LocationsKey[District])</f>
        <v>#VALUE!</v>
      </c>
      <c r="I93" t="e" vm="3">
        <f>_xlfn.XLOOKUP(AllData[[#This Row],[Site Name]],LocationsKey[Site Name],LocationsKey[Town])</f>
        <v>#VALUE!</v>
      </c>
      <c r="J93" t="str">
        <f>_xlfn.XLOOKUP(AllData[[#This Row],[Site Name]],LocationsKey[Site Name], LocationsKey[Waterway])</f>
        <v>Avon</v>
      </c>
      <c r="K93" t="s">
        <v>34</v>
      </c>
      <c r="L93">
        <v>52.238149999999997</v>
      </c>
      <c r="M93">
        <v>-1.6245799999999999</v>
      </c>
      <c r="N93" t="s">
        <v>29</v>
      </c>
      <c r="O93">
        <v>912</v>
      </c>
      <c r="P93">
        <v>18.8</v>
      </c>
      <c r="Q93">
        <v>6</v>
      </c>
      <c r="R93" s="7" t="str">
        <f>IF(AllData[[#This Row],[Nitrate (PPM)]]&gt;2, "Very high", IF(AllData[[#This Row],[Nitrate (PPM)]]&gt;1, "High", IF(AllData[[#This Row],[Nitrate (PPM)]]&gt;0.5, "Some evidence", IF(AllData[[#This Row],[Nitrate (PPM)]]&gt;=0, "No evidence"))))</f>
        <v>Very high</v>
      </c>
      <c r="S93" s="4">
        <v>0.62</v>
      </c>
      <c r="T93" s="7" t="str">
        <f>IF(AllData[[#This Row],[Phosphate (PPM)]]&gt;0.5, "Very high", IF(AllData[[#This Row],[Phosphate (PPM)]]&gt;0.1, "High", IF(AllData[[#This Row],[Phosphate (PPM)]]&gt;0.05, "Some evidence", IF(AllData[[#This Row],[Phosphate (PPM)]]&lt;=0.05, "No Evidence", ""))))</f>
        <v>Very high</v>
      </c>
      <c r="U93">
        <v>0</v>
      </c>
    </row>
    <row r="94" spans="1:22" x14ac:dyDescent="0.25">
      <c r="A94" t="s">
        <v>172</v>
      </c>
      <c r="B94" s="2">
        <v>45186</v>
      </c>
      <c r="C94" s="2" t="str" cm="1">
        <f t="array" ref="C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
        <f>YEAR(AllData[[#This Row],[Date]])</f>
        <v>2023</v>
      </c>
      <c r="E94" s="1">
        <v>0.50069444444444444</v>
      </c>
      <c r="F94" s="2" t="str">
        <f>IF(AND(AllData[[#This Row],[Time]]&lt;0.5, AllData[[#This Row],[Time]]&gt;0.17)=TRUE, "Morning", IF(AND(AllData[[#This Row],[Time]]&lt;0.75, AllData[[#This Row],[Time]]&gt;=0.5)=TRUE, "Afternoon", IF(AND(AllData[[#This Row],[Time]]&lt;1, AllData[[#This Row],[Time]]&gt;=0.75)=TRUE, "Evening", "Night")))</f>
        <v>Afternoon</v>
      </c>
      <c r="G94" t="str">
        <f>_xlfn.XLOOKUP(AllData[[#This Row],[Location Name]], Locations[Location Name],Locations[Group As])</f>
        <v>Carrant Bredon Rd</v>
      </c>
      <c r="H94" t="e" vm="1">
        <f>_xlfn.XLOOKUP(AllData[[#This Row],[Site Name]],LocationsKey[Site Name],LocationsKey[District])</f>
        <v>#VALUE!</v>
      </c>
      <c r="I94" t="e" vm="1">
        <f>_xlfn.XLOOKUP(AllData[[#This Row],[Site Name]],LocationsKey[Site Name],LocationsKey[Town])</f>
        <v>#VALUE!</v>
      </c>
      <c r="J94" t="str">
        <f>_xlfn.XLOOKUP(AllData[[#This Row],[Site Name]],LocationsKey[Site Name], LocationsKey[Waterway])</f>
        <v>Carrant</v>
      </c>
      <c r="K94" t="s">
        <v>90</v>
      </c>
      <c r="N94" t="s">
        <v>23</v>
      </c>
      <c r="O94">
        <v>661</v>
      </c>
      <c r="P94">
        <v>16.600000000000001</v>
      </c>
      <c r="Q94">
        <v>7</v>
      </c>
      <c r="R94" s="7" t="str">
        <f>IF(AllData[[#This Row],[Nitrate (PPM)]]&gt;2, "Very high", IF(AllData[[#This Row],[Nitrate (PPM)]]&gt;1, "High", IF(AllData[[#This Row],[Nitrate (PPM)]]&gt;0.5, "Some evidence", IF(AllData[[#This Row],[Nitrate (PPM)]]&gt;=0, "No evidence"))))</f>
        <v>Very high</v>
      </c>
      <c r="S94" s="4">
        <v>0.68</v>
      </c>
      <c r="T94" s="7" t="str">
        <f>IF(AllData[[#This Row],[Phosphate (PPM)]]&gt;0.5, "Very high", IF(AllData[[#This Row],[Phosphate (PPM)]]&gt;0.1, "High", IF(AllData[[#This Row],[Phosphate (PPM)]]&gt;0.05, "Some evidence", IF(AllData[[#This Row],[Phosphate (PPM)]]&lt;=0.05, "No Evidence", ""))))</f>
        <v>Very high</v>
      </c>
      <c r="U94">
        <v>0</v>
      </c>
    </row>
    <row r="95" spans="1:22" x14ac:dyDescent="0.25">
      <c r="A95" t="s">
        <v>173</v>
      </c>
      <c r="B95" s="2">
        <v>45186</v>
      </c>
      <c r="C95" s="2" t="str" cm="1">
        <f t="array" ref="C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
        <f>YEAR(AllData[[#This Row],[Date]])</f>
        <v>2023</v>
      </c>
      <c r="E95" s="1">
        <v>0.52777777777777779</v>
      </c>
      <c r="F95" s="2" t="str">
        <f>IF(AND(AllData[[#This Row],[Time]]&lt;0.5, AllData[[#This Row],[Time]]&gt;0.17)=TRUE, "Morning", IF(AND(AllData[[#This Row],[Time]]&lt;0.75, AllData[[#This Row],[Time]]&gt;=0.5)=TRUE, "Afternoon", IF(AND(AllData[[#This Row],[Time]]&lt;1, AllData[[#This Row],[Time]]&gt;=0.75)=TRUE, "Evening", "Night")))</f>
        <v>Afternoon</v>
      </c>
      <c r="G95" t="str">
        <f>_xlfn.XLOOKUP(AllData[[#This Row],[Location Name]], Locations[Location Name],Locations[Group As])</f>
        <v>Hampton Lucy</v>
      </c>
      <c r="H95" t="e" vm="2">
        <f>_xlfn.XLOOKUP(AllData[[#This Row],[Site Name]],LocationsKey[Site Name],LocationsKey[District])</f>
        <v>#VALUE!</v>
      </c>
      <c r="I95" t="e" vm="4">
        <f>_xlfn.XLOOKUP(AllData[[#This Row],[Site Name]],LocationsKey[Site Name],LocationsKey[Town])</f>
        <v>#VALUE!</v>
      </c>
      <c r="J95" t="str">
        <f>_xlfn.XLOOKUP(AllData[[#This Row],[Site Name]],LocationsKey[Site Name], LocationsKey[Waterway])</f>
        <v>Avon</v>
      </c>
      <c r="K95" t="s">
        <v>37</v>
      </c>
      <c r="L95">
        <v>52.211680000000001</v>
      </c>
      <c r="M95">
        <v>-1.6244400000000001</v>
      </c>
      <c r="N95" t="s">
        <v>23</v>
      </c>
      <c r="O95" s="219">
        <v>854</v>
      </c>
      <c r="P95">
        <v>18.600000000000001</v>
      </c>
      <c r="Q95" s="219">
        <v>4</v>
      </c>
      <c r="R95" s="7" t="str">
        <f>IF(AllData[[#This Row],[Nitrate (PPM)]]&gt;2, "Very high", IF(AllData[[#This Row],[Nitrate (PPM)]]&gt;1, "High", IF(AllData[[#This Row],[Nitrate (PPM)]]&gt;0.5, "Some evidence", IF(AllData[[#This Row],[Nitrate (PPM)]]&gt;=0, "No evidence"))))</f>
        <v>Very high</v>
      </c>
      <c r="S95" s="221">
        <v>0.61</v>
      </c>
      <c r="T95" s="7" t="str">
        <f>IF(AllData[[#This Row],[Phosphate (PPM)]]&gt;0.5, "Very high", IF(AllData[[#This Row],[Phosphate (PPM)]]&gt;0.1, "High", IF(AllData[[#This Row],[Phosphate (PPM)]]&gt;0.05, "Some evidence", IF(AllData[[#This Row],[Phosphate (PPM)]]&lt;=0.05, "No Evidence", ""))))</f>
        <v>Very high</v>
      </c>
      <c r="U95">
        <v>0</v>
      </c>
    </row>
    <row r="96" spans="1:22" x14ac:dyDescent="0.25">
      <c r="A96" t="s">
        <v>174</v>
      </c>
      <c r="B96" s="2">
        <v>45186</v>
      </c>
      <c r="C96" s="2" t="str" cm="1">
        <f t="array" ref="C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
        <f>YEAR(AllData[[#This Row],[Date]])</f>
        <v>2023</v>
      </c>
      <c r="E96" s="1">
        <v>0.70833333333333337</v>
      </c>
      <c r="F96" s="2" t="str">
        <f>IF(AND(AllData[[#This Row],[Time]]&lt;0.5, AllData[[#This Row],[Time]]&gt;0.17)=TRUE, "Morning", IF(AND(AllData[[#This Row],[Time]]&lt;0.75, AllData[[#This Row],[Time]]&gt;=0.5)=TRUE, "Afternoon", IF(AND(AllData[[#This Row],[Time]]&lt;1, AllData[[#This Row],[Time]]&gt;=0.75)=TRUE, "Evening", "Night")))</f>
        <v>Afternoon</v>
      </c>
      <c r="G96" t="str">
        <f>_xlfn.XLOOKUP(AllData[[#This Row],[Location Name]], Locations[Location Name],Locations[Group As])</f>
        <v>Welford Boat Station</v>
      </c>
      <c r="H96" t="e" vm="2">
        <f>_xlfn.XLOOKUP(AllData[[#This Row],[Site Name]],LocationsKey[Site Name],LocationsKey[District])</f>
        <v>#VALUE!</v>
      </c>
      <c r="I96" t="e" vm="5">
        <f>_xlfn.XLOOKUP(AllData[[#This Row],[Site Name]],LocationsKey[Site Name],LocationsKey[Town])</f>
        <v>#VALUE!</v>
      </c>
      <c r="J96" t="str">
        <f>_xlfn.XLOOKUP(AllData[[#This Row],[Site Name]],LocationsKey[Site Name], LocationsKey[Waterway])</f>
        <v>Avon</v>
      </c>
      <c r="K96" t="s">
        <v>39</v>
      </c>
      <c r="L96">
        <v>52.175240000000002</v>
      </c>
      <c r="M96">
        <v>-1.7918700000000001</v>
      </c>
      <c r="N96" t="s">
        <v>29</v>
      </c>
      <c r="O96">
        <v>836</v>
      </c>
      <c r="P96">
        <v>18.2</v>
      </c>
      <c r="Q96">
        <v>4</v>
      </c>
      <c r="R96" s="7" t="str">
        <f>IF(AllData[[#This Row],[Nitrate (PPM)]]&gt;2, "Very high", IF(AllData[[#This Row],[Nitrate (PPM)]]&gt;1, "High", IF(AllData[[#This Row],[Nitrate (PPM)]]&gt;0.5, "Some evidence", IF(AllData[[#This Row],[Nitrate (PPM)]]&gt;=0, "No evidence"))))</f>
        <v>Very high</v>
      </c>
      <c r="S96" s="4">
        <v>0.65</v>
      </c>
      <c r="T96" s="7" t="str">
        <f>IF(AllData[[#This Row],[Phosphate (PPM)]]&gt;0.5, "Very high", IF(AllData[[#This Row],[Phosphate (PPM)]]&gt;0.1, "High", IF(AllData[[#This Row],[Phosphate (PPM)]]&gt;0.05, "Some evidence", IF(AllData[[#This Row],[Phosphate (PPM)]]&lt;=0.05, "No Evidence", ""))))</f>
        <v>Very high</v>
      </c>
      <c r="U96">
        <v>0</v>
      </c>
      <c r="V96" t="s">
        <v>175</v>
      </c>
    </row>
    <row r="97" spans="1:22" x14ac:dyDescent="0.25">
      <c r="A97" t="s">
        <v>176</v>
      </c>
      <c r="B97" s="2">
        <v>45187</v>
      </c>
      <c r="C97" s="2" t="str" cm="1">
        <f t="array" ref="C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
        <f>YEAR(AllData[[#This Row],[Date]])</f>
        <v>2023</v>
      </c>
      <c r="E97" s="1">
        <v>0.72916666666666663</v>
      </c>
      <c r="F97" s="2" t="str">
        <f>IF(AND(AllData[[#This Row],[Time]]&lt;0.5, AllData[[#This Row],[Time]]&gt;0.17)=TRUE, "Morning", IF(AND(AllData[[#This Row],[Time]]&lt;0.75, AllData[[#This Row],[Time]]&gt;=0.5)=TRUE, "Afternoon", IF(AND(AllData[[#This Row],[Time]]&lt;1, AllData[[#This Row],[Time]]&gt;=0.75)=TRUE, "Evening", "Night")))</f>
        <v>Afternoon</v>
      </c>
      <c r="G97" t="str">
        <f>_xlfn.XLOOKUP(AllData[[#This Row],[Location Name]], Locations[Location Name],Locations[Group As])</f>
        <v>Barton</v>
      </c>
      <c r="H97" t="e" vm="2">
        <f>_xlfn.XLOOKUP(AllData[[#This Row],[Site Name]],LocationsKey[Site Name],LocationsKey[District])</f>
        <v>#VALUE!</v>
      </c>
      <c r="I97" t="str">
        <f>_xlfn.XLOOKUP(AllData[[#This Row],[Site Name]],LocationsKey[Site Name],LocationsKey[Town])</f>
        <v>Barton</v>
      </c>
      <c r="J97" t="str">
        <f>_xlfn.XLOOKUP(AllData[[#This Row],[Site Name]],LocationsKey[Site Name], LocationsKey[Waterway])</f>
        <v>Avon</v>
      </c>
      <c r="K97" t="s">
        <v>49</v>
      </c>
      <c r="L97">
        <v>52.161209999999997</v>
      </c>
      <c r="M97">
        <v>-1.8301499999999999</v>
      </c>
      <c r="N97" t="s">
        <v>29</v>
      </c>
      <c r="O97">
        <v>872</v>
      </c>
      <c r="P97">
        <v>17.100000000000001</v>
      </c>
      <c r="R97" s="219"/>
      <c r="S97" s="4">
        <v>0.66</v>
      </c>
      <c r="T97" s="7" t="str">
        <f>IF(AllData[[#This Row],[Phosphate (PPM)]]&gt;0.5, "Very high", IF(AllData[[#This Row],[Phosphate (PPM)]]&gt;0.1, "High", IF(AllData[[#This Row],[Phosphate (PPM)]]&gt;0.05, "Some evidence", IF(AllData[[#This Row],[Phosphate (PPM)]]&lt;=0.05, "No Evidence", ""))))</f>
        <v>Very high</v>
      </c>
      <c r="U97">
        <v>0</v>
      </c>
      <c r="V97" t="s">
        <v>177</v>
      </c>
    </row>
    <row r="98" spans="1:22" x14ac:dyDescent="0.25">
      <c r="A98" t="s">
        <v>178</v>
      </c>
      <c r="B98" s="2">
        <v>45189</v>
      </c>
      <c r="C98" s="2" t="str" cm="1">
        <f t="array" ref="C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
        <f>YEAR(AllData[[#This Row],[Date]])</f>
        <v>2023</v>
      </c>
      <c r="E98" s="1">
        <v>0.70833333333333337</v>
      </c>
      <c r="F98" s="2" t="str">
        <f>IF(AND(AllData[[#This Row],[Time]]&lt;0.5, AllData[[#This Row],[Time]]&gt;0.17)=TRUE, "Morning", IF(AND(AllData[[#This Row],[Time]]&lt;0.75, AllData[[#This Row],[Time]]&gt;=0.5)=TRUE, "Afternoon", IF(AND(AllData[[#This Row],[Time]]&lt;1, AllData[[#This Row],[Time]]&gt;=0.75)=TRUE, "Evening", "Night")))</f>
        <v>Afternoon</v>
      </c>
      <c r="G98" t="str">
        <f>_xlfn.XLOOKUP(AllData[[#This Row],[Location Name]], Locations[Location Name],Locations[Group As])</f>
        <v>Stour Newbold Mill</v>
      </c>
      <c r="H98" t="e" vm="2">
        <f>_xlfn.XLOOKUP(AllData[[#This Row],[Site Name]],LocationsKey[Site Name],LocationsKey[District])</f>
        <v>#VALUE!</v>
      </c>
      <c r="I98" t="e" vm="8">
        <f>_xlfn.XLOOKUP(AllData[[#This Row],[Site Name]],LocationsKey[Site Name],LocationsKey[Town])</f>
        <v>#VALUE!</v>
      </c>
      <c r="J98" t="str">
        <f>_xlfn.XLOOKUP(AllData[[#This Row],[Site Name]],LocationsKey[Site Name], LocationsKey[Waterway])</f>
        <v>Stour</v>
      </c>
      <c r="K98" t="s">
        <v>140</v>
      </c>
      <c r="L98">
        <v>52.113469000000002</v>
      </c>
      <c r="M98">
        <v>-1.6333439999999999</v>
      </c>
      <c r="N98" t="s">
        <v>29</v>
      </c>
      <c r="O98">
        <v>668</v>
      </c>
      <c r="P98">
        <v>16.399999999999999</v>
      </c>
      <c r="Q98">
        <v>10</v>
      </c>
      <c r="R98" s="7" t="str">
        <f>IF(AllData[[#This Row],[Nitrate (PPM)]]&gt;2, "Very high", IF(AllData[[#This Row],[Nitrate (PPM)]]&gt;1, "High", IF(AllData[[#This Row],[Nitrate (PPM)]]&gt;0.5, "Some evidence", IF(AllData[[#This Row],[Nitrate (PPM)]]&gt;=0, "No evidence"))))</f>
        <v>Very high</v>
      </c>
      <c r="S98" s="4">
        <v>0.79</v>
      </c>
      <c r="T98" s="7" t="str">
        <f>IF(AllData[[#This Row],[Phosphate (PPM)]]&gt;0.5, "Very high", IF(AllData[[#This Row],[Phosphate (PPM)]]&gt;0.1, "High", IF(AllData[[#This Row],[Phosphate (PPM)]]&gt;0.05, "Some evidence", IF(AllData[[#This Row],[Phosphate (PPM)]]&lt;=0.05, "No Evidence", ""))))</f>
        <v>Very high</v>
      </c>
      <c r="U98">
        <v>2.1</v>
      </c>
      <c r="V98" t="s">
        <v>179</v>
      </c>
    </row>
    <row r="99" spans="1:22" x14ac:dyDescent="0.25">
      <c r="A99" t="s">
        <v>180</v>
      </c>
      <c r="B99" s="2">
        <v>45190</v>
      </c>
      <c r="C99" s="2" t="str" cm="1">
        <f t="array" ref="C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
        <f>YEAR(AllData[[#This Row],[Date]])</f>
        <v>2023</v>
      </c>
      <c r="E99" s="1">
        <v>0.42708333333333331</v>
      </c>
      <c r="F99" s="2" t="str">
        <f>IF(AND(AllData[[#This Row],[Time]]&lt;0.5, AllData[[#This Row],[Time]]&gt;0.17)=TRUE, "Morning", IF(AND(AllData[[#This Row],[Time]]&lt;0.75, AllData[[#This Row],[Time]]&gt;=0.5)=TRUE, "Afternoon", IF(AND(AllData[[#This Row],[Time]]&lt;1, AllData[[#This Row],[Time]]&gt;=0.75)=TRUE, "Evening", "Night")))</f>
        <v>Morning</v>
      </c>
      <c r="G99" t="str">
        <f>_xlfn.XLOOKUP(AllData[[#This Row],[Location Name]], Locations[Location Name],Locations[Group As])</f>
        <v>Swilgate</v>
      </c>
      <c r="H99" t="e" vm="1">
        <f>_xlfn.XLOOKUP(AllData[[#This Row],[Site Name]],LocationsKey[Site Name],LocationsKey[District])</f>
        <v>#VALUE!</v>
      </c>
      <c r="I99" t="e" vm="1">
        <f>_xlfn.XLOOKUP(AllData[[#This Row],[Site Name]],LocationsKey[Site Name],LocationsKey[Town])</f>
        <v>#VALUE!</v>
      </c>
      <c r="J99" t="str">
        <f>_xlfn.XLOOKUP(AllData[[#This Row],[Site Name]],LocationsKey[Site Name], LocationsKey[Waterway])</f>
        <v>Swilgate</v>
      </c>
      <c r="K99" t="s">
        <v>84</v>
      </c>
      <c r="N99" t="s">
        <v>23</v>
      </c>
      <c r="O99">
        <v>736</v>
      </c>
      <c r="P99">
        <v>15.8</v>
      </c>
      <c r="Q99">
        <v>7</v>
      </c>
      <c r="R99" s="7" t="str">
        <f>IF(AllData[[#This Row],[Nitrate (PPM)]]&gt;2, "Very high", IF(AllData[[#This Row],[Nitrate (PPM)]]&gt;1, "High", IF(AllData[[#This Row],[Nitrate (PPM)]]&gt;0.5, "Some evidence", IF(AllData[[#This Row],[Nitrate (PPM)]]&gt;=0, "No evidence"))))</f>
        <v>Very high</v>
      </c>
      <c r="S99" s="4">
        <v>0.83</v>
      </c>
      <c r="T99" s="7" t="str">
        <f>IF(AllData[[#This Row],[Phosphate (PPM)]]&gt;0.5, "Very high", IF(AllData[[#This Row],[Phosphate (PPM)]]&gt;0.1, "High", IF(AllData[[#This Row],[Phosphate (PPM)]]&gt;0.05, "Some evidence", IF(AllData[[#This Row],[Phosphate (PPM)]]&lt;=0.05, "No Evidence", ""))))</f>
        <v>Very high</v>
      </c>
      <c r="U99">
        <v>0</v>
      </c>
    </row>
    <row r="100" spans="1:22" x14ac:dyDescent="0.25">
      <c r="A100" t="s">
        <v>181</v>
      </c>
      <c r="B100" s="2">
        <v>45190</v>
      </c>
      <c r="C100" s="2" t="str" cm="1">
        <f t="array" ref="C1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
        <f>YEAR(AllData[[#This Row],[Date]])</f>
        <v>2023</v>
      </c>
      <c r="E100" s="1">
        <v>0.4375</v>
      </c>
      <c r="F100" s="2" t="str">
        <f>IF(AND(AllData[[#This Row],[Time]]&lt;0.5, AllData[[#This Row],[Time]]&gt;0.17)=TRUE, "Morning", IF(AND(AllData[[#This Row],[Time]]&lt;0.75, AllData[[#This Row],[Time]]&gt;=0.5)=TRUE, "Afternoon", IF(AND(AllData[[#This Row],[Time]]&lt;1, AllData[[#This Row],[Time]]&gt;=0.75)=TRUE, "Evening", "Night")))</f>
        <v>Morning</v>
      </c>
      <c r="G100" t="str">
        <f>_xlfn.XLOOKUP(AllData[[#This Row],[Location Name]], Locations[Location Name],Locations[Group As])</f>
        <v>Abbey Mill</v>
      </c>
      <c r="H100" t="e" vm="1">
        <f>_xlfn.XLOOKUP(AllData[[#This Row],[Site Name]],LocationsKey[Site Name],LocationsKey[District])</f>
        <v>#VALUE!</v>
      </c>
      <c r="I100" t="e" vm="1">
        <f>_xlfn.XLOOKUP(AllData[[#This Row],[Site Name]],LocationsKey[Site Name],LocationsKey[Town])</f>
        <v>#VALUE!</v>
      </c>
      <c r="J100" t="str">
        <f>_xlfn.XLOOKUP(AllData[[#This Row],[Site Name]],LocationsKey[Site Name], LocationsKey[Waterway])</f>
        <v>Avon</v>
      </c>
      <c r="K100" t="s">
        <v>22</v>
      </c>
      <c r="N100" t="s">
        <v>23</v>
      </c>
      <c r="O100">
        <v>105</v>
      </c>
      <c r="P100">
        <v>17.100000000000001</v>
      </c>
      <c r="Q100">
        <v>8</v>
      </c>
      <c r="R100" s="7" t="str">
        <f>IF(AllData[[#This Row],[Nitrate (PPM)]]&gt;2, "Very high", IF(AllData[[#This Row],[Nitrate (PPM)]]&gt;1, "High", IF(AllData[[#This Row],[Nitrate (PPM)]]&gt;0.5, "Some evidence", IF(AllData[[#This Row],[Nitrate (PPM)]]&gt;=0, "No evidence"))))</f>
        <v>Very high</v>
      </c>
      <c r="S100" s="4">
        <v>1.04</v>
      </c>
      <c r="T100" s="7" t="str">
        <f>IF(AllData[[#This Row],[Phosphate (PPM)]]&gt;0.5, "Very high", IF(AllData[[#This Row],[Phosphate (PPM)]]&gt;0.1, "High", IF(AllData[[#This Row],[Phosphate (PPM)]]&gt;0.05, "Some evidence", IF(AllData[[#This Row],[Phosphate (PPM)]]&lt;=0.05, "No Evidence", ""))))</f>
        <v>Very high</v>
      </c>
      <c r="U100">
        <v>0</v>
      </c>
    </row>
    <row r="101" spans="1:22" x14ac:dyDescent="0.25">
      <c r="A101" t="s">
        <v>182</v>
      </c>
      <c r="B101" s="2">
        <v>45190</v>
      </c>
      <c r="C101" s="2" t="str" cm="1">
        <f t="array" ref="C1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
        <f>YEAR(AllData[[#This Row],[Date]])</f>
        <v>2023</v>
      </c>
      <c r="E101" s="1">
        <v>0.58333333333333337</v>
      </c>
      <c r="F101" s="2" t="str">
        <f>IF(AND(AllData[[#This Row],[Time]]&lt;0.5, AllData[[#This Row],[Time]]&gt;0.17)=TRUE, "Morning", IF(AND(AllData[[#This Row],[Time]]&lt;0.75, AllData[[#This Row],[Time]]&gt;=0.5)=TRUE, "Afternoon", IF(AND(AllData[[#This Row],[Time]]&lt;1, AllData[[#This Row],[Time]]&gt;=0.75)=TRUE, "Evening", "Night")))</f>
        <v>Afternoon</v>
      </c>
      <c r="G101" t="str">
        <f>_xlfn.XLOOKUP(AllData[[#This Row],[Location Name]], Locations[Location Name],Locations[Group As])</f>
        <v>Preston-on-Stour River Bridge</v>
      </c>
      <c r="H101" t="e" vm="2">
        <f>_xlfn.XLOOKUP(AllData[[#This Row],[Site Name]],LocationsKey[Site Name],LocationsKey[District])</f>
        <v>#VALUE!</v>
      </c>
      <c r="I101" t="e" vm="9">
        <f>_xlfn.XLOOKUP(AllData[[#This Row],[Site Name]],LocationsKey[Site Name],LocationsKey[Town])</f>
        <v>#VALUE!</v>
      </c>
      <c r="J101" t="str">
        <f>_xlfn.XLOOKUP(AllData[[#This Row],[Site Name]],LocationsKey[Site Name], LocationsKey[Waterway])</f>
        <v>Stour</v>
      </c>
      <c r="K101" t="s">
        <v>183</v>
      </c>
      <c r="L101">
        <v>52.146552999999997</v>
      </c>
      <c r="M101">
        <v>-1.6992370000000001</v>
      </c>
      <c r="N101" t="s">
        <v>29</v>
      </c>
      <c r="O101" s="219">
        <v>671</v>
      </c>
      <c r="P101">
        <v>16.2</v>
      </c>
      <c r="Q101" s="219">
        <v>5</v>
      </c>
      <c r="R101" s="7" t="str">
        <f>IF(AllData[[#This Row],[Nitrate (PPM)]]&gt;2, "Very high", IF(AllData[[#This Row],[Nitrate (PPM)]]&gt;1, "High", IF(AllData[[#This Row],[Nitrate (PPM)]]&gt;0.5, "Some evidence", IF(AllData[[#This Row],[Nitrate (PPM)]]&gt;=0, "No evidence"))))</f>
        <v>Very high</v>
      </c>
      <c r="S101" s="221">
        <v>0.8</v>
      </c>
      <c r="T101" s="7" t="str">
        <f>IF(AllData[[#This Row],[Phosphate (PPM)]]&gt;0.5, "Very high", IF(AllData[[#This Row],[Phosphate (PPM)]]&gt;0.1, "High", IF(AllData[[#This Row],[Phosphate (PPM)]]&gt;0.05, "Some evidence", IF(AllData[[#This Row],[Phosphate (PPM)]]&lt;=0.05, "No Evidence", ""))))</f>
        <v>Very high</v>
      </c>
      <c r="U101">
        <v>7</v>
      </c>
      <c r="V101" t="s">
        <v>184</v>
      </c>
    </row>
    <row r="102" spans="1:22" x14ac:dyDescent="0.25">
      <c r="A102" t="s">
        <v>185</v>
      </c>
      <c r="B102" s="2">
        <v>45192</v>
      </c>
      <c r="C102" s="2" t="str" cm="1">
        <f t="array" ref="C1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
        <f>YEAR(AllData[[#This Row],[Date]])</f>
        <v>2023</v>
      </c>
      <c r="E102" s="1">
        <v>0.46527777777777779</v>
      </c>
      <c r="F102" s="2" t="str">
        <f>IF(AND(AllData[[#This Row],[Time]]&lt;0.5, AllData[[#This Row],[Time]]&gt;0.17)=TRUE, "Morning", IF(AND(AllData[[#This Row],[Time]]&lt;0.75, AllData[[#This Row],[Time]]&gt;=0.5)=TRUE, "Afternoon", IF(AND(AllData[[#This Row],[Time]]&lt;1, AllData[[#This Row],[Time]]&gt;=0.75)=TRUE, "Evening", "Night")))</f>
        <v>Morning</v>
      </c>
      <c r="G102" t="str">
        <f>_xlfn.XLOOKUP(AllData[[#This Row],[Location Name]], Locations[Location Name],Locations[Group As])</f>
        <v>Pitch 16</v>
      </c>
      <c r="H102" t="e" vm="2">
        <f>_xlfn.XLOOKUP(AllData[[#This Row],[Site Name]],LocationsKey[Site Name],LocationsKey[District])</f>
        <v>#VALUE!</v>
      </c>
      <c r="I102" t="e" vm="7">
        <f>_xlfn.XLOOKUP(AllData[[#This Row],[Site Name]],LocationsKey[Site Name],LocationsKey[Town])</f>
        <v>#VALUE!</v>
      </c>
      <c r="J102" t="str">
        <f>_xlfn.XLOOKUP(AllData[[#This Row],[Site Name]],LocationsKey[Site Name], LocationsKey[Waterway])</f>
        <v>Avon</v>
      </c>
      <c r="K102" t="s">
        <v>69</v>
      </c>
      <c r="L102">
        <v>52.172609000000001</v>
      </c>
      <c r="M102">
        <v>-1.7454480000000001</v>
      </c>
      <c r="N102" t="s">
        <v>29</v>
      </c>
      <c r="O102">
        <v>856</v>
      </c>
      <c r="P102">
        <v>15.5</v>
      </c>
      <c r="Q102">
        <v>15</v>
      </c>
      <c r="R102" s="7" t="str">
        <f>IF(AllData[[#This Row],[Nitrate (PPM)]]&gt;2, "Very high", IF(AllData[[#This Row],[Nitrate (PPM)]]&gt;1, "High", IF(AllData[[#This Row],[Nitrate (PPM)]]&gt;0.5, "Some evidence", IF(AllData[[#This Row],[Nitrate (PPM)]]&gt;=0, "No evidence"))))</f>
        <v>Very high</v>
      </c>
      <c r="S102" s="4">
        <v>0.97</v>
      </c>
      <c r="T102" s="7" t="str">
        <f>IF(AllData[[#This Row],[Phosphate (PPM)]]&gt;0.5, "Very high", IF(AllData[[#This Row],[Phosphate (PPM)]]&gt;0.1, "High", IF(AllData[[#This Row],[Phosphate (PPM)]]&gt;0.05, "Some evidence", IF(AllData[[#This Row],[Phosphate (PPM)]]&lt;=0.05, "No Evidence", ""))))</f>
        <v>Very high</v>
      </c>
      <c r="U102">
        <v>0.6</v>
      </c>
      <c r="V102" t="s">
        <v>186</v>
      </c>
    </row>
    <row r="103" spans="1:22" x14ac:dyDescent="0.25">
      <c r="A103" t="s">
        <v>187</v>
      </c>
      <c r="B103" s="2">
        <v>45192</v>
      </c>
      <c r="C103" s="2" t="str" cm="1">
        <f t="array" ref="C1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
        <f>YEAR(AllData[[#This Row],[Date]])</f>
        <v>2023</v>
      </c>
      <c r="E103" s="1">
        <v>0.48888888888888887</v>
      </c>
      <c r="F103" s="2" t="str">
        <f>IF(AND(AllData[[#This Row],[Time]]&lt;0.5, AllData[[#This Row],[Time]]&gt;0.17)=TRUE, "Morning", IF(AND(AllData[[#This Row],[Time]]&lt;0.75, AllData[[#This Row],[Time]]&gt;=0.5)=TRUE, "Afternoon", IF(AND(AllData[[#This Row],[Time]]&lt;1, AllData[[#This Row],[Time]]&gt;=0.75)=TRUE, "Evening", "Night")))</f>
        <v>Morning</v>
      </c>
      <c r="G103" t="str">
        <f>_xlfn.XLOOKUP(AllData[[#This Row],[Location Name]], Locations[Location Name],Locations[Group As])</f>
        <v>Avonbank Drive</v>
      </c>
      <c r="H103" t="e" vm="2">
        <f>_xlfn.XLOOKUP(AllData[[#This Row],[Site Name]],LocationsKey[Site Name],LocationsKey[District])</f>
        <v>#VALUE!</v>
      </c>
      <c r="I103" t="e" vm="7">
        <f>_xlfn.XLOOKUP(AllData[[#This Row],[Site Name]],LocationsKey[Site Name],LocationsKey[Town])</f>
        <v>#VALUE!</v>
      </c>
      <c r="J103" t="str">
        <f>_xlfn.XLOOKUP(AllData[[#This Row],[Site Name]],LocationsKey[Site Name], LocationsKey[Waterway])</f>
        <v>Avon</v>
      </c>
      <c r="K103" t="s">
        <v>65</v>
      </c>
      <c r="L103">
        <v>52.177247999999999</v>
      </c>
      <c r="M103">
        <v>-1.7358929999999999</v>
      </c>
      <c r="N103" t="s">
        <v>66</v>
      </c>
      <c r="O103">
        <v>882</v>
      </c>
      <c r="P103">
        <v>18.5</v>
      </c>
      <c r="Q103">
        <v>15</v>
      </c>
      <c r="R103" s="7" t="str">
        <f>IF(AllData[[#This Row],[Nitrate (PPM)]]&gt;2, "Very high", IF(AllData[[#This Row],[Nitrate (PPM)]]&gt;1, "High", IF(AllData[[#This Row],[Nitrate (PPM)]]&gt;0.5, "Some evidence", IF(AllData[[#This Row],[Nitrate (PPM)]]&gt;=0, "No evidence"))))</f>
        <v>Very high</v>
      </c>
      <c r="S103" s="4">
        <v>0.8</v>
      </c>
      <c r="T103" s="7" t="str">
        <f>IF(AllData[[#This Row],[Phosphate (PPM)]]&gt;0.5, "Very high", IF(AllData[[#This Row],[Phosphate (PPM)]]&gt;0.1, "High", IF(AllData[[#This Row],[Phosphate (PPM)]]&gt;0.05, "Some evidence", IF(AllData[[#This Row],[Phosphate (PPM)]]&lt;=0.05, "No Evidence", ""))))</f>
        <v>Very high</v>
      </c>
      <c r="U103">
        <v>0.6</v>
      </c>
    </row>
    <row r="104" spans="1:22" x14ac:dyDescent="0.25">
      <c r="A104" t="s">
        <v>188</v>
      </c>
      <c r="B104" s="2">
        <v>45192</v>
      </c>
      <c r="C104" s="2" t="str" cm="1">
        <f t="array" ref="C1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4">
        <f>YEAR(AllData[[#This Row],[Date]])</f>
        <v>2023</v>
      </c>
      <c r="E104" s="1">
        <v>0.53194444444444444</v>
      </c>
      <c r="F104" s="2" t="str">
        <f>IF(AND(AllData[[#This Row],[Time]]&lt;0.5, AllData[[#This Row],[Time]]&gt;0.17)=TRUE, "Morning", IF(AND(AllData[[#This Row],[Time]]&lt;0.75, AllData[[#This Row],[Time]]&gt;=0.5)=TRUE, "Afternoon", IF(AND(AllData[[#This Row],[Time]]&lt;1, AllData[[#This Row],[Time]]&gt;=0.75)=TRUE, "Evening", "Night")))</f>
        <v>Afternoon</v>
      </c>
      <c r="G104" t="str">
        <f>_xlfn.XLOOKUP(AllData[[#This Row],[Location Name]], Locations[Location Name],Locations[Group As])</f>
        <v>Trinity Church</v>
      </c>
      <c r="H104" t="e" vm="2">
        <f>_xlfn.XLOOKUP(AllData[[#This Row],[Site Name]],LocationsKey[Site Name],LocationsKey[District])</f>
        <v>#VALUE!</v>
      </c>
      <c r="I104" t="e" vm="7">
        <f>_xlfn.XLOOKUP(AllData[[#This Row],[Site Name]],LocationsKey[Site Name],LocationsKey[Town])</f>
        <v>#VALUE!</v>
      </c>
      <c r="J104" t="str">
        <f>_xlfn.XLOOKUP(AllData[[#This Row],[Site Name]],LocationsKey[Site Name], LocationsKey[Waterway])</f>
        <v>Avon</v>
      </c>
      <c r="K104" t="s">
        <v>189</v>
      </c>
      <c r="L104">
        <v>52.187393</v>
      </c>
      <c r="M104">
        <v>-1.706607</v>
      </c>
      <c r="N104" t="s">
        <v>80</v>
      </c>
      <c r="O104" s="219">
        <v>887</v>
      </c>
      <c r="P104">
        <v>16.600000000000001</v>
      </c>
      <c r="Q104" s="219">
        <v>15</v>
      </c>
      <c r="R104" s="7" t="str">
        <f>IF(AllData[[#This Row],[Nitrate (PPM)]]&gt;2, "Very high", IF(AllData[[#This Row],[Nitrate (PPM)]]&gt;1, "High", IF(AllData[[#This Row],[Nitrate (PPM)]]&gt;0.5, "Some evidence", IF(AllData[[#This Row],[Nitrate (PPM)]]&gt;=0, "No evidence"))))</f>
        <v>Very high</v>
      </c>
      <c r="S104" s="221">
        <v>0.6</v>
      </c>
      <c r="T104" s="7" t="str">
        <f>IF(AllData[[#This Row],[Phosphate (PPM)]]&gt;0.5, "Very high", IF(AllData[[#This Row],[Phosphate (PPM)]]&gt;0.1, "High", IF(AllData[[#This Row],[Phosphate (PPM)]]&gt;0.05, "Some evidence", IF(AllData[[#This Row],[Phosphate (PPM)]]&lt;=0.05, "No Evidence", ""))))</f>
        <v>Very high</v>
      </c>
      <c r="U104">
        <v>0.6</v>
      </c>
      <c r="V104" t="s">
        <v>190</v>
      </c>
    </row>
    <row r="105" spans="1:22" x14ac:dyDescent="0.25">
      <c r="A105" t="s">
        <v>191</v>
      </c>
      <c r="B105" s="2">
        <v>45192</v>
      </c>
      <c r="C105" s="2" t="str" cm="1">
        <f t="array" ref="C1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5">
        <f>YEAR(AllData[[#This Row],[Date]])</f>
        <v>2023</v>
      </c>
      <c r="E105" s="1">
        <v>0.60416666666666663</v>
      </c>
      <c r="F105" s="2" t="str">
        <f>IF(AND(AllData[[#This Row],[Time]]&lt;0.5, AllData[[#This Row],[Time]]&gt;0.17)=TRUE, "Morning", IF(AND(AllData[[#This Row],[Time]]&lt;0.75, AllData[[#This Row],[Time]]&gt;=0.5)=TRUE, "Afternoon", IF(AND(AllData[[#This Row],[Time]]&lt;1, AllData[[#This Row],[Time]]&gt;=0.75)=TRUE, "Evening", "Night")))</f>
        <v>Afternoon</v>
      </c>
      <c r="G105" t="str">
        <f>_xlfn.XLOOKUP(AllData[[#This Row],[Location Name]], Locations[Location Name],Locations[Group As])</f>
        <v>Carrant Bredon Rd</v>
      </c>
      <c r="H105" t="e" vm="1">
        <f>_xlfn.XLOOKUP(AllData[[#This Row],[Site Name]],LocationsKey[Site Name],LocationsKey[District])</f>
        <v>#VALUE!</v>
      </c>
      <c r="I105" t="e" vm="1">
        <f>_xlfn.XLOOKUP(AllData[[#This Row],[Site Name]],LocationsKey[Site Name],LocationsKey[Town])</f>
        <v>#VALUE!</v>
      </c>
      <c r="J105" t="str">
        <f>_xlfn.XLOOKUP(AllData[[#This Row],[Site Name]],LocationsKey[Site Name], LocationsKey[Waterway])</f>
        <v>Carrant</v>
      </c>
      <c r="K105" t="s">
        <v>90</v>
      </c>
      <c r="N105" t="s">
        <v>23</v>
      </c>
      <c r="O105" s="219">
        <v>655</v>
      </c>
      <c r="P105">
        <v>13.4</v>
      </c>
      <c r="Q105" s="219">
        <v>8</v>
      </c>
      <c r="R105" s="7" t="str">
        <f>IF(AllData[[#This Row],[Nitrate (PPM)]]&gt;2, "Very high", IF(AllData[[#This Row],[Nitrate (PPM)]]&gt;1, "High", IF(AllData[[#This Row],[Nitrate (PPM)]]&gt;0.5, "Some evidence", IF(AllData[[#This Row],[Nitrate (PPM)]]&gt;=0, "No evidence"))))</f>
        <v>Very high</v>
      </c>
      <c r="S105" s="221">
        <v>0.94</v>
      </c>
      <c r="T105" s="7" t="str">
        <f>IF(AllData[[#This Row],[Phosphate (PPM)]]&gt;0.5, "Very high", IF(AllData[[#This Row],[Phosphate (PPM)]]&gt;0.1, "High", IF(AllData[[#This Row],[Phosphate (PPM)]]&gt;0.05, "Some evidence", IF(AllData[[#This Row],[Phosphate (PPM)]]&lt;=0.05, "No Evidence", ""))))</f>
        <v>Very high</v>
      </c>
      <c r="U105">
        <v>0</v>
      </c>
    </row>
    <row r="106" spans="1:22" x14ac:dyDescent="0.25">
      <c r="A106" t="s">
        <v>192</v>
      </c>
      <c r="B106" s="2">
        <v>45196</v>
      </c>
      <c r="C106" s="2" t="str" cm="1">
        <f t="array" ref="C1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6">
        <f>YEAR(AllData[[#This Row],[Date]])</f>
        <v>2023</v>
      </c>
      <c r="E106" s="1">
        <v>0.67222222222222228</v>
      </c>
      <c r="F106" s="2" t="str">
        <f>IF(AND(AllData[[#This Row],[Time]]&lt;0.5, AllData[[#This Row],[Time]]&gt;0.17)=TRUE, "Morning", IF(AND(AllData[[#This Row],[Time]]&lt;0.75, AllData[[#This Row],[Time]]&gt;=0.5)=TRUE, "Afternoon", IF(AND(AllData[[#This Row],[Time]]&lt;1, AllData[[#This Row],[Time]]&gt;=0.75)=TRUE, "Evening", "Night")))</f>
        <v>Afternoon</v>
      </c>
      <c r="G106" t="str">
        <f>_xlfn.XLOOKUP(AllData[[#This Row],[Location Name]], Locations[Location Name],Locations[Group As])</f>
        <v>Stour Newbold Mill</v>
      </c>
      <c r="H106" t="e" vm="2">
        <f>_xlfn.XLOOKUP(AllData[[#This Row],[Site Name]],LocationsKey[Site Name],LocationsKey[District])</f>
        <v>#VALUE!</v>
      </c>
      <c r="I106" t="e" vm="8">
        <f>_xlfn.XLOOKUP(AllData[[#This Row],[Site Name]],LocationsKey[Site Name],LocationsKey[Town])</f>
        <v>#VALUE!</v>
      </c>
      <c r="J106" t="str">
        <f>_xlfn.XLOOKUP(AllData[[#This Row],[Site Name]],LocationsKey[Site Name], LocationsKey[Waterway])</f>
        <v>Stour</v>
      </c>
      <c r="K106" t="s">
        <v>140</v>
      </c>
      <c r="L106">
        <v>52.113517000000002</v>
      </c>
      <c r="M106">
        <v>-1.633219</v>
      </c>
      <c r="N106" t="s">
        <v>29</v>
      </c>
      <c r="O106">
        <v>687</v>
      </c>
      <c r="P106">
        <v>16.7</v>
      </c>
      <c r="Q106">
        <v>5</v>
      </c>
      <c r="R106" s="7" t="str">
        <f>IF(AllData[[#This Row],[Nitrate (PPM)]]&gt;2, "Very high", IF(AllData[[#This Row],[Nitrate (PPM)]]&gt;1, "High", IF(AllData[[#This Row],[Nitrate (PPM)]]&gt;0.5, "Some evidence", IF(AllData[[#This Row],[Nitrate (PPM)]]&gt;=0, "No evidence"))))</f>
        <v>Very high</v>
      </c>
      <c r="S106" s="4">
        <v>0.7</v>
      </c>
      <c r="T106" s="7" t="str">
        <f>IF(AllData[[#This Row],[Phosphate (PPM)]]&gt;0.5, "Very high", IF(AllData[[#This Row],[Phosphate (PPM)]]&gt;0.1, "High", IF(AllData[[#This Row],[Phosphate (PPM)]]&gt;0.05, "Some evidence", IF(AllData[[#This Row],[Phosphate (PPM)]]&lt;=0.05, "No Evidence", ""))))</f>
        <v>Very high</v>
      </c>
      <c r="U106">
        <v>2</v>
      </c>
      <c r="V106" t="s">
        <v>115</v>
      </c>
    </row>
    <row r="107" spans="1:22" x14ac:dyDescent="0.25">
      <c r="A107" t="s">
        <v>193</v>
      </c>
      <c r="B107" s="2">
        <v>45197</v>
      </c>
      <c r="C107" s="2" t="str" cm="1">
        <f t="array" ref="C1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7">
        <f>YEAR(AllData[[#This Row],[Date]])</f>
        <v>2023</v>
      </c>
      <c r="E107" s="1">
        <v>0.46875</v>
      </c>
      <c r="F107" s="2" t="str">
        <f>IF(AND(AllData[[#This Row],[Time]]&lt;0.5, AllData[[#This Row],[Time]]&gt;0.17)=TRUE, "Morning", IF(AND(AllData[[#This Row],[Time]]&lt;0.75, AllData[[#This Row],[Time]]&gt;=0.5)=TRUE, "Afternoon", IF(AND(AllData[[#This Row],[Time]]&lt;1, AllData[[#This Row],[Time]]&gt;=0.75)=TRUE, "Evening", "Night")))</f>
        <v>Morning</v>
      </c>
      <c r="G107" t="str">
        <f>_xlfn.XLOOKUP(AllData[[#This Row],[Location Name]], Locations[Location Name],Locations[Group As])</f>
        <v>Preston-on-Stour River Bridge</v>
      </c>
      <c r="H107" t="e" vm="2">
        <f>_xlfn.XLOOKUP(AllData[[#This Row],[Site Name]],LocationsKey[Site Name],LocationsKey[District])</f>
        <v>#VALUE!</v>
      </c>
      <c r="I107" t="e" vm="9">
        <f>_xlfn.XLOOKUP(AllData[[#This Row],[Site Name]],LocationsKey[Site Name],LocationsKey[Town])</f>
        <v>#VALUE!</v>
      </c>
      <c r="J107" t="str">
        <f>_xlfn.XLOOKUP(AllData[[#This Row],[Site Name]],LocationsKey[Site Name], LocationsKey[Waterway])</f>
        <v>Stour</v>
      </c>
      <c r="K107" t="s">
        <v>163</v>
      </c>
      <c r="L107">
        <v>52.146639</v>
      </c>
      <c r="M107">
        <v>-1.6990339999999999</v>
      </c>
      <c r="N107" t="s">
        <v>29</v>
      </c>
      <c r="O107">
        <v>705</v>
      </c>
      <c r="P107">
        <v>15.1</v>
      </c>
      <c r="Q107">
        <v>5</v>
      </c>
      <c r="R107" s="7" t="str">
        <f>IF(AllData[[#This Row],[Nitrate (PPM)]]&gt;2, "Very high", IF(AllData[[#This Row],[Nitrate (PPM)]]&gt;1, "High", IF(AllData[[#This Row],[Nitrate (PPM)]]&gt;0.5, "Some evidence", IF(AllData[[#This Row],[Nitrate (PPM)]]&gt;=0, "No evidence"))))</f>
        <v>Very high</v>
      </c>
      <c r="S107" s="4">
        <v>0.6</v>
      </c>
      <c r="T107" s="7" t="str">
        <f>IF(AllData[[#This Row],[Phosphate (PPM)]]&gt;0.5, "Very high", IF(AllData[[#This Row],[Phosphate (PPM)]]&gt;0.1, "High", IF(AllData[[#This Row],[Phosphate (PPM)]]&gt;0.05, "Some evidence", IF(AllData[[#This Row],[Phosphate (PPM)]]&lt;=0.05, "No Evidence", ""))))</f>
        <v>Very high</v>
      </c>
      <c r="U107">
        <v>6</v>
      </c>
      <c r="V107" t="s">
        <v>194</v>
      </c>
    </row>
    <row r="108" spans="1:22" x14ac:dyDescent="0.25">
      <c r="A108" t="s">
        <v>195</v>
      </c>
      <c r="B108" s="2">
        <v>45197</v>
      </c>
      <c r="C108" s="2" t="str" cm="1">
        <f t="array" ref="C1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8">
        <f>YEAR(AllData[[#This Row],[Date]])</f>
        <v>2023</v>
      </c>
      <c r="E108" s="1">
        <v>0.62916666666666665</v>
      </c>
      <c r="F108" s="2" t="str">
        <f>IF(AND(AllData[[#This Row],[Time]]&lt;0.5, AllData[[#This Row],[Time]]&gt;0.17)=TRUE, "Morning", IF(AND(AllData[[#This Row],[Time]]&lt;0.75, AllData[[#This Row],[Time]]&gt;=0.5)=TRUE, "Afternoon", IF(AND(AllData[[#This Row],[Time]]&lt;1, AllData[[#This Row],[Time]]&gt;=0.75)=TRUE, "Evening", "Night")))</f>
        <v>Afternoon</v>
      </c>
      <c r="G108" t="str">
        <f>_xlfn.XLOOKUP(AllData[[#This Row],[Location Name]], Locations[Location Name],Locations[Group As])</f>
        <v>Swilgate</v>
      </c>
      <c r="H108" t="e" vm="1">
        <f>_xlfn.XLOOKUP(AllData[[#This Row],[Site Name]],LocationsKey[Site Name],LocationsKey[District])</f>
        <v>#VALUE!</v>
      </c>
      <c r="I108" t="e" vm="1">
        <f>_xlfn.XLOOKUP(AllData[[#This Row],[Site Name]],LocationsKey[Site Name],LocationsKey[Town])</f>
        <v>#VALUE!</v>
      </c>
      <c r="J108" t="str">
        <f>_xlfn.XLOOKUP(AllData[[#This Row],[Site Name]],LocationsKey[Site Name], LocationsKey[Waterway])</f>
        <v>Swilgate</v>
      </c>
      <c r="K108" t="s">
        <v>84</v>
      </c>
      <c r="N108" t="s">
        <v>23</v>
      </c>
      <c r="O108">
        <v>813</v>
      </c>
      <c r="P108">
        <v>15.6</v>
      </c>
      <c r="Q108">
        <v>7</v>
      </c>
      <c r="R108" s="7" t="str">
        <f>IF(AllData[[#This Row],[Nitrate (PPM)]]&gt;2, "Very high", IF(AllData[[#This Row],[Nitrate (PPM)]]&gt;1, "High", IF(AllData[[#This Row],[Nitrate (PPM)]]&gt;0.5, "Some evidence", IF(AllData[[#This Row],[Nitrate (PPM)]]&gt;=0, "No evidence"))))</f>
        <v>Very high</v>
      </c>
      <c r="S108" s="4">
        <v>0.62</v>
      </c>
      <c r="T108" s="7" t="str">
        <f>IF(AllData[[#This Row],[Phosphate (PPM)]]&gt;0.5, "Very high", IF(AllData[[#This Row],[Phosphate (PPM)]]&gt;0.1, "High", IF(AllData[[#This Row],[Phosphate (PPM)]]&gt;0.05, "Some evidence", IF(AllData[[#This Row],[Phosphate (PPM)]]&lt;=0.05, "No Evidence", ""))))</f>
        <v>Very high</v>
      </c>
      <c r="U108">
        <v>0</v>
      </c>
    </row>
    <row r="109" spans="1:22" x14ac:dyDescent="0.25">
      <c r="A109" t="s">
        <v>197</v>
      </c>
      <c r="B109" s="2">
        <v>45199</v>
      </c>
      <c r="C109" s="2" t="str" cm="1">
        <f t="array" ref="C1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9">
        <f>YEAR(AllData[[#This Row],[Date]])</f>
        <v>2023</v>
      </c>
      <c r="E109" s="1">
        <v>0.39583333333333331</v>
      </c>
      <c r="F109" s="2" t="str">
        <f>IF(AND(AllData[[#This Row],[Time]]&lt;0.5, AllData[[#This Row],[Time]]&gt;0.17)=TRUE, "Morning", IF(AND(AllData[[#This Row],[Time]]&lt;0.75, AllData[[#This Row],[Time]]&gt;=0.5)=TRUE, "Afternoon", IF(AND(AllData[[#This Row],[Time]]&lt;1, AllData[[#This Row],[Time]]&gt;=0.75)=TRUE, "Evening", "Night")))</f>
        <v>Morning</v>
      </c>
      <c r="G109" t="str">
        <f>_xlfn.XLOOKUP(AllData[[#This Row],[Location Name]], Locations[Location Name],Locations[Group As])</f>
        <v>Avonbank Drive</v>
      </c>
      <c r="H109" t="e" vm="2">
        <f>_xlfn.XLOOKUP(AllData[[#This Row],[Site Name]],LocationsKey[Site Name],LocationsKey[District])</f>
        <v>#VALUE!</v>
      </c>
      <c r="I109" t="e" vm="7">
        <f>_xlfn.XLOOKUP(AllData[[#This Row],[Site Name]],LocationsKey[Site Name],LocationsKey[Town])</f>
        <v>#VALUE!</v>
      </c>
      <c r="J109" t="str">
        <f>_xlfn.XLOOKUP(AllData[[#This Row],[Site Name]],LocationsKey[Site Name], LocationsKey[Waterway])</f>
        <v>Avon</v>
      </c>
      <c r="K109" t="s">
        <v>103</v>
      </c>
      <c r="L109">
        <v>52.177</v>
      </c>
      <c r="M109">
        <v>-1.736</v>
      </c>
      <c r="N109" t="s">
        <v>66</v>
      </c>
      <c r="O109">
        <v>917</v>
      </c>
      <c r="P109">
        <v>18.899999999999999</v>
      </c>
      <c r="Q109">
        <v>10</v>
      </c>
      <c r="R109" s="7" t="str">
        <f>IF(AllData[[#This Row],[Nitrate (PPM)]]&gt;2, "Very high", IF(AllData[[#This Row],[Nitrate (PPM)]]&gt;1, "High", IF(AllData[[#This Row],[Nitrate (PPM)]]&gt;0.5, "Some evidence", IF(AllData[[#This Row],[Nitrate (PPM)]]&gt;=0, "No evidence"))))</f>
        <v>Very high</v>
      </c>
      <c r="S109" s="4">
        <v>0.95</v>
      </c>
      <c r="T109" s="7" t="str">
        <f>IF(AllData[[#This Row],[Phosphate (PPM)]]&gt;0.5, "Very high", IF(AllData[[#This Row],[Phosphate (PPM)]]&gt;0.1, "High", IF(AllData[[#This Row],[Phosphate (PPM)]]&gt;0.05, "Some evidence", IF(AllData[[#This Row],[Phosphate (PPM)]]&lt;=0.05, "No Evidence", ""))))</f>
        <v>Very high</v>
      </c>
      <c r="U109">
        <v>0.6</v>
      </c>
    </row>
    <row r="110" spans="1:22" x14ac:dyDescent="0.25">
      <c r="A110" t="s">
        <v>196</v>
      </c>
      <c r="B110" s="2">
        <v>45199</v>
      </c>
      <c r="C110" s="2" t="str" cm="1">
        <f t="array" ref="C1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0">
        <f>YEAR(AllData[[#This Row],[Date]])</f>
        <v>2023</v>
      </c>
      <c r="E110" s="1">
        <v>0.39583333333333331</v>
      </c>
      <c r="F110" s="2" t="str">
        <f>IF(AND(AllData[[#This Row],[Time]]&lt;0.5, AllData[[#This Row],[Time]]&gt;0.17)=TRUE, "Morning", IF(AND(AllData[[#This Row],[Time]]&lt;0.75, AllData[[#This Row],[Time]]&gt;=0.5)=TRUE, "Afternoon", IF(AND(AllData[[#This Row],[Time]]&lt;1, AllData[[#This Row],[Time]]&gt;=0.75)=TRUE, "Evening", "Night")))</f>
        <v>Morning</v>
      </c>
      <c r="G110" t="str">
        <f>_xlfn.XLOOKUP(AllData[[#This Row],[Location Name]], Locations[Location Name],Locations[Group As])</f>
        <v>Pitch 16</v>
      </c>
      <c r="H110" t="e" vm="2">
        <f>_xlfn.XLOOKUP(AllData[[#This Row],[Site Name]],LocationsKey[Site Name],LocationsKey[District])</f>
        <v>#VALUE!</v>
      </c>
      <c r="I110" t="e" vm="7">
        <f>_xlfn.XLOOKUP(AllData[[#This Row],[Site Name]],LocationsKey[Site Name],LocationsKey[Town])</f>
        <v>#VALUE!</v>
      </c>
      <c r="J110" t="str">
        <f>_xlfn.XLOOKUP(AllData[[#This Row],[Site Name]],LocationsKey[Site Name], LocationsKey[Waterway])</f>
        <v>Avon</v>
      </c>
      <c r="K110" t="s">
        <v>69</v>
      </c>
      <c r="N110" t="s">
        <v>29</v>
      </c>
      <c r="O110">
        <v>902</v>
      </c>
      <c r="P110">
        <v>19.3</v>
      </c>
      <c r="Q110">
        <v>15</v>
      </c>
      <c r="R110" s="7" t="str">
        <f>IF(AllData[[#This Row],[Nitrate (PPM)]]&gt;2, "Very high", IF(AllData[[#This Row],[Nitrate (PPM)]]&gt;1, "High", IF(AllData[[#This Row],[Nitrate (PPM)]]&gt;0.5, "Some evidence", IF(AllData[[#This Row],[Nitrate (PPM)]]&gt;=0, "No evidence"))))</f>
        <v>Very high</v>
      </c>
      <c r="S110" s="4">
        <v>0.74</v>
      </c>
      <c r="T110" s="7" t="str">
        <f>IF(AllData[[#This Row],[Phosphate (PPM)]]&gt;0.5, "Very high", IF(AllData[[#This Row],[Phosphate (PPM)]]&gt;0.1, "High", IF(AllData[[#This Row],[Phosphate (PPM)]]&gt;0.05, "Some evidence", IF(AllData[[#This Row],[Phosphate (PPM)]]&lt;=0.05, "No Evidence", ""))))</f>
        <v>Very high</v>
      </c>
      <c r="U110">
        <v>0.6</v>
      </c>
    </row>
    <row r="111" spans="1:22" x14ac:dyDescent="0.25">
      <c r="A111" t="s">
        <v>198</v>
      </c>
      <c r="B111" s="2">
        <v>45200</v>
      </c>
      <c r="C111" s="2" t="str" cm="1">
        <f t="array" ref="C1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1">
        <f>YEAR(AllData[[#This Row],[Date]])</f>
        <v>2023</v>
      </c>
      <c r="E111" s="1">
        <v>0.42708333333333331</v>
      </c>
      <c r="F111" s="2" t="str">
        <f>IF(AND(AllData[[#This Row],[Time]]&lt;0.5, AllData[[#This Row],[Time]]&gt;0.17)=TRUE, "Morning", IF(AND(AllData[[#This Row],[Time]]&lt;0.75, AllData[[#This Row],[Time]]&gt;=0.5)=TRUE, "Afternoon", IF(AND(AllData[[#This Row],[Time]]&lt;1, AllData[[#This Row],[Time]]&gt;=0.75)=TRUE, "Evening", "Night")))</f>
        <v>Morning</v>
      </c>
      <c r="G111" t="str">
        <f>_xlfn.XLOOKUP(AllData[[#This Row],[Location Name]], Locations[Location Name],Locations[Group As])</f>
        <v>Abbey Mill</v>
      </c>
      <c r="H111" t="e" vm="1">
        <f>_xlfn.XLOOKUP(AllData[[#This Row],[Site Name]],LocationsKey[Site Name],LocationsKey[District])</f>
        <v>#VALUE!</v>
      </c>
      <c r="I111" t="e" vm="1">
        <f>_xlfn.XLOOKUP(AllData[[#This Row],[Site Name]],LocationsKey[Site Name],LocationsKey[Town])</f>
        <v>#VALUE!</v>
      </c>
      <c r="J111" t="str">
        <f>_xlfn.XLOOKUP(AllData[[#This Row],[Site Name]],LocationsKey[Site Name], LocationsKey[Waterway])</f>
        <v>Avon</v>
      </c>
      <c r="K111" t="s">
        <v>25</v>
      </c>
      <c r="N111" t="s">
        <v>23</v>
      </c>
      <c r="O111">
        <v>870</v>
      </c>
      <c r="P111">
        <v>17.5</v>
      </c>
      <c r="Q111">
        <v>10</v>
      </c>
      <c r="R111" s="7" t="str">
        <f>IF(AllData[[#This Row],[Nitrate (PPM)]]&gt;2, "Very high", IF(AllData[[#This Row],[Nitrate (PPM)]]&gt;1, "High", IF(AllData[[#This Row],[Nitrate (PPM)]]&gt;0.5, "Some evidence", IF(AllData[[#This Row],[Nitrate (PPM)]]&gt;=0, "No evidence"))))</f>
        <v>Very high</v>
      </c>
      <c r="S111" s="4">
        <v>0.98</v>
      </c>
      <c r="T111" s="7" t="str">
        <f>IF(AllData[[#This Row],[Phosphate (PPM)]]&gt;0.5, "Very high", IF(AllData[[#This Row],[Phosphate (PPM)]]&gt;0.1, "High", IF(AllData[[#This Row],[Phosphate (PPM)]]&gt;0.05, "Some evidence", IF(AllData[[#This Row],[Phosphate (PPM)]]&lt;=0.05, "No Evidence", ""))))</f>
        <v>Very high</v>
      </c>
      <c r="U111">
        <v>0</v>
      </c>
    </row>
    <row r="112" spans="1:22" x14ac:dyDescent="0.25">
      <c r="A112" t="s">
        <v>199</v>
      </c>
      <c r="B112" s="2">
        <v>45200</v>
      </c>
      <c r="C112" s="2" t="str" cm="1">
        <f t="array" ref="C1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2">
        <f>YEAR(AllData[[#This Row],[Date]])</f>
        <v>2023</v>
      </c>
      <c r="E112" s="1">
        <v>0.43125000000000002</v>
      </c>
      <c r="F112" s="2" t="str">
        <f>IF(AND(AllData[[#This Row],[Time]]&lt;0.5, AllData[[#This Row],[Time]]&gt;0.17)=TRUE, "Morning", IF(AND(AllData[[#This Row],[Time]]&lt;0.75, AllData[[#This Row],[Time]]&gt;=0.5)=TRUE, "Afternoon", IF(AND(AllData[[#This Row],[Time]]&lt;1, AllData[[#This Row],[Time]]&gt;=0.75)=TRUE, "Evening", "Night")))</f>
        <v>Morning</v>
      </c>
      <c r="G112" t="str">
        <f>_xlfn.XLOOKUP(AllData[[#This Row],[Location Name]], Locations[Location Name],Locations[Group As])</f>
        <v>Stour Shipston Mill Bridge</v>
      </c>
      <c r="H112" t="e" vm="2">
        <f>_xlfn.XLOOKUP(AllData[[#This Row],[Site Name]],LocationsKey[Site Name],LocationsKey[District])</f>
        <v>#VALUE!</v>
      </c>
      <c r="I112" t="e" vm="10">
        <f>_xlfn.XLOOKUP(AllData[[#This Row],[Site Name]],LocationsKey[Site Name],LocationsKey[Town])</f>
        <v>#VALUE!</v>
      </c>
      <c r="J112" t="str">
        <f>_xlfn.XLOOKUP(AllData[[#This Row],[Site Name]],LocationsKey[Site Name], LocationsKey[Waterway])</f>
        <v>Stour</v>
      </c>
      <c r="K112" t="s">
        <v>200</v>
      </c>
      <c r="L112">
        <v>52.062021999999999</v>
      </c>
      <c r="M112">
        <v>-1.621729</v>
      </c>
      <c r="N112" t="s">
        <v>201</v>
      </c>
      <c r="O112">
        <v>642</v>
      </c>
      <c r="P112">
        <v>16</v>
      </c>
      <c r="Q112">
        <v>10</v>
      </c>
      <c r="R112" s="7" t="str">
        <f>IF(AllData[[#This Row],[Nitrate (PPM)]]&gt;2, "Very high", IF(AllData[[#This Row],[Nitrate (PPM)]]&gt;1, "High", IF(AllData[[#This Row],[Nitrate (PPM)]]&gt;0.5, "Some evidence", IF(AllData[[#This Row],[Nitrate (PPM)]]&gt;=0, "No evidence"))))</f>
        <v>Very high</v>
      </c>
      <c r="S112" s="4">
        <v>0.41</v>
      </c>
      <c r="T112" s="7" t="str">
        <f>IF(AllData[[#This Row],[Phosphate (PPM)]]&gt;0.5, "Very high", IF(AllData[[#This Row],[Phosphate (PPM)]]&gt;0.1, "High", IF(AllData[[#This Row],[Phosphate (PPM)]]&gt;0.05, "Some evidence", IF(AllData[[#This Row],[Phosphate (PPM)]]&lt;=0.05, "No Evidence", ""))))</f>
        <v>High</v>
      </c>
      <c r="U112">
        <v>5</v>
      </c>
    </row>
    <row r="113" spans="1:22" x14ac:dyDescent="0.25">
      <c r="A113" t="s">
        <v>202</v>
      </c>
      <c r="B113" s="2">
        <v>45203</v>
      </c>
      <c r="C113" s="2" t="str" cm="1">
        <f t="array" ref="C1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3">
        <f>YEAR(AllData[[#This Row],[Date]])</f>
        <v>2023</v>
      </c>
      <c r="E113" s="1">
        <v>0.67708333333333337</v>
      </c>
      <c r="F113" s="2" t="str">
        <f>IF(AND(AllData[[#This Row],[Time]]&lt;0.5, AllData[[#This Row],[Time]]&gt;0.17)=TRUE, "Morning", IF(AND(AllData[[#This Row],[Time]]&lt;0.75, AllData[[#This Row],[Time]]&gt;=0.5)=TRUE, "Afternoon", IF(AND(AllData[[#This Row],[Time]]&lt;1, AllData[[#This Row],[Time]]&gt;=0.75)=TRUE, "Evening", "Night")))</f>
        <v>Afternoon</v>
      </c>
      <c r="G113" t="str">
        <f>_xlfn.XLOOKUP(AllData[[#This Row],[Location Name]], Locations[Location Name],Locations[Group As])</f>
        <v>Stour Newbold Mill</v>
      </c>
      <c r="H113" t="e" vm="2">
        <f>_xlfn.XLOOKUP(AllData[[#This Row],[Site Name]],LocationsKey[Site Name],LocationsKey[District])</f>
        <v>#VALUE!</v>
      </c>
      <c r="I113" t="e" vm="8">
        <f>_xlfn.XLOOKUP(AllData[[#This Row],[Site Name]],LocationsKey[Site Name],LocationsKey[Town])</f>
        <v>#VALUE!</v>
      </c>
      <c r="J113" t="str">
        <f>_xlfn.XLOOKUP(AllData[[#This Row],[Site Name]],LocationsKey[Site Name], LocationsKey[Waterway])</f>
        <v>Stour</v>
      </c>
      <c r="K113" t="s">
        <v>203</v>
      </c>
      <c r="L113">
        <v>52.113486999999999</v>
      </c>
      <c r="M113">
        <v>-1.6333500000000001</v>
      </c>
      <c r="N113" t="s">
        <v>29</v>
      </c>
      <c r="O113">
        <v>704</v>
      </c>
      <c r="P113">
        <v>15.5</v>
      </c>
      <c r="Q113">
        <v>2</v>
      </c>
      <c r="R113" s="7" t="str">
        <f>IF(AllData[[#This Row],[Nitrate (PPM)]]&gt;2, "Very high", IF(AllData[[#This Row],[Nitrate (PPM)]]&gt;1, "High", IF(AllData[[#This Row],[Nitrate (PPM)]]&gt;0.5, "Some evidence", IF(AllData[[#This Row],[Nitrate (PPM)]]&gt;=0, "No evidence"))))</f>
        <v>High</v>
      </c>
      <c r="S113" s="4">
        <v>0.71</v>
      </c>
      <c r="T113" s="7" t="str">
        <f>IF(AllData[[#This Row],[Phosphate (PPM)]]&gt;0.5, "Very high", IF(AllData[[#This Row],[Phosphate (PPM)]]&gt;0.1, "High", IF(AllData[[#This Row],[Phosphate (PPM)]]&gt;0.05, "Some evidence", IF(AllData[[#This Row],[Phosphate (PPM)]]&lt;=0.05, "No Evidence", ""))))</f>
        <v>Very high</v>
      </c>
      <c r="U113">
        <v>2</v>
      </c>
      <c r="V113" t="s">
        <v>115</v>
      </c>
    </row>
    <row r="114" spans="1:22" x14ac:dyDescent="0.25">
      <c r="A114" t="s">
        <v>204</v>
      </c>
      <c r="B114" s="2">
        <v>45204</v>
      </c>
      <c r="C114" s="2" t="str" cm="1">
        <f t="array" ref="C1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4">
        <f>YEAR(AllData[[#This Row],[Date]])</f>
        <v>2023</v>
      </c>
      <c r="E114" s="1">
        <v>0.4375</v>
      </c>
      <c r="F114" s="2" t="str">
        <f>IF(AND(AllData[[#This Row],[Time]]&lt;0.5, AllData[[#This Row],[Time]]&gt;0.17)=TRUE, "Morning", IF(AND(AllData[[#This Row],[Time]]&lt;0.75, AllData[[#This Row],[Time]]&gt;=0.5)=TRUE, "Afternoon", IF(AND(AllData[[#This Row],[Time]]&lt;1, AllData[[#This Row],[Time]]&gt;=0.75)=TRUE, "Evening", "Night")))</f>
        <v>Morning</v>
      </c>
      <c r="G114" t="str">
        <f>_xlfn.XLOOKUP(AllData[[#This Row],[Location Name]], Locations[Location Name],Locations[Group As])</f>
        <v>Swilgate</v>
      </c>
      <c r="H114" t="e" vm="1">
        <f>_xlfn.XLOOKUP(AllData[[#This Row],[Site Name]],LocationsKey[Site Name],LocationsKey[District])</f>
        <v>#VALUE!</v>
      </c>
      <c r="I114" t="e" vm="1">
        <f>_xlfn.XLOOKUP(AllData[[#This Row],[Site Name]],LocationsKey[Site Name],LocationsKey[Town])</f>
        <v>#VALUE!</v>
      </c>
      <c r="J114" t="str">
        <f>_xlfn.XLOOKUP(AllData[[#This Row],[Site Name]],LocationsKey[Site Name], LocationsKey[Waterway])</f>
        <v>Swilgate</v>
      </c>
      <c r="K114" t="s">
        <v>84</v>
      </c>
      <c r="N114" t="s">
        <v>23</v>
      </c>
      <c r="O114">
        <v>868</v>
      </c>
      <c r="P114">
        <v>15.2</v>
      </c>
      <c r="Q114">
        <v>10</v>
      </c>
      <c r="R114" s="7" t="str">
        <f>IF(AllData[[#This Row],[Nitrate (PPM)]]&gt;2, "Very high", IF(AllData[[#This Row],[Nitrate (PPM)]]&gt;1, "High", IF(AllData[[#This Row],[Nitrate (PPM)]]&gt;0.5, "Some evidence", IF(AllData[[#This Row],[Nitrate (PPM)]]&gt;=0, "No evidence"))))</f>
        <v>Very high</v>
      </c>
      <c r="S114" s="4">
        <v>0.7</v>
      </c>
      <c r="T114" s="7" t="str">
        <f>IF(AllData[[#This Row],[Phosphate (PPM)]]&gt;0.5, "Very high", IF(AllData[[#This Row],[Phosphate (PPM)]]&gt;0.1, "High", IF(AllData[[#This Row],[Phosphate (PPM)]]&gt;0.05, "Some evidence", IF(AllData[[#This Row],[Phosphate (PPM)]]&lt;=0.05, "No Evidence", ""))))</f>
        <v>Very high</v>
      </c>
      <c r="U114">
        <v>0</v>
      </c>
    </row>
    <row r="115" spans="1:22" x14ac:dyDescent="0.25">
      <c r="A115" t="s">
        <v>205</v>
      </c>
      <c r="B115" s="2">
        <v>45204</v>
      </c>
      <c r="C115" s="2" t="str" cm="1">
        <f t="array" ref="C1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5">
        <f>YEAR(AllData[[#This Row],[Date]])</f>
        <v>2023</v>
      </c>
      <c r="E115" s="1">
        <v>0.59236111111111112</v>
      </c>
      <c r="F115" s="2" t="str">
        <f>IF(AND(AllData[[#This Row],[Time]]&lt;0.5, AllData[[#This Row],[Time]]&gt;0.17)=TRUE, "Morning", IF(AND(AllData[[#This Row],[Time]]&lt;0.75, AllData[[#This Row],[Time]]&gt;=0.5)=TRUE, "Afternoon", IF(AND(AllData[[#This Row],[Time]]&lt;1, AllData[[#This Row],[Time]]&gt;=0.75)=TRUE, "Evening", "Night")))</f>
        <v>Afternoon</v>
      </c>
      <c r="G115" t="str">
        <f>_xlfn.XLOOKUP(AllData[[#This Row],[Location Name]], Locations[Location Name],Locations[Group As])</f>
        <v>Preston-on-Stour River Bridge</v>
      </c>
      <c r="H115" t="e" vm="2">
        <f>_xlfn.XLOOKUP(AllData[[#This Row],[Site Name]],LocationsKey[Site Name],LocationsKey[District])</f>
        <v>#VALUE!</v>
      </c>
      <c r="I115" t="e" vm="9">
        <f>_xlfn.XLOOKUP(AllData[[#This Row],[Site Name]],LocationsKey[Site Name],LocationsKey[Town])</f>
        <v>#VALUE!</v>
      </c>
      <c r="J115" t="str">
        <f>_xlfn.XLOOKUP(AllData[[#This Row],[Site Name]],LocationsKey[Site Name], LocationsKey[Waterway])</f>
        <v>Stour</v>
      </c>
      <c r="K115" t="s">
        <v>163</v>
      </c>
      <c r="L115">
        <v>52.146582000000002</v>
      </c>
      <c r="M115">
        <v>-1.6992160000000001</v>
      </c>
      <c r="N115" t="s">
        <v>29</v>
      </c>
      <c r="O115" s="219">
        <v>692</v>
      </c>
      <c r="P115">
        <v>15.8</v>
      </c>
      <c r="Q115" s="219">
        <v>5</v>
      </c>
      <c r="R115" s="7" t="str">
        <f>IF(AllData[[#This Row],[Nitrate (PPM)]]&gt;2, "Very high", IF(AllData[[#This Row],[Nitrate (PPM)]]&gt;1, "High", IF(AllData[[#This Row],[Nitrate (PPM)]]&gt;0.5, "Some evidence", IF(AllData[[#This Row],[Nitrate (PPM)]]&gt;=0, "No evidence"))))</f>
        <v>Very high</v>
      </c>
      <c r="S115" s="221">
        <v>0.61</v>
      </c>
      <c r="T115" s="7" t="str">
        <f>IF(AllData[[#This Row],[Phosphate (PPM)]]&gt;0.5, "Very high", IF(AllData[[#This Row],[Phosphate (PPM)]]&gt;0.1, "High", IF(AllData[[#This Row],[Phosphate (PPM)]]&gt;0.05, "Some evidence", IF(AllData[[#This Row],[Phosphate (PPM)]]&lt;=0.05, "No Evidence", ""))))</f>
        <v>Very high</v>
      </c>
      <c r="U115">
        <v>6</v>
      </c>
      <c r="V115" t="s">
        <v>206</v>
      </c>
    </row>
    <row r="116" spans="1:22" x14ac:dyDescent="0.25">
      <c r="A116" t="s">
        <v>207</v>
      </c>
      <c r="B116" s="2">
        <v>45206</v>
      </c>
      <c r="C116" s="2" t="str" cm="1">
        <f t="array" ref="C1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6">
        <f>YEAR(AllData[[#This Row],[Date]])</f>
        <v>2023</v>
      </c>
      <c r="E116" s="1">
        <v>0.48888888888888887</v>
      </c>
      <c r="F116" s="2" t="str">
        <f>IF(AND(AllData[[#This Row],[Time]]&lt;0.5, AllData[[#This Row],[Time]]&gt;0.17)=TRUE, "Morning", IF(AND(AllData[[#This Row],[Time]]&lt;0.75, AllData[[#This Row],[Time]]&gt;=0.5)=TRUE, "Afternoon", IF(AND(AllData[[#This Row],[Time]]&lt;1, AllData[[#This Row],[Time]]&gt;=0.75)=TRUE, "Evening", "Night")))</f>
        <v>Morning</v>
      </c>
      <c r="G116" t="str">
        <f>_xlfn.XLOOKUP(AllData[[#This Row],[Location Name]], Locations[Location Name],Locations[Group As])</f>
        <v>Site 1  :  Middle Street</v>
      </c>
      <c r="H116" t="e" vm="2">
        <f>_xlfn.XLOOKUP(AllData[[#This Row],[Site Name]],LocationsKey[Site Name],LocationsKey[District])</f>
        <v>#VALUE!</v>
      </c>
      <c r="I116" t="e" vm="11">
        <f>_xlfn.XLOOKUP(AllData[[#This Row],[Site Name]],LocationsKey[Site Name],LocationsKey[Town])</f>
        <v>#VALUE!</v>
      </c>
      <c r="J116" t="str">
        <f>_xlfn.XLOOKUP(AllData[[#This Row],[Site Name]],LocationsKey[Site Name], LocationsKey[Waterway])</f>
        <v>Fosseway Brook</v>
      </c>
      <c r="K116" t="s">
        <v>208</v>
      </c>
      <c r="L116">
        <v>52.090074000000001</v>
      </c>
      <c r="M116">
        <v>-1.692588</v>
      </c>
      <c r="N116" t="s">
        <v>66</v>
      </c>
      <c r="O116">
        <v>608</v>
      </c>
      <c r="P116">
        <v>17.100000000000001</v>
      </c>
      <c r="Q116">
        <v>1</v>
      </c>
      <c r="R116" s="7" t="str">
        <f>IF(AllData[[#This Row],[Nitrate (PPM)]]&gt;2, "Very high", IF(AllData[[#This Row],[Nitrate (PPM)]]&gt;1, "High", IF(AllData[[#This Row],[Nitrate (PPM)]]&gt;0.5, "Some evidence", IF(AllData[[#This Row],[Nitrate (PPM)]]&gt;=0, "No evidence"))))</f>
        <v>Some evidence</v>
      </c>
      <c r="S116" s="4">
        <v>0.18</v>
      </c>
      <c r="T116" s="7" t="str">
        <f>IF(AllData[[#This Row],[Phosphate (PPM)]]&gt;0.5, "Very high", IF(AllData[[#This Row],[Phosphate (PPM)]]&gt;0.1, "High", IF(AllData[[#This Row],[Phosphate (PPM)]]&gt;0.05, "Some evidence", IF(AllData[[#This Row],[Phosphate (PPM)]]&lt;=0.05, "No Evidence", ""))))</f>
        <v>High</v>
      </c>
      <c r="U116">
        <v>0</v>
      </c>
    </row>
    <row r="117" spans="1:22" x14ac:dyDescent="0.25">
      <c r="A117" t="s">
        <v>215</v>
      </c>
      <c r="B117" s="2">
        <v>45207</v>
      </c>
      <c r="C117" s="2" t="str" cm="1">
        <f t="array" ref="C1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7">
        <f>YEAR(AllData[[#This Row],[Date]])</f>
        <v>2023</v>
      </c>
      <c r="E117" s="1">
        <v>0.41666666666666669</v>
      </c>
      <c r="F117" s="2" t="str">
        <f>IF(AND(AllData[[#This Row],[Time]]&lt;0.5, AllData[[#This Row],[Time]]&gt;0.17)=TRUE, "Morning", IF(AND(AllData[[#This Row],[Time]]&lt;0.75, AllData[[#This Row],[Time]]&gt;=0.5)=TRUE, "Afternoon", IF(AND(AllData[[#This Row],[Time]]&lt;1, AllData[[#This Row],[Time]]&gt;=0.75)=TRUE, "Evening", "Night")))</f>
        <v>Morning</v>
      </c>
      <c r="G117" t="str">
        <f>_xlfn.XLOOKUP(AllData[[#This Row],[Location Name]], Locations[Location Name],Locations[Group As])</f>
        <v>Lucy's Mill Bridge</v>
      </c>
      <c r="H117" t="e" vm="2">
        <f>_xlfn.XLOOKUP(AllData[[#This Row],[Site Name]],LocationsKey[Site Name],LocationsKey[District])</f>
        <v>#VALUE!</v>
      </c>
      <c r="I117" t="e" vm="7">
        <f>_xlfn.XLOOKUP(AllData[[#This Row],[Site Name]],LocationsKey[Site Name],LocationsKey[Town])</f>
        <v>#VALUE!</v>
      </c>
      <c r="J117" t="str">
        <f>_xlfn.XLOOKUP(AllData[[#This Row],[Site Name]],LocationsKey[Site Name], LocationsKey[Waterway])</f>
        <v>Avon</v>
      </c>
      <c r="K117" t="s">
        <v>216</v>
      </c>
      <c r="L117">
        <v>52.183698999999997</v>
      </c>
      <c r="M117">
        <v>-1.707816</v>
      </c>
      <c r="N117" t="s">
        <v>29</v>
      </c>
      <c r="P117">
        <v>16</v>
      </c>
      <c r="Q117">
        <v>10</v>
      </c>
      <c r="R117" s="7" t="str">
        <f>IF(AllData[[#This Row],[Nitrate (PPM)]]&gt;2, "Very high", IF(AllData[[#This Row],[Nitrate (PPM)]]&gt;1, "High", IF(AllData[[#This Row],[Nitrate (PPM)]]&gt;0.5, "Some evidence", IF(AllData[[#This Row],[Nitrate (PPM)]]&gt;=0, "No evidence"))))</f>
        <v>Very high</v>
      </c>
      <c r="S117" s="4">
        <v>0.59</v>
      </c>
      <c r="T117" s="7" t="str">
        <f>IF(AllData[[#This Row],[Phosphate (PPM)]]&gt;0.5, "Very high", IF(AllData[[#This Row],[Phosphate (PPM)]]&gt;0.1, "High", IF(AllData[[#This Row],[Phosphate (PPM)]]&gt;0.05, "Some evidence", IF(AllData[[#This Row],[Phosphate (PPM)]]&lt;=0.05, "No Evidence", ""))))</f>
        <v>Very high</v>
      </c>
      <c r="U117">
        <v>0.7</v>
      </c>
    </row>
    <row r="118" spans="1:22" x14ac:dyDescent="0.25">
      <c r="A118" t="s">
        <v>209</v>
      </c>
      <c r="B118" s="2">
        <v>45207</v>
      </c>
      <c r="C118" s="2" t="str" cm="1">
        <f t="array" ref="C1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8">
        <f>YEAR(AllData[[#This Row],[Date]])</f>
        <v>2023</v>
      </c>
      <c r="E118" s="1">
        <v>0.52083333333333337</v>
      </c>
      <c r="F118" s="2" t="str">
        <f>IF(AND(AllData[[#This Row],[Time]]&lt;0.5, AllData[[#This Row],[Time]]&gt;0.17)=TRUE, "Morning", IF(AND(AllData[[#This Row],[Time]]&lt;0.75, AllData[[#This Row],[Time]]&gt;=0.5)=TRUE, "Afternoon", IF(AND(AllData[[#This Row],[Time]]&lt;1, AllData[[#This Row],[Time]]&gt;=0.75)=TRUE, "Evening", "Night")))</f>
        <v>Afternoon</v>
      </c>
      <c r="G118" t="str">
        <f>_xlfn.XLOOKUP(AllData[[#This Row],[Location Name]], Locations[Location Name],Locations[Group As])</f>
        <v>Hampton Wood</v>
      </c>
      <c r="H118" t="e" vm="2">
        <f>_xlfn.XLOOKUP(AllData[[#This Row],[Site Name]],LocationsKey[Site Name],LocationsKey[District])</f>
        <v>#VALUE!</v>
      </c>
      <c r="I118" t="e" vm="3">
        <f>_xlfn.XLOOKUP(AllData[[#This Row],[Site Name]],LocationsKey[Site Name],LocationsKey[Town])</f>
        <v>#VALUE!</v>
      </c>
      <c r="J118" t="str">
        <f>_xlfn.XLOOKUP(AllData[[#This Row],[Site Name]],LocationsKey[Site Name], LocationsKey[Waterway])</f>
        <v>Avon</v>
      </c>
      <c r="K118" t="s">
        <v>34</v>
      </c>
      <c r="L118">
        <v>52.238149999999997</v>
      </c>
      <c r="M118">
        <v>-1.6245799999999999</v>
      </c>
      <c r="N118" t="s">
        <v>29</v>
      </c>
      <c r="O118">
        <v>918</v>
      </c>
      <c r="P118">
        <v>16.100000000000001</v>
      </c>
      <c r="Q118">
        <v>9</v>
      </c>
      <c r="R118" s="7" t="str">
        <f>IF(AllData[[#This Row],[Nitrate (PPM)]]&gt;2, "Very high", IF(AllData[[#This Row],[Nitrate (PPM)]]&gt;1, "High", IF(AllData[[#This Row],[Nitrate (PPM)]]&gt;0.5, "Some evidence", IF(AllData[[#This Row],[Nitrate (PPM)]]&gt;=0, "No evidence"))))</f>
        <v>Very high</v>
      </c>
      <c r="S118" s="4">
        <v>0.73</v>
      </c>
      <c r="T118" s="7" t="str">
        <f>IF(AllData[[#This Row],[Phosphate (PPM)]]&gt;0.5, "Very high", IF(AllData[[#This Row],[Phosphate (PPM)]]&gt;0.1, "High", IF(AllData[[#This Row],[Phosphate (PPM)]]&gt;0.05, "Some evidence", IF(AllData[[#This Row],[Phosphate (PPM)]]&lt;=0.05, "No Evidence", ""))))</f>
        <v>Very high</v>
      </c>
      <c r="U118">
        <v>0</v>
      </c>
    </row>
    <row r="119" spans="1:22" x14ac:dyDescent="0.25">
      <c r="A119" t="s">
        <v>210</v>
      </c>
      <c r="B119" s="2">
        <v>45207</v>
      </c>
      <c r="C119" s="2" t="str" cm="1">
        <f t="array" ref="C1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19">
        <f>YEAR(AllData[[#This Row],[Date]])</f>
        <v>2023</v>
      </c>
      <c r="E119" s="1">
        <v>0.58333333333333337</v>
      </c>
      <c r="F119" s="2" t="str">
        <f>IF(AND(AllData[[#This Row],[Time]]&lt;0.5, AllData[[#This Row],[Time]]&gt;0.17)=TRUE, "Morning", IF(AND(AllData[[#This Row],[Time]]&lt;0.75, AllData[[#This Row],[Time]]&gt;=0.5)=TRUE, "Afternoon", IF(AND(AllData[[#This Row],[Time]]&lt;1, AllData[[#This Row],[Time]]&gt;=0.75)=TRUE, "Evening", "Night")))</f>
        <v>Afternoon</v>
      </c>
      <c r="G119" t="str">
        <f>_xlfn.XLOOKUP(AllData[[#This Row],[Location Name]], Locations[Location Name],Locations[Group As])</f>
        <v>Hampton Lucy</v>
      </c>
      <c r="H119" t="e" vm="2">
        <f>_xlfn.XLOOKUP(AllData[[#This Row],[Site Name]],LocationsKey[Site Name],LocationsKey[District])</f>
        <v>#VALUE!</v>
      </c>
      <c r="I119" t="e" vm="4">
        <f>_xlfn.XLOOKUP(AllData[[#This Row],[Site Name]],LocationsKey[Site Name],LocationsKey[Town])</f>
        <v>#VALUE!</v>
      </c>
      <c r="J119" t="str">
        <f>_xlfn.XLOOKUP(AllData[[#This Row],[Site Name]],LocationsKey[Site Name], LocationsKey[Waterway])</f>
        <v>Avon</v>
      </c>
      <c r="K119" t="s">
        <v>37</v>
      </c>
      <c r="L119">
        <v>52.211680000000001</v>
      </c>
      <c r="M119">
        <v>-1.6244400000000001</v>
      </c>
      <c r="N119" t="s">
        <v>23</v>
      </c>
      <c r="O119" s="219">
        <v>884</v>
      </c>
      <c r="P119">
        <v>18</v>
      </c>
      <c r="Q119" s="219">
        <v>7.5</v>
      </c>
      <c r="R119" s="7" t="str">
        <f>IF(AllData[[#This Row],[Nitrate (PPM)]]&gt;2, "Very high", IF(AllData[[#This Row],[Nitrate (PPM)]]&gt;1, "High", IF(AllData[[#This Row],[Nitrate (PPM)]]&gt;0.5, "Some evidence", IF(AllData[[#This Row],[Nitrate (PPM)]]&gt;=0, "No evidence"))))</f>
        <v>Very high</v>
      </c>
      <c r="S119" s="221">
        <v>0.6</v>
      </c>
      <c r="T119" s="7" t="str">
        <f>IF(AllData[[#This Row],[Phosphate (PPM)]]&gt;0.5, "Very high", IF(AllData[[#This Row],[Phosphate (PPM)]]&gt;0.1, "High", IF(AllData[[#This Row],[Phosphate (PPM)]]&gt;0.05, "Some evidence", IF(AllData[[#This Row],[Phosphate (PPM)]]&lt;=0.05, "No Evidence", ""))))</f>
        <v>Very high</v>
      </c>
      <c r="U119">
        <v>0</v>
      </c>
    </row>
    <row r="120" spans="1:22" x14ac:dyDescent="0.25">
      <c r="A120" t="s">
        <v>211</v>
      </c>
      <c r="B120" s="2">
        <v>45207</v>
      </c>
      <c r="C120" s="2" t="str" cm="1">
        <f t="array" ref="C1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0">
        <f>YEAR(AllData[[#This Row],[Date]])</f>
        <v>2023</v>
      </c>
      <c r="E120" s="1">
        <v>0.66666666666666663</v>
      </c>
      <c r="F120" s="2" t="str">
        <f>IF(AND(AllData[[#This Row],[Time]]&lt;0.5, AllData[[#This Row],[Time]]&gt;0.17)=TRUE, "Morning", IF(AND(AllData[[#This Row],[Time]]&lt;0.75, AllData[[#This Row],[Time]]&gt;=0.5)=TRUE, "Afternoon", IF(AND(AllData[[#This Row],[Time]]&lt;1, AllData[[#This Row],[Time]]&gt;=0.75)=TRUE, "Evening", "Night")))</f>
        <v>Afternoon</v>
      </c>
      <c r="G120" t="str">
        <f>_xlfn.XLOOKUP(AllData[[#This Row],[Location Name]], Locations[Location Name],Locations[Group As])</f>
        <v>Welford Boat Station</v>
      </c>
      <c r="H120" t="e" vm="2">
        <f>_xlfn.XLOOKUP(AllData[[#This Row],[Site Name]],LocationsKey[Site Name],LocationsKey[District])</f>
        <v>#VALUE!</v>
      </c>
      <c r="I120" t="e" vm="5">
        <f>_xlfn.XLOOKUP(AllData[[#This Row],[Site Name]],LocationsKey[Site Name],LocationsKey[Town])</f>
        <v>#VALUE!</v>
      </c>
      <c r="J120" t="str">
        <f>_xlfn.XLOOKUP(AllData[[#This Row],[Site Name]],LocationsKey[Site Name], LocationsKey[Waterway])</f>
        <v>Avon</v>
      </c>
      <c r="K120" t="s">
        <v>39</v>
      </c>
      <c r="L120">
        <v>52.175240000000002</v>
      </c>
      <c r="M120">
        <v>-1.7918700000000001</v>
      </c>
      <c r="N120" t="s">
        <v>29</v>
      </c>
      <c r="O120">
        <v>830</v>
      </c>
      <c r="P120">
        <v>17.600000000000001</v>
      </c>
      <c r="Q120">
        <v>4.5</v>
      </c>
      <c r="R120" s="7" t="str">
        <f>IF(AllData[[#This Row],[Nitrate (PPM)]]&gt;2, "Very high", IF(AllData[[#This Row],[Nitrate (PPM)]]&gt;1, "High", IF(AllData[[#This Row],[Nitrate (PPM)]]&gt;0.5, "Some evidence", IF(AllData[[#This Row],[Nitrate (PPM)]]&gt;=0, "No evidence"))))</f>
        <v>Very high</v>
      </c>
      <c r="S120" s="4">
        <v>0.56999999999999995</v>
      </c>
      <c r="T120" s="7" t="str">
        <f>IF(AllData[[#This Row],[Phosphate (PPM)]]&gt;0.5, "Very high", IF(AllData[[#This Row],[Phosphate (PPM)]]&gt;0.1, "High", IF(AllData[[#This Row],[Phosphate (PPM)]]&gt;0.05, "Some evidence", IF(AllData[[#This Row],[Phosphate (PPM)]]&lt;=0.05, "No Evidence", ""))))</f>
        <v>Very high</v>
      </c>
      <c r="U120">
        <v>0</v>
      </c>
      <c r="V120" t="s">
        <v>96</v>
      </c>
    </row>
    <row r="121" spans="1:22" x14ac:dyDescent="0.25">
      <c r="A121" t="s">
        <v>212</v>
      </c>
      <c r="B121" s="2">
        <v>45207</v>
      </c>
      <c r="C121" s="2" t="str" cm="1">
        <f t="array" ref="C1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1">
        <f>YEAR(AllData[[#This Row],[Date]])</f>
        <v>2023</v>
      </c>
      <c r="E121" s="1">
        <v>0.69374999999999998</v>
      </c>
      <c r="F121" s="2" t="str">
        <f>IF(AND(AllData[[#This Row],[Time]]&lt;0.5, AllData[[#This Row],[Time]]&gt;0.17)=TRUE, "Morning", IF(AND(AllData[[#This Row],[Time]]&lt;0.75, AllData[[#This Row],[Time]]&gt;=0.5)=TRUE, "Afternoon", IF(AND(AllData[[#This Row],[Time]]&lt;1, AllData[[#This Row],[Time]]&gt;=0.75)=TRUE, "Evening", "Night")))</f>
        <v>Afternoon</v>
      </c>
      <c r="G121" t="str">
        <f>_xlfn.XLOOKUP(AllData[[#This Row],[Location Name]], Locations[Location Name],Locations[Group As])</f>
        <v>Abbey Mill</v>
      </c>
      <c r="H121" t="e" vm="1">
        <f>_xlfn.XLOOKUP(AllData[[#This Row],[Site Name]],LocationsKey[Site Name],LocationsKey[District])</f>
        <v>#VALUE!</v>
      </c>
      <c r="I121" t="e" vm="1">
        <f>_xlfn.XLOOKUP(AllData[[#This Row],[Site Name]],LocationsKey[Site Name],LocationsKey[Town])</f>
        <v>#VALUE!</v>
      </c>
      <c r="J121" t="str">
        <f>_xlfn.XLOOKUP(AllData[[#This Row],[Site Name]],LocationsKey[Site Name], LocationsKey[Waterway])</f>
        <v>Avon</v>
      </c>
      <c r="K121" t="s">
        <v>22</v>
      </c>
      <c r="L121">
        <v>51.991534000000001</v>
      </c>
      <c r="M121">
        <v>-2.1627879999999999</v>
      </c>
      <c r="N121" t="s">
        <v>23</v>
      </c>
      <c r="O121">
        <v>811</v>
      </c>
      <c r="P121">
        <v>18.100000000000001</v>
      </c>
      <c r="Q121">
        <v>9</v>
      </c>
      <c r="R121" s="7" t="str">
        <f>IF(AllData[[#This Row],[Nitrate (PPM)]]&gt;2, "Very high", IF(AllData[[#This Row],[Nitrate (PPM)]]&gt;1, "High", IF(AllData[[#This Row],[Nitrate (PPM)]]&gt;0.5, "Some evidence", IF(AllData[[#This Row],[Nitrate (PPM)]]&gt;=0, "No evidence"))))</f>
        <v>Very high</v>
      </c>
      <c r="S121" s="4">
        <v>1.01</v>
      </c>
      <c r="T121" s="7" t="str">
        <f>IF(AllData[[#This Row],[Phosphate (PPM)]]&gt;0.5, "Very high", IF(AllData[[#This Row],[Phosphate (PPM)]]&gt;0.1, "High", IF(AllData[[#This Row],[Phosphate (PPM)]]&gt;0.05, "Some evidence", IF(AllData[[#This Row],[Phosphate (PPM)]]&lt;=0.05, "No Evidence", ""))))</f>
        <v>Very high</v>
      </c>
      <c r="U121">
        <v>0</v>
      </c>
    </row>
    <row r="122" spans="1:22" x14ac:dyDescent="0.25">
      <c r="A122" t="s">
        <v>214</v>
      </c>
      <c r="B122" s="2">
        <v>45207</v>
      </c>
      <c r="C122" s="2" t="str" cm="1">
        <f t="array" ref="C1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2">
        <f>YEAR(AllData[[#This Row],[Date]])</f>
        <v>2023</v>
      </c>
      <c r="E122" s="1">
        <v>0.77083333333333337</v>
      </c>
      <c r="F122" s="2" t="str">
        <f>IF(AND(AllData[[#This Row],[Time]]&lt;0.5, AllData[[#This Row],[Time]]&gt;0.17)=TRUE, "Morning", IF(AND(AllData[[#This Row],[Time]]&lt;0.75, AllData[[#This Row],[Time]]&gt;=0.5)=TRUE, "Afternoon", IF(AND(AllData[[#This Row],[Time]]&lt;1, AllData[[#This Row],[Time]]&gt;=0.75)=TRUE, "Evening", "Night")))</f>
        <v>Evening</v>
      </c>
      <c r="G122" t="str">
        <f>_xlfn.XLOOKUP(AllData[[#This Row],[Location Name]], Locations[Location Name],Locations[Group As])</f>
        <v>Avonbank Drive</v>
      </c>
      <c r="H122" t="e" vm="2">
        <f>_xlfn.XLOOKUP(AllData[[#This Row],[Site Name]],LocationsKey[Site Name],LocationsKey[District])</f>
        <v>#VALUE!</v>
      </c>
      <c r="I122" t="e" vm="7">
        <f>_xlfn.XLOOKUP(AllData[[#This Row],[Site Name]],LocationsKey[Site Name],LocationsKey[Town])</f>
        <v>#VALUE!</v>
      </c>
      <c r="J122" t="str">
        <f>_xlfn.XLOOKUP(AllData[[#This Row],[Site Name]],LocationsKey[Site Name], LocationsKey[Waterway])</f>
        <v>Avon</v>
      </c>
      <c r="K122" t="s">
        <v>103</v>
      </c>
      <c r="L122">
        <v>52.177</v>
      </c>
      <c r="M122">
        <v>-1.736</v>
      </c>
      <c r="N122" t="s">
        <v>66</v>
      </c>
      <c r="O122">
        <v>915</v>
      </c>
      <c r="P122">
        <v>18</v>
      </c>
      <c r="Q122">
        <v>20</v>
      </c>
      <c r="R122" s="7" t="str">
        <f>IF(AllData[[#This Row],[Nitrate (PPM)]]&gt;2, "Very high", IF(AllData[[#This Row],[Nitrate (PPM)]]&gt;1, "High", IF(AllData[[#This Row],[Nitrate (PPM)]]&gt;0.5, "Some evidence", IF(AllData[[#This Row],[Nitrate (PPM)]]&gt;=0, "No evidence"))))</f>
        <v>Very high</v>
      </c>
      <c r="S122" s="4">
        <v>1.74</v>
      </c>
      <c r="T122" s="7" t="str">
        <f>IF(AllData[[#This Row],[Phosphate (PPM)]]&gt;0.5, "Very high", IF(AllData[[#This Row],[Phosphate (PPM)]]&gt;0.1, "High", IF(AllData[[#This Row],[Phosphate (PPM)]]&gt;0.05, "Some evidence", IF(AllData[[#This Row],[Phosphate (PPM)]]&lt;=0.05, "No Evidence", ""))))</f>
        <v>Very high</v>
      </c>
      <c r="U122">
        <v>0.56999999999999995</v>
      </c>
    </row>
    <row r="123" spans="1:22" x14ac:dyDescent="0.25">
      <c r="A123" t="s">
        <v>213</v>
      </c>
      <c r="B123" s="2">
        <v>45207</v>
      </c>
      <c r="C123" s="2" t="str" cm="1">
        <f t="array" ref="C1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
        <f>YEAR(AllData[[#This Row],[Date]])</f>
        <v>2023</v>
      </c>
      <c r="E123" s="1">
        <v>0.77083333333333337</v>
      </c>
      <c r="F123" s="2" t="str">
        <f>IF(AND(AllData[[#This Row],[Time]]&lt;0.5, AllData[[#This Row],[Time]]&gt;0.17)=TRUE, "Morning", IF(AND(AllData[[#This Row],[Time]]&lt;0.75, AllData[[#This Row],[Time]]&gt;=0.5)=TRUE, "Afternoon", IF(AND(AllData[[#This Row],[Time]]&lt;1, AllData[[#This Row],[Time]]&gt;=0.75)=TRUE, "Evening", "Night")))</f>
        <v>Evening</v>
      </c>
      <c r="G123" t="str">
        <f>_xlfn.XLOOKUP(AllData[[#This Row],[Location Name]], Locations[Location Name],Locations[Group As])</f>
        <v>Pitch 16</v>
      </c>
      <c r="H123" t="e" vm="2">
        <f>_xlfn.XLOOKUP(AllData[[#This Row],[Site Name]],LocationsKey[Site Name],LocationsKey[District])</f>
        <v>#VALUE!</v>
      </c>
      <c r="I123" t="e" vm="7">
        <f>_xlfn.XLOOKUP(AllData[[#This Row],[Site Name]],LocationsKey[Site Name],LocationsKey[Town])</f>
        <v>#VALUE!</v>
      </c>
      <c r="J123" t="str">
        <f>_xlfn.XLOOKUP(AllData[[#This Row],[Site Name]],LocationsKey[Site Name], LocationsKey[Waterway])</f>
        <v>Avon</v>
      </c>
      <c r="K123" t="s">
        <v>69</v>
      </c>
      <c r="N123" t="s">
        <v>29</v>
      </c>
      <c r="O123">
        <v>925</v>
      </c>
      <c r="P123">
        <v>17.399999999999999</v>
      </c>
      <c r="Q123">
        <v>0.15</v>
      </c>
      <c r="R123" s="7" t="str">
        <f>IF(AllData[[#This Row],[Nitrate (PPM)]]&gt;2, "Very high", IF(AllData[[#This Row],[Nitrate (PPM)]]&gt;1, "High", IF(AllData[[#This Row],[Nitrate (PPM)]]&gt;0.5, "Some evidence", IF(AllData[[#This Row],[Nitrate (PPM)]]&gt;=0, "No evidence"))))</f>
        <v>No evidence</v>
      </c>
      <c r="S123" s="4">
        <v>0.97</v>
      </c>
      <c r="T123" s="7" t="str">
        <f>IF(AllData[[#This Row],[Phosphate (PPM)]]&gt;0.5, "Very high", IF(AllData[[#This Row],[Phosphate (PPM)]]&gt;0.1, "High", IF(AllData[[#This Row],[Phosphate (PPM)]]&gt;0.05, "Some evidence", IF(AllData[[#This Row],[Phosphate (PPM)]]&lt;=0.05, "No Evidence", ""))))</f>
        <v>Very high</v>
      </c>
      <c r="U123">
        <v>0.56999999999999995</v>
      </c>
    </row>
    <row r="124" spans="1:22" x14ac:dyDescent="0.25">
      <c r="A124" t="s">
        <v>217</v>
      </c>
      <c r="B124" s="2">
        <v>45209</v>
      </c>
      <c r="C124" s="2" t="str" cm="1">
        <f t="array" ref="C1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4">
        <f>YEAR(AllData[[#This Row],[Date]])</f>
        <v>2023</v>
      </c>
      <c r="E124" s="1">
        <v>0.6875</v>
      </c>
      <c r="F124" s="2" t="str">
        <f>IF(AND(AllData[[#This Row],[Time]]&lt;0.5, AllData[[#This Row],[Time]]&gt;0.17)=TRUE, "Morning", IF(AND(AllData[[#This Row],[Time]]&lt;0.75, AllData[[#This Row],[Time]]&gt;=0.5)=TRUE, "Afternoon", IF(AND(AllData[[#This Row],[Time]]&lt;1, AllData[[#This Row],[Time]]&gt;=0.75)=TRUE, "Evening", "Night")))</f>
        <v>Afternoon</v>
      </c>
      <c r="G124" t="str">
        <f>_xlfn.XLOOKUP(AllData[[#This Row],[Location Name]], Locations[Location Name],Locations[Group As])</f>
        <v>Weston-on-Avon</v>
      </c>
      <c r="H124" t="e" vm="2">
        <f>_xlfn.XLOOKUP(AllData[[#This Row],[Site Name]],LocationsKey[Site Name],LocationsKey[District])</f>
        <v>#VALUE!</v>
      </c>
      <c r="I124" t="e" vm="6">
        <f>_xlfn.XLOOKUP(AllData[[#This Row],[Site Name]],LocationsKey[Site Name],LocationsKey[Town])</f>
        <v>#VALUE!</v>
      </c>
      <c r="J124" t="str">
        <f>_xlfn.XLOOKUP(AllData[[#This Row],[Site Name]],LocationsKey[Site Name], LocationsKey[Waterway])</f>
        <v>Avon</v>
      </c>
      <c r="K124" t="s">
        <v>41</v>
      </c>
      <c r="L124">
        <v>52.167430000000003</v>
      </c>
      <c r="M124">
        <v>-1.7744800000000001</v>
      </c>
      <c r="N124" t="s">
        <v>29</v>
      </c>
      <c r="O124">
        <v>972</v>
      </c>
      <c r="P124">
        <v>17.7</v>
      </c>
      <c r="Q124">
        <v>4</v>
      </c>
      <c r="R124" s="7" t="str">
        <f>IF(AllData[[#This Row],[Nitrate (PPM)]]&gt;2, "Very high", IF(AllData[[#This Row],[Nitrate (PPM)]]&gt;1, "High", IF(AllData[[#This Row],[Nitrate (PPM)]]&gt;0.5, "Some evidence", IF(AllData[[#This Row],[Nitrate (PPM)]]&gt;=0, "No evidence"))))</f>
        <v>Very high</v>
      </c>
      <c r="S124" s="4">
        <v>0.66</v>
      </c>
      <c r="T124" s="7" t="str">
        <f>IF(AllData[[#This Row],[Phosphate (PPM)]]&gt;0.5, "Very high", IF(AllData[[#This Row],[Phosphate (PPM)]]&gt;0.1, "High", IF(AllData[[#This Row],[Phosphate (PPM)]]&gt;0.05, "Some evidence", IF(AllData[[#This Row],[Phosphate (PPM)]]&lt;=0.05, "No Evidence", ""))))</f>
        <v>Very high</v>
      </c>
      <c r="U124">
        <v>0</v>
      </c>
    </row>
    <row r="125" spans="1:22" x14ac:dyDescent="0.25">
      <c r="A125" t="s">
        <v>218</v>
      </c>
      <c r="B125" s="2">
        <v>45210</v>
      </c>
      <c r="C125" s="2" t="str" cm="1">
        <f t="array" ref="C1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5">
        <f>YEAR(AllData[[#This Row],[Date]])</f>
        <v>2023</v>
      </c>
      <c r="E125" s="1">
        <v>0.52083333333333337</v>
      </c>
      <c r="F125" s="2" t="str">
        <f>IF(AND(AllData[[#This Row],[Time]]&lt;0.5, AllData[[#This Row],[Time]]&gt;0.17)=TRUE, "Morning", IF(AND(AllData[[#This Row],[Time]]&lt;0.75, AllData[[#This Row],[Time]]&gt;=0.5)=TRUE, "Afternoon", IF(AND(AllData[[#This Row],[Time]]&lt;1, AllData[[#This Row],[Time]]&gt;=0.75)=TRUE, "Evening", "Night")))</f>
        <v>Afternoon</v>
      </c>
      <c r="G125" t="str">
        <f>_xlfn.XLOOKUP(AllData[[#This Row],[Location Name]], Locations[Location Name],Locations[Group As])</f>
        <v>Barton</v>
      </c>
      <c r="H125" t="e" vm="2">
        <f>_xlfn.XLOOKUP(AllData[[#This Row],[Site Name]],LocationsKey[Site Name],LocationsKey[District])</f>
        <v>#VALUE!</v>
      </c>
      <c r="I125" t="str">
        <f>_xlfn.XLOOKUP(AllData[[#This Row],[Site Name]],LocationsKey[Site Name],LocationsKey[Town])</f>
        <v>Barton</v>
      </c>
      <c r="J125" t="str">
        <f>_xlfn.XLOOKUP(AllData[[#This Row],[Site Name]],LocationsKey[Site Name], LocationsKey[Waterway])</f>
        <v>Avon</v>
      </c>
      <c r="K125" t="s">
        <v>49</v>
      </c>
      <c r="L125">
        <v>52.161209999999997</v>
      </c>
      <c r="M125">
        <v>-1.8301499999999999</v>
      </c>
      <c r="N125" t="s">
        <v>29</v>
      </c>
      <c r="O125">
        <v>962</v>
      </c>
      <c r="P125">
        <v>16.5</v>
      </c>
      <c r="Q125">
        <v>4</v>
      </c>
      <c r="R125" s="7" t="str">
        <f>IF(AllData[[#This Row],[Nitrate (PPM)]]&gt;2, "Very high", IF(AllData[[#This Row],[Nitrate (PPM)]]&gt;1, "High", IF(AllData[[#This Row],[Nitrate (PPM)]]&gt;0.5, "Some evidence", IF(AllData[[#This Row],[Nitrate (PPM)]]&gt;=0, "No evidence"))))</f>
        <v>Very high</v>
      </c>
      <c r="S125" s="4">
        <v>0.84</v>
      </c>
      <c r="T125" s="7" t="str">
        <f>IF(AllData[[#This Row],[Phosphate (PPM)]]&gt;0.5, "Very high", IF(AllData[[#This Row],[Phosphate (PPM)]]&gt;0.1, "High", IF(AllData[[#This Row],[Phosphate (PPM)]]&gt;0.05, "Some evidence", IF(AllData[[#This Row],[Phosphate (PPM)]]&lt;=0.05, "No Evidence", ""))))</f>
        <v>Very high</v>
      </c>
      <c r="U125">
        <v>0</v>
      </c>
    </row>
    <row r="126" spans="1:22" x14ac:dyDescent="0.25">
      <c r="A126" t="s">
        <v>219</v>
      </c>
      <c r="B126" s="2">
        <v>45210</v>
      </c>
      <c r="C126" s="2" t="str" cm="1">
        <f t="array" ref="C1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6">
        <f>YEAR(AllData[[#This Row],[Date]])</f>
        <v>2023</v>
      </c>
      <c r="E126" s="1">
        <v>0.65902777777777777</v>
      </c>
      <c r="F126" s="2" t="str">
        <f>IF(AND(AllData[[#This Row],[Time]]&lt;0.5, AllData[[#This Row],[Time]]&gt;0.17)=TRUE, "Morning", IF(AND(AllData[[#This Row],[Time]]&lt;0.75, AllData[[#This Row],[Time]]&gt;=0.5)=TRUE, "Afternoon", IF(AND(AllData[[#This Row],[Time]]&lt;1, AllData[[#This Row],[Time]]&gt;=0.75)=TRUE, "Evening", "Night")))</f>
        <v>Afternoon</v>
      </c>
      <c r="G126" t="str">
        <f>_xlfn.XLOOKUP(AllData[[#This Row],[Location Name]], Locations[Location Name],Locations[Group As])</f>
        <v>Stour Newbold Mill</v>
      </c>
      <c r="H126" t="e" vm="2">
        <f>_xlfn.XLOOKUP(AllData[[#This Row],[Site Name]],LocationsKey[Site Name],LocationsKey[District])</f>
        <v>#VALUE!</v>
      </c>
      <c r="I126" t="e" vm="8">
        <f>_xlfn.XLOOKUP(AllData[[#This Row],[Site Name]],LocationsKey[Site Name],LocationsKey[Town])</f>
        <v>#VALUE!</v>
      </c>
      <c r="J126" t="str">
        <f>_xlfn.XLOOKUP(AllData[[#This Row],[Site Name]],LocationsKey[Site Name], LocationsKey[Waterway])</f>
        <v>Stour</v>
      </c>
      <c r="K126" t="s">
        <v>220</v>
      </c>
      <c r="L126">
        <v>52.113520000000001</v>
      </c>
      <c r="M126">
        <v>-1.6333390000000001</v>
      </c>
      <c r="N126" t="s">
        <v>157</v>
      </c>
      <c r="O126">
        <v>711</v>
      </c>
      <c r="P126">
        <v>15.8</v>
      </c>
      <c r="Q126">
        <v>5</v>
      </c>
      <c r="R126" s="7" t="str">
        <f>IF(AllData[[#This Row],[Nitrate (PPM)]]&gt;2, "Very high", IF(AllData[[#This Row],[Nitrate (PPM)]]&gt;1, "High", IF(AllData[[#This Row],[Nitrate (PPM)]]&gt;0.5, "Some evidence", IF(AllData[[#This Row],[Nitrate (PPM)]]&gt;=0, "No evidence"))))</f>
        <v>Very high</v>
      </c>
      <c r="S126" s="4">
        <v>0.76</v>
      </c>
      <c r="T126" s="7" t="str">
        <f>IF(AllData[[#This Row],[Phosphate (PPM)]]&gt;0.5, "Very high", IF(AllData[[#This Row],[Phosphate (PPM)]]&gt;0.1, "High", IF(AllData[[#This Row],[Phosphate (PPM)]]&gt;0.05, "Some evidence", IF(AllData[[#This Row],[Phosphate (PPM)]]&lt;=0.05, "No Evidence", ""))))</f>
        <v>Very high</v>
      </c>
      <c r="U126">
        <v>2.5</v>
      </c>
      <c r="V126" t="s">
        <v>221</v>
      </c>
    </row>
    <row r="127" spans="1:22" x14ac:dyDescent="0.25">
      <c r="A127" t="s">
        <v>222</v>
      </c>
      <c r="B127" s="2">
        <v>45210</v>
      </c>
      <c r="C127" s="2" t="str" cm="1">
        <f t="array" ref="C1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7">
        <f>YEAR(AllData[[#This Row],[Date]])</f>
        <v>2023</v>
      </c>
      <c r="E127" s="1">
        <v>0.68680555555555556</v>
      </c>
      <c r="F127" s="2" t="str">
        <f>IF(AND(AllData[[#This Row],[Time]]&lt;0.5, AllData[[#This Row],[Time]]&gt;0.17)=TRUE, "Morning", IF(AND(AllData[[#This Row],[Time]]&lt;0.75, AllData[[#This Row],[Time]]&gt;=0.5)=TRUE, "Afternoon", IF(AND(AllData[[#This Row],[Time]]&lt;1, AllData[[#This Row],[Time]]&gt;=0.75)=TRUE, "Evening", "Night")))</f>
        <v>Afternoon</v>
      </c>
      <c r="G127" t="str">
        <f>_xlfn.XLOOKUP(AllData[[#This Row],[Location Name]], Locations[Location Name],Locations[Group As])</f>
        <v>Stour Shipston Mill Bridge</v>
      </c>
      <c r="H127" t="e" vm="2">
        <f>_xlfn.XLOOKUP(AllData[[#This Row],[Site Name]],LocationsKey[Site Name],LocationsKey[District])</f>
        <v>#VALUE!</v>
      </c>
      <c r="I127" t="e" vm="10">
        <f>_xlfn.XLOOKUP(AllData[[#This Row],[Site Name]],LocationsKey[Site Name],LocationsKey[Town])</f>
        <v>#VALUE!</v>
      </c>
      <c r="J127" t="str">
        <f>_xlfn.XLOOKUP(AllData[[#This Row],[Site Name]],LocationsKey[Site Name], LocationsKey[Waterway])</f>
        <v>Stour</v>
      </c>
      <c r="K127" t="s">
        <v>223</v>
      </c>
      <c r="L127">
        <v>52.062024999999998</v>
      </c>
      <c r="M127">
        <v>-1.621747</v>
      </c>
      <c r="N127" t="s">
        <v>161</v>
      </c>
      <c r="O127">
        <v>684</v>
      </c>
      <c r="P127">
        <v>15.7</v>
      </c>
      <c r="Q127">
        <v>10</v>
      </c>
      <c r="R127" s="7" t="str">
        <f>IF(AllData[[#This Row],[Nitrate (PPM)]]&gt;2, "Very high", IF(AllData[[#This Row],[Nitrate (PPM)]]&gt;1, "High", IF(AllData[[#This Row],[Nitrate (PPM)]]&gt;0.5, "Some evidence", IF(AllData[[#This Row],[Nitrate (PPM)]]&gt;=0, "No evidence"))))</f>
        <v>Very high</v>
      </c>
      <c r="S127" s="4">
        <v>0.42</v>
      </c>
      <c r="T127" s="7" t="str">
        <f>IF(AllData[[#This Row],[Phosphate (PPM)]]&gt;0.5, "Very high", IF(AllData[[#This Row],[Phosphate (PPM)]]&gt;0.1, "High", IF(AllData[[#This Row],[Phosphate (PPM)]]&gt;0.05, "Some evidence", IF(AllData[[#This Row],[Phosphate (PPM)]]&lt;=0.05, "No Evidence", ""))))</f>
        <v>High</v>
      </c>
      <c r="U127">
        <v>0.5</v>
      </c>
      <c r="V127" t="s">
        <v>224</v>
      </c>
    </row>
    <row r="128" spans="1:22" x14ac:dyDescent="0.25">
      <c r="A128" t="s">
        <v>225</v>
      </c>
      <c r="B128" s="2">
        <v>45211</v>
      </c>
      <c r="C128" s="2" t="str" cm="1">
        <f t="array" ref="C1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8">
        <f>YEAR(AllData[[#This Row],[Date]])</f>
        <v>2023</v>
      </c>
      <c r="E128" s="1">
        <v>0.4375</v>
      </c>
      <c r="F128" s="2" t="str">
        <f>IF(AND(AllData[[#This Row],[Time]]&lt;0.5, AllData[[#This Row],[Time]]&gt;0.17)=TRUE, "Morning", IF(AND(AllData[[#This Row],[Time]]&lt;0.75, AllData[[#This Row],[Time]]&gt;=0.5)=TRUE, "Afternoon", IF(AND(AllData[[#This Row],[Time]]&lt;1, AllData[[#This Row],[Time]]&gt;=0.75)=TRUE, "Evening", "Night")))</f>
        <v>Morning</v>
      </c>
      <c r="G128" t="str">
        <f>_xlfn.XLOOKUP(AllData[[#This Row],[Location Name]], Locations[Location Name],Locations[Group As])</f>
        <v>Swilgate</v>
      </c>
      <c r="H128" t="e" vm="1">
        <f>_xlfn.XLOOKUP(AllData[[#This Row],[Site Name]],LocationsKey[Site Name],LocationsKey[District])</f>
        <v>#VALUE!</v>
      </c>
      <c r="I128" t="e" vm="1">
        <f>_xlfn.XLOOKUP(AllData[[#This Row],[Site Name]],LocationsKey[Site Name],LocationsKey[Town])</f>
        <v>#VALUE!</v>
      </c>
      <c r="J128" t="str">
        <f>_xlfn.XLOOKUP(AllData[[#This Row],[Site Name]],LocationsKey[Site Name], LocationsKey[Waterway])</f>
        <v>Swilgate</v>
      </c>
      <c r="K128" t="s">
        <v>84</v>
      </c>
      <c r="N128" t="s">
        <v>23</v>
      </c>
      <c r="O128">
        <v>637</v>
      </c>
      <c r="P128">
        <v>15</v>
      </c>
      <c r="Q128">
        <v>3</v>
      </c>
      <c r="R128" s="7" t="str">
        <f>IF(AllData[[#This Row],[Nitrate (PPM)]]&gt;2, "Very high", IF(AllData[[#This Row],[Nitrate (PPM)]]&gt;1, "High", IF(AllData[[#This Row],[Nitrate (PPM)]]&gt;0.5, "Some evidence", IF(AllData[[#This Row],[Nitrate (PPM)]]&gt;=0, "No evidence"))))</f>
        <v>Very high</v>
      </c>
      <c r="S128" s="4">
        <v>0.67</v>
      </c>
      <c r="T128" s="7" t="str">
        <f>IF(AllData[[#This Row],[Phosphate (PPM)]]&gt;0.5, "Very high", IF(AllData[[#This Row],[Phosphate (PPM)]]&gt;0.1, "High", IF(AllData[[#This Row],[Phosphate (PPM)]]&gt;0.05, "Some evidence", IF(AllData[[#This Row],[Phosphate (PPM)]]&lt;=0.05, "No Evidence", ""))))</f>
        <v>Very high</v>
      </c>
      <c r="U128">
        <v>0</v>
      </c>
      <c r="V128" t="s">
        <v>226</v>
      </c>
    </row>
    <row r="129" spans="1:22" x14ac:dyDescent="0.25">
      <c r="A129" t="s">
        <v>227</v>
      </c>
      <c r="B129" s="2">
        <v>45211</v>
      </c>
      <c r="C129" s="2" t="str" cm="1">
        <f t="array" ref="C1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9">
        <f>YEAR(AllData[[#This Row],[Date]])</f>
        <v>2023</v>
      </c>
      <c r="E129" s="1">
        <v>0.58888888888888891</v>
      </c>
      <c r="F129" s="2" t="str">
        <f>IF(AND(AllData[[#This Row],[Time]]&lt;0.5, AllData[[#This Row],[Time]]&gt;0.17)=TRUE, "Morning", IF(AND(AllData[[#This Row],[Time]]&lt;0.75, AllData[[#This Row],[Time]]&gt;=0.5)=TRUE, "Afternoon", IF(AND(AllData[[#This Row],[Time]]&lt;1, AllData[[#This Row],[Time]]&gt;=0.75)=TRUE, "Evening", "Night")))</f>
        <v>Afternoon</v>
      </c>
      <c r="G129" t="str">
        <f>_xlfn.XLOOKUP(AllData[[#This Row],[Location Name]], Locations[Location Name],Locations[Group As])</f>
        <v>Preston-on-Stour River Bridge</v>
      </c>
      <c r="H129" t="e" vm="2">
        <f>_xlfn.XLOOKUP(AllData[[#This Row],[Site Name]],LocationsKey[Site Name],LocationsKey[District])</f>
        <v>#VALUE!</v>
      </c>
      <c r="I129" t="e" vm="9">
        <f>_xlfn.XLOOKUP(AllData[[#This Row],[Site Name]],LocationsKey[Site Name],LocationsKey[Town])</f>
        <v>#VALUE!</v>
      </c>
      <c r="J129" t="str">
        <f>_xlfn.XLOOKUP(AllData[[#This Row],[Site Name]],LocationsKey[Site Name], LocationsKey[Waterway])</f>
        <v>Stour</v>
      </c>
      <c r="K129" t="s">
        <v>228</v>
      </c>
      <c r="L129">
        <v>52.146481999999999</v>
      </c>
      <c r="M129">
        <v>-1.699892</v>
      </c>
      <c r="N129" t="s">
        <v>29</v>
      </c>
      <c r="O129" s="219">
        <v>718</v>
      </c>
      <c r="P129">
        <v>15.2</v>
      </c>
      <c r="Q129" s="219">
        <v>5</v>
      </c>
      <c r="R129" s="7" t="str">
        <f>IF(AllData[[#This Row],[Nitrate (PPM)]]&gt;2, "Very high", IF(AllData[[#This Row],[Nitrate (PPM)]]&gt;1, "High", IF(AllData[[#This Row],[Nitrate (PPM)]]&gt;0.5, "Some evidence", IF(AllData[[#This Row],[Nitrate (PPM)]]&gt;=0, "No evidence"))))</f>
        <v>Very high</v>
      </c>
      <c r="S129" s="221">
        <v>0.69</v>
      </c>
      <c r="T129" s="7" t="str">
        <f>IF(AllData[[#This Row],[Phosphate (PPM)]]&gt;0.5, "Very high", IF(AllData[[#This Row],[Phosphate (PPM)]]&gt;0.1, "High", IF(AllData[[#This Row],[Phosphate (PPM)]]&gt;0.05, "Some evidence", IF(AllData[[#This Row],[Phosphate (PPM)]]&lt;=0.05, "No Evidence", ""))))</f>
        <v>Very high</v>
      </c>
      <c r="U129">
        <v>1.2</v>
      </c>
      <c r="V129" t="s">
        <v>229</v>
      </c>
    </row>
    <row r="130" spans="1:22" x14ac:dyDescent="0.25">
      <c r="A130" t="s">
        <v>230</v>
      </c>
      <c r="B130" s="2">
        <v>45212</v>
      </c>
      <c r="C130" s="2" t="str" cm="1">
        <f t="array" ref="C1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0">
        <f>YEAR(AllData[[#This Row],[Date]])</f>
        <v>2023</v>
      </c>
      <c r="E130" s="1">
        <v>0.53194444444444444</v>
      </c>
      <c r="F130" s="2" t="str">
        <f>IF(AND(AllData[[#This Row],[Time]]&lt;0.5, AllData[[#This Row],[Time]]&gt;0.17)=TRUE, "Morning", IF(AND(AllData[[#This Row],[Time]]&lt;0.75, AllData[[#This Row],[Time]]&gt;=0.5)=TRUE, "Afternoon", IF(AND(AllData[[#This Row],[Time]]&lt;1, AllData[[#This Row],[Time]]&gt;=0.75)=TRUE, "Evening", "Night")))</f>
        <v>Afternoon</v>
      </c>
      <c r="G130" t="str">
        <f>_xlfn.XLOOKUP(AllData[[#This Row],[Location Name]], Locations[Location Name],Locations[Group As])</f>
        <v>Twyning Fleet</v>
      </c>
      <c r="H130" t="e" vm="1">
        <f>_xlfn.XLOOKUP(AllData[[#This Row],[Site Name]],LocationsKey[Site Name],LocationsKey[District])</f>
        <v>#VALUE!</v>
      </c>
      <c r="I130" t="str">
        <f>_xlfn.XLOOKUP(AllData[[#This Row],[Site Name]],LocationsKey[Site Name],LocationsKey[Town])</f>
        <v>Twyning Green</v>
      </c>
      <c r="J130" t="str">
        <f>_xlfn.XLOOKUP(AllData[[#This Row],[Site Name]],LocationsKey[Site Name], LocationsKey[Waterway])</f>
        <v>Avon</v>
      </c>
      <c r="K130" t="s">
        <v>54</v>
      </c>
      <c r="L130">
        <v>52.026986999999998</v>
      </c>
      <c r="M130">
        <v>-2.1405219999999998</v>
      </c>
      <c r="N130" t="s">
        <v>29</v>
      </c>
      <c r="O130" s="219"/>
      <c r="P130">
        <v>17.600000000000001</v>
      </c>
      <c r="Q130" s="219">
        <v>10</v>
      </c>
      <c r="R130" s="7" t="str">
        <f>IF(AllData[[#This Row],[Nitrate (PPM)]]&gt;2, "Very high", IF(AllData[[#This Row],[Nitrate (PPM)]]&gt;1, "High", IF(AllData[[#This Row],[Nitrate (PPM)]]&gt;0.5, "Some evidence", IF(AllData[[#This Row],[Nitrate (PPM)]]&gt;=0, "No evidence"))))</f>
        <v>Very high</v>
      </c>
      <c r="S130" s="221">
        <v>1.02</v>
      </c>
      <c r="T130" s="7" t="str">
        <f>IF(AllData[[#This Row],[Phosphate (PPM)]]&gt;0.5, "Very high", IF(AllData[[#This Row],[Phosphate (PPM)]]&gt;0.1, "High", IF(AllData[[#This Row],[Phosphate (PPM)]]&gt;0.05, "Some evidence", IF(AllData[[#This Row],[Phosphate (PPM)]]&lt;=0.05, "No Evidence", ""))))</f>
        <v>Very high</v>
      </c>
      <c r="U130">
        <v>0</v>
      </c>
      <c r="V130" t="s">
        <v>231</v>
      </c>
    </row>
    <row r="131" spans="1:22" x14ac:dyDescent="0.25">
      <c r="A131" t="s">
        <v>232</v>
      </c>
      <c r="B131" s="2">
        <v>45213</v>
      </c>
      <c r="C131" s="2" t="str" cm="1">
        <f t="array" ref="C1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1">
        <f>YEAR(AllData[[#This Row],[Date]])</f>
        <v>2023</v>
      </c>
      <c r="E131" s="1">
        <v>0.47916666666666669</v>
      </c>
      <c r="F131" s="2" t="str">
        <f>IF(AND(AllData[[#This Row],[Time]]&lt;0.5, AllData[[#This Row],[Time]]&gt;0.17)=TRUE, "Morning", IF(AND(AllData[[#This Row],[Time]]&lt;0.75, AllData[[#This Row],[Time]]&gt;=0.5)=TRUE, "Afternoon", IF(AND(AllData[[#This Row],[Time]]&lt;1, AllData[[#This Row],[Time]]&gt;=0.75)=TRUE, "Evening", "Night")))</f>
        <v>Morning</v>
      </c>
      <c r="G131" t="str">
        <f>_xlfn.XLOOKUP(AllData[[#This Row],[Location Name]], Locations[Location Name],Locations[Group As])</f>
        <v>Pitch 16</v>
      </c>
      <c r="H131" t="e" vm="2">
        <f>_xlfn.XLOOKUP(AllData[[#This Row],[Site Name]],LocationsKey[Site Name],LocationsKey[District])</f>
        <v>#VALUE!</v>
      </c>
      <c r="I131" t="e" vm="7">
        <f>_xlfn.XLOOKUP(AllData[[#This Row],[Site Name]],LocationsKey[Site Name],LocationsKey[Town])</f>
        <v>#VALUE!</v>
      </c>
      <c r="J131" t="str">
        <f>_xlfn.XLOOKUP(AllData[[#This Row],[Site Name]],LocationsKey[Site Name], LocationsKey[Waterway])</f>
        <v>Avon</v>
      </c>
      <c r="K131" t="s">
        <v>69</v>
      </c>
      <c r="L131">
        <v>52.172694999999997</v>
      </c>
      <c r="M131">
        <v>-1.745101</v>
      </c>
      <c r="N131" t="s">
        <v>29</v>
      </c>
      <c r="O131">
        <v>679</v>
      </c>
      <c r="P131">
        <v>15.3</v>
      </c>
      <c r="Q131">
        <v>5</v>
      </c>
      <c r="R131" s="7" t="str">
        <f>IF(AllData[[#This Row],[Nitrate (PPM)]]&gt;2, "Very high", IF(AllData[[#This Row],[Nitrate (PPM)]]&gt;1, "High", IF(AllData[[#This Row],[Nitrate (PPM)]]&gt;0.5, "Some evidence", IF(AllData[[#This Row],[Nitrate (PPM)]]&gt;=0, "No evidence"))))</f>
        <v>Very high</v>
      </c>
      <c r="S131" s="4">
        <v>0.84</v>
      </c>
      <c r="T131" s="7" t="str">
        <f>IF(AllData[[#This Row],[Phosphate (PPM)]]&gt;0.5, "Very high", IF(AllData[[#This Row],[Phosphate (PPM)]]&gt;0.1, "High", IF(AllData[[#This Row],[Phosphate (PPM)]]&gt;0.05, "Some evidence", IF(AllData[[#This Row],[Phosphate (PPM)]]&lt;=0.05, "No Evidence", ""))))</f>
        <v>Very high</v>
      </c>
      <c r="U131">
        <v>0.9</v>
      </c>
      <c r="V131" t="s">
        <v>233</v>
      </c>
    </row>
    <row r="132" spans="1:22" x14ac:dyDescent="0.25">
      <c r="A132" t="s">
        <v>234</v>
      </c>
      <c r="B132" s="2">
        <v>45213</v>
      </c>
      <c r="C132" s="2" t="str" cm="1">
        <f t="array" ref="C1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2">
        <f>YEAR(AllData[[#This Row],[Date]])</f>
        <v>2023</v>
      </c>
      <c r="E132" s="1">
        <v>0.49305555555555558</v>
      </c>
      <c r="F132" s="2" t="str">
        <f>IF(AND(AllData[[#This Row],[Time]]&lt;0.5, AllData[[#This Row],[Time]]&gt;0.17)=TRUE, "Morning", IF(AND(AllData[[#This Row],[Time]]&lt;0.75, AllData[[#This Row],[Time]]&gt;=0.5)=TRUE, "Afternoon", IF(AND(AllData[[#This Row],[Time]]&lt;1, AllData[[#This Row],[Time]]&gt;=0.75)=TRUE, "Evening", "Night")))</f>
        <v>Morning</v>
      </c>
      <c r="G132" t="str">
        <f>_xlfn.XLOOKUP(AllData[[#This Row],[Location Name]], Locations[Location Name],Locations[Group As])</f>
        <v>Avonbank Drive</v>
      </c>
      <c r="H132" t="e" vm="2">
        <f>_xlfn.XLOOKUP(AllData[[#This Row],[Site Name]],LocationsKey[Site Name],LocationsKey[District])</f>
        <v>#VALUE!</v>
      </c>
      <c r="I132" t="e" vm="7">
        <f>_xlfn.XLOOKUP(AllData[[#This Row],[Site Name]],LocationsKey[Site Name],LocationsKey[Town])</f>
        <v>#VALUE!</v>
      </c>
      <c r="J132" t="str">
        <f>_xlfn.XLOOKUP(AllData[[#This Row],[Site Name]],LocationsKey[Site Name], LocationsKey[Waterway])</f>
        <v>Avon</v>
      </c>
      <c r="K132" t="s">
        <v>65</v>
      </c>
      <c r="N132" t="s">
        <v>66</v>
      </c>
      <c r="O132">
        <v>688</v>
      </c>
      <c r="P132">
        <v>15.5</v>
      </c>
      <c r="Q132">
        <v>10</v>
      </c>
      <c r="R132" s="7" t="str">
        <f>IF(AllData[[#This Row],[Nitrate (PPM)]]&gt;2, "Very high", IF(AllData[[#This Row],[Nitrate (PPM)]]&gt;1, "High", IF(AllData[[#This Row],[Nitrate (PPM)]]&gt;0.5, "Some evidence", IF(AllData[[#This Row],[Nitrate (PPM)]]&gt;=0, "No evidence"))))</f>
        <v>Very high</v>
      </c>
      <c r="S132" s="4">
        <v>0.86</v>
      </c>
      <c r="T132" s="7" t="str">
        <f>IF(AllData[[#This Row],[Phosphate (PPM)]]&gt;0.5, "Very high", IF(AllData[[#This Row],[Phosphate (PPM)]]&gt;0.1, "High", IF(AllData[[#This Row],[Phosphate (PPM)]]&gt;0.05, "Some evidence", IF(AllData[[#This Row],[Phosphate (PPM)]]&lt;=0.05, "No Evidence", ""))))</f>
        <v>Very high</v>
      </c>
      <c r="U132">
        <v>0.9</v>
      </c>
    </row>
    <row r="133" spans="1:22" x14ac:dyDescent="0.25">
      <c r="A133" t="s">
        <v>235</v>
      </c>
      <c r="B133" s="2">
        <v>45213</v>
      </c>
      <c r="C133" s="2" t="str" cm="1">
        <f t="array" ref="C1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3">
        <f>YEAR(AllData[[#This Row],[Date]])</f>
        <v>2023</v>
      </c>
      <c r="E133" s="1">
        <v>0.52916666666666667</v>
      </c>
      <c r="F133" s="2" t="str">
        <f>IF(AND(AllData[[#This Row],[Time]]&lt;0.5, AllData[[#This Row],[Time]]&gt;0.17)=TRUE, "Morning", IF(AND(AllData[[#This Row],[Time]]&lt;0.75, AllData[[#This Row],[Time]]&gt;=0.5)=TRUE, "Afternoon", IF(AND(AllData[[#This Row],[Time]]&lt;1, AllData[[#This Row],[Time]]&gt;=0.75)=TRUE, "Evening", "Night")))</f>
        <v>Afternoon</v>
      </c>
      <c r="G133" t="str">
        <f>_xlfn.XLOOKUP(AllData[[#This Row],[Location Name]], Locations[Location Name],Locations[Group As])</f>
        <v>Carrant Bredon Rd</v>
      </c>
      <c r="H133" t="e" vm="1">
        <f>_xlfn.XLOOKUP(AllData[[#This Row],[Site Name]],LocationsKey[Site Name],LocationsKey[District])</f>
        <v>#VALUE!</v>
      </c>
      <c r="I133" t="e" vm="1">
        <f>_xlfn.XLOOKUP(AllData[[#This Row],[Site Name]],LocationsKey[Site Name],LocationsKey[Town])</f>
        <v>#VALUE!</v>
      </c>
      <c r="J133" t="str">
        <f>_xlfn.XLOOKUP(AllData[[#This Row],[Site Name]],LocationsKey[Site Name], LocationsKey[Waterway])</f>
        <v>Carrant</v>
      </c>
      <c r="K133" t="s">
        <v>90</v>
      </c>
      <c r="L133">
        <v>51.994807999999999</v>
      </c>
      <c r="M133">
        <v>-2.151078</v>
      </c>
      <c r="N133" t="s">
        <v>23</v>
      </c>
      <c r="O133" s="219">
        <v>694</v>
      </c>
      <c r="P133">
        <v>14.1</v>
      </c>
      <c r="Q133" s="219">
        <v>7</v>
      </c>
      <c r="R133" s="7" t="str">
        <f>IF(AllData[[#This Row],[Nitrate (PPM)]]&gt;2, "Very high", IF(AllData[[#This Row],[Nitrate (PPM)]]&gt;1, "High", IF(AllData[[#This Row],[Nitrate (PPM)]]&gt;0.5, "Some evidence", IF(AllData[[#This Row],[Nitrate (PPM)]]&gt;=0, "No evidence"))))</f>
        <v>Very high</v>
      </c>
      <c r="S133" s="221">
        <v>0.93</v>
      </c>
      <c r="T133" s="7" t="str">
        <f>IF(AllData[[#This Row],[Phosphate (PPM)]]&gt;0.5, "Very high", IF(AllData[[#This Row],[Phosphate (PPM)]]&gt;0.1, "High", IF(AllData[[#This Row],[Phosphate (PPM)]]&gt;0.05, "Some evidence", IF(AllData[[#This Row],[Phosphate (PPM)]]&lt;=0.05, "No Evidence", ""))))</f>
        <v>Very high</v>
      </c>
      <c r="U133">
        <v>0.3</v>
      </c>
      <c r="V133" t="s">
        <v>236</v>
      </c>
    </row>
    <row r="134" spans="1:22" x14ac:dyDescent="0.25">
      <c r="A134" t="s">
        <v>237</v>
      </c>
      <c r="B134" s="2">
        <v>45213</v>
      </c>
      <c r="C134" s="2" t="str" cm="1">
        <f t="array" ref="C1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4">
        <f>YEAR(AllData[[#This Row],[Date]])</f>
        <v>2023</v>
      </c>
      <c r="E134" s="1">
        <v>0.625</v>
      </c>
      <c r="F134" s="2" t="str">
        <f>IF(AND(AllData[[#This Row],[Time]]&lt;0.5, AllData[[#This Row],[Time]]&gt;0.17)=TRUE, "Morning", IF(AND(AllData[[#This Row],[Time]]&lt;0.75, AllData[[#This Row],[Time]]&gt;=0.5)=TRUE, "Afternoon", IF(AND(AllData[[#This Row],[Time]]&lt;1, AllData[[#This Row],[Time]]&gt;=0.75)=TRUE, "Evening", "Night")))</f>
        <v>Afternoon</v>
      </c>
      <c r="G134" t="str">
        <f>_xlfn.XLOOKUP(AllData[[#This Row],[Location Name]], Locations[Location Name],Locations[Group As])</f>
        <v>Abbey Mill</v>
      </c>
      <c r="H134" t="e" vm="1">
        <f>_xlfn.XLOOKUP(AllData[[#This Row],[Site Name]],LocationsKey[Site Name],LocationsKey[District])</f>
        <v>#VALUE!</v>
      </c>
      <c r="I134" t="e" vm="1">
        <f>_xlfn.XLOOKUP(AllData[[#This Row],[Site Name]],LocationsKey[Site Name],LocationsKey[Town])</f>
        <v>#VALUE!</v>
      </c>
      <c r="J134" t="str">
        <f>_xlfn.XLOOKUP(AllData[[#This Row],[Site Name]],LocationsKey[Site Name], LocationsKey[Waterway])</f>
        <v>Avon</v>
      </c>
      <c r="K134" t="s">
        <v>22</v>
      </c>
      <c r="N134" t="s">
        <v>23</v>
      </c>
      <c r="O134">
        <v>906</v>
      </c>
      <c r="P134">
        <v>15.6</v>
      </c>
      <c r="Q134">
        <v>9</v>
      </c>
      <c r="R134" s="7" t="str">
        <f>IF(AllData[[#This Row],[Nitrate (PPM)]]&gt;2, "Very high", IF(AllData[[#This Row],[Nitrate (PPM)]]&gt;1, "High", IF(AllData[[#This Row],[Nitrate (PPM)]]&gt;0.5, "Some evidence", IF(AllData[[#This Row],[Nitrate (PPM)]]&gt;=0, "No evidence"))))</f>
        <v>Very high</v>
      </c>
      <c r="S134" s="4">
        <v>1.1499999999999999</v>
      </c>
      <c r="T134" s="7" t="str">
        <f>IF(AllData[[#This Row],[Phosphate (PPM)]]&gt;0.5, "Very high", IF(AllData[[#This Row],[Phosphate (PPM)]]&gt;0.1, "High", IF(AllData[[#This Row],[Phosphate (PPM)]]&gt;0.05, "Some evidence", IF(AllData[[#This Row],[Phosphate (PPM)]]&lt;=0.05, "No Evidence", ""))))</f>
        <v>Very high</v>
      </c>
      <c r="U134">
        <v>1</v>
      </c>
      <c r="V134" t="s">
        <v>238</v>
      </c>
    </row>
    <row r="135" spans="1:22" x14ac:dyDescent="0.25">
      <c r="A135" t="s">
        <v>245</v>
      </c>
      <c r="B135" s="2">
        <v>45214</v>
      </c>
      <c r="C135" s="2" t="str" cm="1">
        <f t="array" ref="C1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5">
        <f>YEAR(AllData[[#This Row],[Date]])</f>
        <v>2023</v>
      </c>
      <c r="E135" s="1">
        <v>0.40277777777777779</v>
      </c>
      <c r="F135" s="2" t="str">
        <f>IF(AND(AllData[[#This Row],[Time]]&lt;0.5, AllData[[#This Row],[Time]]&gt;0.17)=TRUE, "Morning", IF(AND(AllData[[#This Row],[Time]]&lt;0.75, AllData[[#This Row],[Time]]&gt;=0.5)=TRUE, "Afternoon", IF(AND(AllData[[#This Row],[Time]]&lt;1, AllData[[#This Row],[Time]]&gt;=0.75)=TRUE, "Evening", "Night")))</f>
        <v>Morning</v>
      </c>
      <c r="G135" t="str">
        <f>_xlfn.XLOOKUP(AllData[[#This Row],[Location Name]], Locations[Location Name],Locations[Group As])</f>
        <v>Lucy's Mill Bridge</v>
      </c>
      <c r="H135" t="e" vm="2">
        <f>_xlfn.XLOOKUP(AllData[[#This Row],[Site Name]],LocationsKey[Site Name],LocationsKey[District])</f>
        <v>#VALUE!</v>
      </c>
      <c r="I135" t="e" vm="7">
        <f>_xlfn.XLOOKUP(AllData[[#This Row],[Site Name]],LocationsKey[Site Name],LocationsKey[Town])</f>
        <v>#VALUE!</v>
      </c>
      <c r="J135" t="str">
        <f>_xlfn.XLOOKUP(AllData[[#This Row],[Site Name]],LocationsKey[Site Name], LocationsKey[Waterway])</f>
        <v>Avon</v>
      </c>
      <c r="K135" t="s">
        <v>216</v>
      </c>
      <c r="L135">
        <v>52.183698999999997</v>
      </c>
      <c r="M135">
        <v>-1.707816</v>
      </c>
      <c r="N135" t="s">
        <v>29</v>
      </c>
      <c r="P135">
        <v>13</v>
      </c>
      <c r="Q135">
        <v>5</v>
      </c>
      <c r="R135" s="7" t="str">
        <f>IF(AllData[[#This Row],[Nitrate (PPM)]]&gt;2, "Very high", IF(AllData[[#This Row],[Nitrate (PPM)]]&gt;1, "High", IF(AllData[[#This Row],[Nitrate (PPM)]]&gt;0.5, "Some evidence", IF(AllData[[#This Row],[Nitrate (PPM)]]&gt;=0, "No evidence"))))</f>
        <v>Very high</v>
      </c>
      <c r="S135" s="4">
        <v>0.76</v>
      </c>
      <c r="T135" s="7" t="str">
        <f>IF(AllData[[#This Row],[Phosphate (PPM)]]&gt;0.5, "Very high", IF(AllData[[#This Row],[Phosphate (PPM)]]&gt;0.1, "High", IF(AllData[[#This Row],[Phosphate (PPM)]]&gt;0.05, "Some evidence", IF(AllData[[#This Row],[Phosphate (PPM)]]&lt;=0.05, "No Evidence", ""))))</f>
        <v>Very high</v>
      </c>
      <c r="U135">
        <v>0.7</v>
      </c>
    </row>
    <row r="136" spans="1:22" x14ac:dyDescent="0.25">
      <c r="A136" t="s">
        <v>239</v>
      </c>
      <c r="B136" s="2">
        <v>45214</v>
      </c>
      <c r="C136" s="2" t="str" cm="1">
        <f t="array" ref="C1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6">
        <f>YEAR(AllData[[#This Row],[Date]])</f>
        <v>2023</v>
      </c>
      <c r="E136" s="1">
        <v>0.4375</v>
      </c>
      <c r="F136" s="2" t="str">
        <f>IF(AND(AllData[[#This Row],[Time]]&lt;0.5, AllData[[#This Row],[Time]]&gt;0.17)=TRUE, "Morning", IF(AND(AllData[[#This Row],[Time]]&lt;0.75, AllData[[#This Row],[Time]]&gt;=0.5)=TRUE, "Afternoon", IF(AND(AllData[[#This Row],[Time]]&lt;1, AllData[[#This Row],[Time]]&gt;=0.75)=TRUE, "Evening", "Night")))</f>
        <v>Morning</v>
      </c>
      <c r="G136" t="str">
        <f>_xlfn.XLOOKUP(AllData[[#This Row],[Location Name]], Locations[Location Name],Locations[Group As])</f>
        <v>Hampton Wood</v>
      </c>
      <c r="H136" t="e" vm="2">
        <f>_xlfn.XLOOKUP(AllData[[#This Row],[Site Name]],LocationsKey[Site Name],LocationsKey[District])</f>
        <v>#VALUE!</v>
      </c>
      <c r="I136" t="e" vm="3">
        <f>_xlfn.XLOOKUP(AllData[[#This Row],[Site Name]],LocationsKey[Site Name],LocationsKey[Town])</f>
        <v>#VALUE!</v>
      </c>
      <c r="J136" t="str">
        <f>_xlfn.XLOOKUP(AllData[[#This Row],[Site Name]],LocationsKey[Site Name], LocationsKey[Waterway])</f>
        <v>Avon</v>
      </c>
      <c r="K136" t="s">
        <v>34</v>
      </c>
      <c r="L136">
        <v>52.238149999999997</v>
      </c>
      <c r="M136">
        <v>-1.6245799999999999</v>
      </c>
      <c r="N136" t="s">
        <v>29</v>
      </c>
      <c r="O136">
        <v>608</v>
      </c>
      <c r="P136">
        <v>12.6</v>
      </c>
      <c r="Q136">
        <v>4</v>
      </c>
      <c r="R136" s="7" t="str">
        <f>IF(AllData[[#This Row],[Nitrate (PPM)]]&gt;2, "Very high", IF(AllData[[#This Row],[Nitrate (PPM)]]&gt;1, "High", IF(AllData[[#This Row],[Nitrate (PPM)]]&gt;0.5, "Some evidence", IF(AllData[[#This Row],[Nitrate (PPM)]]&gt;=0, "No evidence"))))</f>
        <v>Very high</v>
      </c>
      <c r="S136" s="4">
        <v>0.74</v>
      </c>
      <c r="T136" s="7" t="str">
        <f>IF(AllData[[#This Row],[Phosphate (PPM)]]&gt;0.5, "Very high", IF(AllData[[#This Row],[Phosphate (PPM)]]&gt;0.1, "High", IF(AllData[[#This Row],[Phosphate (PPM)]]&gt;0.05, "Some evidence", IF(AllData[[#This Row],[Phosphate (PPM)]]&lt;=0.05, "No Evidence", ""))))</f>
        <v>Very high</v>
      </c>
      <c r="U136">
        <v>0</v>
      </c>
      <c r="V136" t="s">
        <v>240</v>
      </c>
    </row>
    <row r="137" spans="1:22" x14ac:dyDescent="0.25">
      <c r="A137" t="s">
        <v>241</v>
      </c>
      <c r="B137" s="2">
        <v>45214</v>
      </c>
      <c r="C137" s="2" t="str" cm="1">
        <f t="array" ref="C1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7">
        <f>YEAR(AllData[[#This Row],[Date]])</f>
        <v>2023</v>
      </c>
      <c r="E137" s="1">
        <v>0.51041666666666663</v>
      </c>
      <c r="F137" s="2" t="str">
        <f>IF(AND(AllData[[#This Row],[Time]]&lt;0.5, AllData[[#This Row],[Time]]&gt;0.17)=TRUE, "Morning", IF(AND(AllData[[#This Row],[Time]]&lt;0.75, AllData[[#This Row],[Time]]&gt;=0.5)=TRUE, "Afternoon", IF(AND(AllData[[#This Row],[Time]]&lt;1, AllData[[#This Row],[Time]]&gt;=0.75)=TRUE, "Evening", "Night")))</f>
        <v>Afternoon</v>
      </c>
      <c r="G137" t="str">
        <f>_xlfn.XLOOKUP(AllData[[#This Row],[Location Name]], Locations[Location Name],Locations[Group As])</f>
        <v>Hampton Lucy</v>
      </c>
      <c r="H137" t="e" vm="2">
        <f>_xlfn.XLOOKUP(AllData[[#This Row],[Site Name]],LocationsKey[Site Name],LocationsKey[District])</f>
        <v>#VALUE!</v>
      </c>
      <c r="I137" t="e" vm="4">
        <f>_xlfn.XLOOKUP(AllData[[#This Row],[Site Name]],LocationsKey[Site Name],LocationsKey[Town])</f>
        <v>#VALUE!</v>
      </c>
      <c r="J137" t="str">
        <f>_xlfn.XLOOKUP(AllData[[#This Row],[Site Name]],LocationsKey[Site Name], LocationsKey[Waterway])</f>
        <v>Avon</v>
      </c>
      <c r="K137" t="s">
        <v>37</v>
      </c>
      <c r="L137">
        <v>52.211680000000001</v>
      </c>
      <c r="M137">
        <v>-1.6244400000000001</v>
      </c>
      <c r="N137" t="s">
        <v>23</v>
      </c>
      <c r="O137">
        <v>586</v>
      </c>
      <c r="P137">
        <v>13.1</v>
      </c>
      <c r="Q137">
        <v>3</v>
      </c>
      <c r="R137" s="7" t="str">
        <f>IF(AllData[[#This Row],[Nitrate (PPM)]]&gt;2, "Very high", IF(AllData[[#This Row],[Nitrate (PPM)]]&gt;1, "High", IF(AllData[[#This Row],[Nitrate (PPM)]]&gt;0.5, "Some evidence", IF(AllData[[#This Row],[Nitrate (PPM)]]&gt;=0, "No evidence"))))</f>
        <v>Very high</v>
      </c>
      <c r="S137" s="4">
        <v>0.6</v>
      </c>
      <c r="T137" s="7" t="str">
        <f>IF(AllData[[#This Row],[Phosphate (PPM)]]&gt;0.5, "Very high", IF(AllData[[#This Row],[Phosphate (PPM)]]&gt;0.1, "High", IF(AllData[[#This Row],[Phosphate (PPM)]]&gt;0.05, "Some evidence", IF(AllData[[#This Row],[Phosphate (PPM)]]&lt;=0.05, "No Evidence", ""))))</f>
        <v>Very high</v>
      </c>
      <c r="U137">
        <v>0</v>
      </c>
      <c r="V137" t="s">
        <v>242</v>
      </c>
    </row>
    <row r="138" spans="1:22" x14ac:dyDescent="0.25">
      <c r="A138" t="s">
        <v>243</v>
      </c>
      <c r="B138" s="2">
        <v>45214</v>
      </c>
      <c r="C138" s="2" t="str" cm="1">
        <f t="array" ref="C1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8">
        <f>YEAR(AllData[[#This Row],[Date]])</f>
        <v>2023</v>
      </c>
      <c r="E138" s="1">
        <v>0.66666666666666663</v>
      </c>
      <c r="F138" s="2" t="str">
        <f>IF(AND(AllData[[#This Row],[Time]]&lt;0.5, AllData[[#This Row],[Time]]&gt;0.17)=TRUE, "Morning", IF(AND(AllData[[#This Row],[Time]]&lt;0.75, AllData[[#This Row],[Time]]&gt;=0.5)=TRUE, "Afternoon", IF(AND(AllData[[#This Row],[Time]]&lt;1, AllData[[#This Row],[Time]]&gt;=0.75)=TRUE, "Evening", "Night")))</f>
        <v>Afternoon</v>
      </c>
      <c r="G138" t="str">
        <f>_xlfn.XLOOKUP(AllData[[#This Row],[Location Name]], Locations[Location Name],Locations[Group As])</f>
        <v>Welford Boat Station</v>
      </c>
      <c r="H138" t="e" vm="2">
        <f>_xlfn.XLOOKUP(AllData[[#This Row],[Site Name]],LocationsKey[Site Name],LocationsKey[District])</f>
        <v>#VALUE!</v>
      </c>
      <c r="I138" t="e" vm="5">
        <f>_xlfn.XLOOKUP(AllData[[#This Row],[Site Name]],LocationsKey[Site Name],LocationsKey[Town])</f>
        <v>#VALUE!</v>
      </c>
      <c r="J138" t="str">
        <f>_xlfn.XLOOKUP(AllData[[#This Row],[Site Name]],LocationsKey[Site Name], LocationsKey[Waterway])</f>
        <v>Avon</v>
      </c>
      <c r="K138" t="s">
        <v>39</v>
      </c>
      <c r="L138">
        <v>52.175240000000002</v>
      </c>
      <c r="M138">
        <v>-1.7918700000000001</v>
      </c>
      <c r="N138" t="s">
        <v>29</v>
      </c>
      <c r="O138">
        <v>582</v>
      </c>
      <c r="P138">
        <v>13.2</v>
      </c>
      <c r="Q138">
        <v>2</v>
      </c>
      <c r="R138" s="7" t="str">
        <f>IF(AllData[[#This Row],[Nitrate (PPM)]]&gt;2, "Very high", IF(AllData[[#This Row],[Nitrate (PPM)]]&gt;1, "High", IF(AllData[[#This Row],[Nitrate (PPM)]]&gt;0.5, "Some evidence", IF(AllData[[#This Row],[Nitrate (PPM)]]&gt;=0, "No evidence"))))</f>
        <v>High</v>
      </c>
      <c r="S138" s="4">
        <v>0.78</v>
      </c>
      <c r="T138" s="7" t="str">
        <f>IF(AllData[[#This Row],[Phosphate (PPM)]]&gt;0.5, "Very high", IF(AllData[[#This Row],[Phosphate (PPM)]]&gt;0.1, "High", IF(AllData[[#This Row],[Phosphate (PPM)]]&gt;0.05, "Some evidence", IF(AllData[[#This Row],[Phosphate (PPM)]]&lt;=0.05, "No Evidence", ""))))</f>
        <v>Very high</v>
      </c>
      <c r="U138">
        <v>0</v>
      </c>
      <c r="V138" t="s">
        <v>244</v>
      </c>
    </row>
    <row r="139" spans="1:22" x14ac:dyDescent="0.25">
      <c r="A139" t="s">
        <v>246</v>
      </c>
      <c r="B139" s="2">
        <v>45215</v>
      </c>
      <c r="C139" s="2" t="str" cm="1">
        <f t="array" ref="C1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39">
        <f>YEAR(AllData[[#This Row],[Date]])</f>
        <v>2023</v>
      </c>
      <c r="E139" s="1">
        <v>0.625</v>
      </c>
      <c r="F139" s="2" t="str">
        <f>IF(AND(AllData[[#This Row],[Time]]&lt;0.5, AllData[[#This Row],[Time]]&gt;0.17)=TRUE, "Morning", IF(AND(AllData[[#This Row],[Time]]&lt;0.75, AllData[[#This Row],[Time]]&gt;=0.5)=TRUE, "Afternoon", IF(AND(AllData[[#This Row],[Time]]&lt;1, AllData[[#This Row],[Time]]&gt;=0.75)=TRUE, "Evening", "Night")))</f>
        <v>Afternoon</v>
      </c>
      <c r="G139" t="str">
        <f>_xlfn.XLOOKUP(AllData[[#This Row],[Location Name]], Locations[Location Name],Locations[Group As])</f>
        <v>Weston-on-Avon</v>
      </c>
      <c r="H139" t="e" vm="2">
        <f>_xlfn.XLOOKUP(AllData[[#This Row],[Site Name]],LocationsKey[Site Name],LocationsKey[District])</f>
        <v>#VALUE!</v>
      </c>
      <c r="I139" t="e" vm="6">
        <f>_xlfn.XLOOKUP(AllData[[#This Row],[Site Name]],LocationsKey[Site Name],LocationsKey[Town])</f>
        <v>#VALUE!</v>
      </c>
      <c r="J139" t="str">
        <f>_xlfn.XLOOKUP(AllData[[#This Row],[Site Name]],LocationsKey[Site Name], LocationsKey[Waterway])</f>
        <v>Avon</v>
      </c>
      <c r="K139" t="s">
        <v>41</v>
      </c>
      <c r="L139">
        <v>52.167430000000003</v>
      </c>
      <c r="M139">
        <v>-1.7744800000000001</v>
      </c>
      <c r="N139" t="s">
        <v>29</v>
      </c>
      <c r="O139">
        <v>696</v>
      </c>
      <c r="P139">
        <v>12</v>
      </c>
      <c r="Q139">
        <v>4</v>
      </c>
      <c r="R139" s="7" t="str">
        <f>IF(AllData[[#This Row],[Nitrate (PPM)]]&gt;2, "Very high", IF(AllData[[#This Row],[Nitrate (PPM)]]&gt;1, "High", IF(AllData[[#This Row],[Nitrate (PPM)]]&gt;0.5, "Some evidence", IF(AllData[[#This Row],[Nitrate (PPM)]]&gt;=0, "No evidence"))))</f>
        <v>Very high</v>
      </c>
      <c r="S139" s="4">
        <v>0.64</v>
      </c>
      <c r="T139" s="7" t="str">
        <f>IF(AllData[[#This Row],[Phosphate (PPM)]]&gt;0.5, "Very high", IF(AllData[[#This Row],[Phosphate (PPM)]]&gt;0.1, "High", IF(AllData[[#This Row],[Phosphate (PPM)]]&gt;0.05, "Some evidence", IF(AllData[[#This Row],[Phosphate (PPM)]]&lt;=0.05, "No Evidence", ""))))</f>
        <v>Very high</v>
      </c>
      <c r="U139">
        <v>0</v>
      </c>
      <c r="V139" t="s">
        <v>247</v>
      </c>
    </row>
    <row r="140" spans="1:22" x14ac:dyDescent="0.25">
      <c r="A140" t="s">
        <v>248</v>
      </c>
      <c r="B140" s="2">
        <v>45216</v>
      </c>
      <c r="C140" s="2" t="str" cm="1">
        <f t="array" ref="C1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0">
        <f>YEAR(AllData[[#This Row],[Date]])</f>
        <v>2023</v>
      </c>
      <c r="E140" s="1">
        <v>0.42708333333333331</v>
      </c>
      <c r="F140" s="2" t="str">
        <f>IF(AND(AllData[[#This Row],[Time]]&lt;0.5, AllData[[#This Row],[Time]]&gt;0.17)=TRUE, "Morning", IF(AND(AllData[[#This Row],[Time]]&lt;0.75, AllData[[#This Row],[Time]]&gt;=0.5)=TRUE, "Afternoon", IF(AND(AllData[[#This Row],[Time]]&lt;1, AllData[[#This Row],[Time]]&gt;=0.75)=TRUE, "Evening", "Night")))</f>
        <v>Morning</v>
      </c>
      <c r="G140" t="str">
        <f>_xlfn.XLOOKUP(AllData[[#This Row],[Location Name]], Locations[Location Name],Locations[Group As])</f>
        <v>Clifford Chambers Mill Bridge</v>
      </c>
      <c r="H140" t="e" vm="2">
        <f>_xlfn.XLOOKUP(AllData[[#This Row],[Site Name]],LocationsKey[Site Name],LocationsKey[District])</f>
        <v>#VALUE!</v>
      </c>
      <c r="I140" t="e" vm="12">
        <f>_xlfn.XLOOKUP(AllData[[#This Row],[Site Name]],LocationsKey[Site Name],LocationsKey[Town])</f>
        <v>#VALUE!</v>
      </c>
      <c r="J140" t="str">
        <f>_xlfn.XLOOKUP(AllData[[#This Row],[Site Name]],LocationsKey[Site Name], LocationsKey[Waterway])</f>
        <v>Stour</v>
      </c>
      <c r="K140" t="s">
        <v>249</v>
      </c>
      <c r="L140">
        <v>52.166370000000001</v>
      </c>
      <c r="M140">
        <v>-1.708032</v>
      </c>
      <c r="N140" t="s">
        <v>66</v>
      </c>
      <c r="O140">
        <v>599</v>
      </c>
      <c r="P140">
        <v>12.6</v>
      </c>
      <c r="Q140">
        <v>8</v>
      </c>
      <c r="R140" s="7" t="str">
        <f>IF(AllData[[#This Row],[Nitrate (PPM)]]&gt;2, "Very high", IF(AllData[[#This Row],[Nitrate (PPM)]]&gt;1, "High", IF(AllData[[#This Row],[Nitrate (PPM)]]&gt;0.5, "Some evidence", IF(AllData[[#This Row],[Nitrate (PPM)]]&gt;=0, "No evidence"))))</f>
        <v>Very high</v>
      </c>
      <c r="S140" s="4">
        <v>0.42</v>
      </c>
      <c r="T140" s="7" t="str">
        <f>IF(AllData[[#This Row],[Phosphate (PPM)]]&gt;0.5, "Very high", IF(AllData[[#This Row],[Phosphate (PPM)]]&gt;0.1, "High", IF(AllData[[#This Row],[Phosphate (PPM)]]&gt;0.05, "Some evidence", IF(AllData[[#This Row],[Phosphate (PPM)]]&lt;=0.05, "No Evidence", ""))))</f>
        <v>High</v>
      </c>
      <c r="U140">
        <v>0.5</v>
      </c>
    </row>
    <row r="141" spans="1:22" x14ac:dyDescent="0.25">
      <c r="A141" t="s">
        <v>250</v>
      </c>
      <c r="B141" s="2">
        <v>45217</v>
      </c>
      <c r="C141" s="2" t="str" cm="1">
        <f t="array" ref="C1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1">
        <f>YEAR(AllData[[#This Row],[Date]])</f>
        <v>2023</v>
      </c>
      <c r="E141" s="1">
        <v>0.66666666666666663</v>
      </c>
      <c r="F141" s="2" t="str">
        <f>IF(AND(AllData[[#This Row],[Time]]&lt;0.5, AllData[[#This Row],[Time]]&gt;0.17)=TRUE, "Morning", IF(AND(AllData[[#This Row],[Time]]&lt;0.75, AllData[[#This Row],[Time]]&gt;=0.5)=TRUE, "Afternoon", IF(AND(AllData[[#This Row],[Time]]&lt;1, AllData[[#This Row],[Time]]&gt;=0.75)=TRUE, "Evening", "Night")))</f>
        <v>Afternoon</v>
      </c>
      <c r="G141" t="str">
        <f>_xlfn.XLOOKUP(AllData[[#This Row],[Location Name]], Locations[Location Name],Locations[Group As])</f>
        <v>Stour Newbold Mill</v>
      </c>
      <c r="H141" t="e" vm="2">
        <f>_xlfn.XLOOKUP(AllData[[#This Row],[Site Name]],LocationsKey[Site Name],LocationsKey[District])</f>
        <v>#VALUE!</v>
      </c>
      <c r="I141" t="e" vm="8">
        <f>_xlfn.XLOOKUP(AllData[[#This Row],[Site Name]],LocationsKey[Site Name],LocationsKey[Town])</f>
        <v>#VALUE!</v>
      </c>
      <c r="J141" t="str">
        <f>_xlfn.XLOOKUP(AllData[[#This Row],[Site Name]],LocationsKey[Site Name], LocationsKey[Waterway])</f>
        <v>Stour</v>
      </c>
      <c r="K141" t="s">
        <v>203</v>
      </c>
      <c r="L141">
        <v>52.112833000000002</v>
      </c>
      <c r="M141">
        <v>-1.6334340000000001</v>
      </c>
      <c r="N141" t="s">
        <v>29</v>
      </c>
      <c r="O141">
        <v>674</v>
      </c>
      <c r="P141">
        <v>11.7</v>
      </c>
      <c r="Q141">
        <v>5</v>
      </c>
      <c r="R141" s="7" t="str">
        <f>IF(AllData[[#This Row],[Nitrate (PPM)]]&gt;2, "Very high", IF(AllData[[#This Row],[Nitrate (PPM)]]&gt;1, "High", IF(AllData[[#This Row],[Nitrate (PPM)]]&gt;0.5, "Some evidence", IF(AllData[[#This Row],[Nitrate (PPM)]]&gt;=0, "No evidence"))))</f>
        <v>Very high</v>
      </c>
      <c r="S141" s="4">
        <v>0.52</v>
      </c>
      <c r="T141" s="7" t="str">
        <f>IF(AllData[[#This Row],[Phosphate (PPM)]]&gt;0.5, "Very high", IF(AllData[[#This Row],[Phosphate (PPM)]]&gt;0.1, "High", IF(AllData[[#This Row],[Phosphate (PPM)]]&gt;0.05, "Some evidence", IF(AllData[[#This Row],[Phosphate (PPM)]]&lt;=0.05, "No Evidence", ""))))</f>
        <v>Very high</v>
      </c>
      <c r="U141">
        <v>2</v>
      </c>
      <c r="V141" t="s">
        <v>251</v>
      </c>
    </row>
    <row r="142" spans="1:22" x14ac:dyDescent="0.25">
      <c r="A142" t="s">
        <v>252</v>
      </c>
      <c r="B142" s="2">
        <v>45218</v>
      </c>
      <c r="C142" s="2" t="str" cm="1">
        <f t="array" ref="C1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2">
        <f>YEAR(AllData[[#This Row],[Date]])</f>
        <v>2023</v>
      </c>
      <c r="E142" s="1">
        <v>0.42708333333333331</v>
      </c>
      <c r="F142" s="2" t="str">
        <f>IF(AND(AllData[[#This Row],[Time]]&lt;0.5, AllData[[#This Row],[Time]]&gt;0.17)=TRUE, "Morning", IF(AND(AllData[[#This Row],[Time]]&lt;0.75, AllData[[#This Row],[Time]]&gt;=0.5)=TRUE, "Afternoon", IF(AND(AllData[[#This Row],[Time]]&lt;1, AllData[[#This Row],[Time]]&gt;=0.75)=TRUE, "Evening", "Night")))</f>
        <v>Morning</v>
      </c>
      <c r="G142" t="str">
        <f>_xlfn.XLOOKUP(AllData[[#This Row],[Location Name]], Locations[Location Name],Locations[Group As])</f>
        <v>Swilgate</v>
      </c>
      <c r="H142" t="e" vm="1">
        <f>_xlfn.XLOOKUP(AllData[[#This Row],[Site Name]],LocationsKey[Site Name],LocationsKey[District])</f>
        <v>#VALUE!</v>
      </c>
      <c r="I142" t="e" vm="1">
        <f>_xlfn.XLOOKUP(AllData[[#This Row],[Site Name]],LocationsKey[Site Name],LocationsKey[Town])</f>
        <v>#VALUE!</v>
      </c>
      <c r="J142" t="str">
        <f>_xlfn.XLOOKUP(AllData[[#This Row],[Site Name]],LocationsKey[Site Name], LocationsKey[Waterway])</f>
        <v>Swilgate</v>
      </c>
      <c r="K142" t="s">
        <v>84</v>
      </c>
      <c r="N142" t="s">
        <v>23</v>
      </c>
      <c r="O142">
        <v>542</v>
      </c>
      <c r="P142">
        <v>14.6</v>
      </c>
      <c r="Q142">
        <v>6</v>
      </c>
      <c r="R142" s="7" t="str">
        <f>IF(AllData[[#This Row],[Nitrate (PPM)]]&gt;2, "Very high", IF(AllData[[#This Row],[Nitrate (PPM)]]&gt;1, "High", IF(AllData[[#This Row],[Nitrate (PPM)]]&gt;0.5, "Some evidence", IF(AllData[[#This Row],[Nitrate (PPM)]]&gt;=0, "No evidence"))))</f>
        <v>Very high</v>
      </c>
      <c r="S142" s="4">
        <v>0.6</v>
      </c>
      <c r="T142" s="7" t="str">
        <f>IF(AllData[[#This Row],[Phosphate (PPM)]]&gt;0.5, "Very high", IF(AllData[[#This Row],[Phosphate (PPM)]]&gt;0.1, "High", IF(AllData[[#This Row],[Phosphate (PPM)]]&gt;0.05, "Some evidence", IF(AllData[[#This Row],[Phosphate (PPM)]]&lt;=0.05, "No Evidence", ""))))</f>
        <v>Very high</v>
      </c>
      <c r="U142">
        <v>1</v>
      </c>
      <c r="V142" t="s">
        <v>26</v>
      </c>
    </row>
    <row r="143" spans="1:22" x14ac:dyDescent="0.25">
      <c r="A143" t="s">
        <v>253</v>
      </c>
      <c r="B143" s="2">
        <v>45218</v>
      </c>
      <c r="C143" s="2" t="str" cm="1">
        <f t="array" ref="C1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3">
        <f>YEAR(AllData[[#This Row],[Date]])</f>
        <v>2023</v>
      </c>
      <c r="E143" s="1">
        <v>0.52083333333333337</v>
      </c>
      <c r="F143" s="2" t="str">
        <f>IF(AND(AllData[[#This Row],[Time]]&lt;0.5, AllData[[#This Row],[Time]]&gt;0.17)=TRUE, "Morning", IF(AND(AllData[[#This Row],[Time]]&lt;0.75, AllData[[#This Row],[Time]]&gt;=0.5)=TRUE, "Afternoon", IF(AND(AllData[[#This Row],[Time]]&lt;1, AllData[[#This Row],[Time]]&gt;=0.75)=TRUE, "Evening", "Night")))</f>
        <v>Afternoon</v>
      </c>
      <c r="G143" t="str">
        <f>_xlfn.XLOOKUP(AllData[[#This Row],[Location Name]], Locations[Location Name],Locations[Group As])</f>
        <v>Preston-on-Stour River Bridge</v>
      </c>
      <c r="H143" t="e" vm="2">
        <f>_xlfn.XLOOKUP(AllData[[#This Row],[Site Name]],LocationsKey[Site Name],LocationsKey[District])</f>
        <v>#VALUE!</v>
      </c>
      <c r="I143" t="e" vm="9">
        <f>_xlfn.XLOOKUP(AllData[[#This Row],[Site Name]],LocationsKey[Site Name],LocationsKey[Town])</f>
        <v>#VALUE!</v>
      </c>
      <c r="J143" t="str">
        <f>_xlfn.XLOOKUP(AllData[[#This Row],[Site Name]],LocationsKey[Site Name], LocationsKey[Waterway])</f>
        <v>Stour</v>
      </c>
      <c r="K143" t="s">
        <v>163</v>
      </c>
      <c r="L143">
        <v>52.146563</v>
      </c>
      <c r="M143">
        <v>-1.6999219999999999</v>
      </c>
      <c r="N143" t="s">
        <v>29</v>
      </c>
      <c r="O143">
        <v>675</v>
      </c>
      <c r="P143">
        <v>14.7</v>
      </c>
      <c r="Q143">
        <v>5</v>
      </c>
      <c r="R143" s="7" t="str">
        <f>IF(AllData[[#This Row],[Nitrate (PPM)]]&gt;2, "Very high", IF(AllData[[#This Row],[Nitrate (PPM)]]&gt;1, "High", IF(AllData[[#This Row],[Nitrate (PPM)]]&gt;0.5, "Some evidence", IF(AllData[[#This Row],[Nitrate (PPM)]]&gt;=0, "No evidence"))))</f>
        <v>Very high</v>
      </c>
      <c r="S143" s="4">
        <v>0.61</v>
      </c>
      <c r="T143" s="7" t="str">
        <f>IF(AllData[[#This Row],[Phosphate (PPM)]]&gt;0.5, "Very high", IF(AllData[[#This Row],[Phosphate (PPM)]]&gt;0.1, "High", IF(AllData[[#This Row],[Phosphate (PPM)]]&gt;0.05, "Some evidence", IF(AllData[[#This Row],[Phosphate (PPM)]]&lt;=0.05, "No Evidence", ""))))</f>
        <v>Very high</v>
      </c>
      <c r="U143">
        <v>1.5</v>
      </c>
      <c r="V143" t="s">
        <v>254</v>
      </c>
    </row>
    <row r="144" spans="1:22" x14ac:dyDescent="0.25">
      <c r="A144" t="s">
        <v>255</v>
      </c>
      <c r="B144" s="2">
        <v>45220</v>
      </c>
      <c r="C144" s="2" t="str" cm="1">
        <f t="array" ref="C1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4">
        <f>YEAR(AllData[[#This Row],[Date]])</f>
        <v>2023</v>
      </c>
      <c r="E144" s="1">
        <v>0.46875</v>
      </c>
      <c r="F144" s="2" t="str">
        <f>IF(AND(AllData[[#This Row],[Time]]&lt;0.5, AllData[[#This Row],[Time]]&gt;0.17)=TRUE, "Morning", IF(AND(AllData[[#This Row],[Time]]&lt;0.75, AllData[[#This Row],[Time]]&gt;=0.5)=TRUE, "Afternoon", IF(AND(AllData[[#This Row],[Time]]&lt;1, AllData[[#This Row],[Time]]&gt;=0.75)=TRUE, "Evening", "Night")))</f>
        <v>Morning</v>
      </c>
      <c r="G144" t="str">
        <f>_xlfn.XLOOKUP(AllData[[#This Row],[Location Name]], Locations[Location Name],Locations[Group As])</f>
        <v>Avonbank Drive</v>
      </c>
      <c r="H144" t="e" vm="2">
        <f>_xlfn.XLOOKUP(AllData[[#This Row],[Site Name]],LocationsKey[Site Name],LocationsKey[District])</f>
        <v>#VALUE!</v>
      </c>
      <c r="I144" t="e" vm="7">
        <f>_xlfn.XLOOKUP(AllData[[#This Row],[Site Name]],LocationsKey[Site Name],LocationsKey[Town])</f>
        <v>#VALUE!</v>
      </c>
      <c r="J144" t="str">
        <f>_xlfn.XLOOKUP(AllData[[#This Row],[Site Name]],LocationsKey[Site Name], LocationsKey[Waterway])</f>
        <v>Avon</v>
      </c>
      <c r="K144" t="s">
        <v>103</v>
      </c>
      <c r="L144">
        <v>52.177</v>
      </c>
      <c r="M144">
        <v>-1.736</v>
      </c>
      <c r="N144" t="s">
        <v>66</v>
      </c>
      <c r="O144">
        <v>454</v>
      </c>
      <c r="P144">
        <v>14.7</v>
      </c>
      <c r="Q144">
        <v>10</v>
      </c>
      <c r="R144" s="7" t="str">
        <f>IF(AllData[[#This Row],[Nitrate (PPM)]]&gt;2, "Very high", IF(AllData[[#This Row],[Nitrate (PPM)]]&gt;1, "High", IF(AllData[[#This Row],[Nitrate (PPM)]]&gt;0.5, "Some evidence", IF(AllData[[#This Row],[Nitrate (PPM)]]&gt;=0, "No evidence"))))</f>
        <v>Very high</v>
      </c>
      <c r="S144" s="4">
        <v>1.1000000000000001</v>
      </c>
      <c r="T144" s="7" t="str">
        <f>IF(AllData[[#This Row],[Phosphate (PPM)]]&gt;0.5, "Very high", IF(AllData[[#This Row],[Phosphate (PPM)]]&gt;0.1, "High", IF(AllData[[#This Row],[Phosphate (PPM)]]&gt;0.05, "Some evidence", IF(AllData[[#This Row],[Phosphate (PPM)]]&lt;=0.05, "No Evidence", ""))))</f>
        <v>Very high</v>
      </c>
      <c r="U144">
        <v>1.1000000000000001</v>
      </c>
      <c r="V144" t="s">
        <v>256</v>
      </c>
    </row>
    <row r="145" spans="1:22" x14ac:dyDescent="0.25">
      <c r="A145" t="s">
        <v>257</v>
      </c>
      <c r="B145" s="2">
        <v>45220</v>
      </c>
      <c r="C145" s="2" t="str" cm="1">
        <f t="array" ref="C1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5">
        <f>YEAR(AllData[[#This Row],[Date]])</f>
        <v>2023</v>
      </c>
      <c r="E145" s="1">
        <v>0.65625</v>
      </c>
      <c r="F145" s="2" t="str">
        <f>IF(AND(AllData[[#This Row],[Time]]&lt;0.5, AllData[[#This Row],[Time]]&gt;0.17)=TRUE, "Morning", IF(AND(AllData[[#This Row],[Time]]&lt;0.75, AllData[[#This Row],[Time]]&gt;=0.5)=TRUE, "Afternoon", IF(AND(AllData[[#This Row],[Time]]&lt;1, AllData[[#This Row],[Time]]&gt;=0.75)=TRUE, "Evening", "Night")))</f>
        <v>Afternoon</v>
      </c>
      <c r="G145" t="str">
        <f>_xlfn.XLOOKUP(AllData[[#This Row],[Location Name]], Locations[Location Name],Locations[Group As])</f>
        <v>Abbey Mill</v>
      </c>
      <c r="H145" t="e" vm="1">
        <f>_xlfn.XLOOKUP(AllData[[#This Row],[Site Name]],LocationsKey[Site Name],LocationsKey[District])</f>
        <v>#VALUE!</v>
      </c>
      <c r="I145" t="e" vm="1">
        <f>_xlfn.XLOOKUP(AllData[[#This Row],[Site Name]],LocationsKey[Site Name],LocationsKey[Town])</f>
        <v>#VALUE!</v>
      </c>
      <c r="J145" t="str">
        <f>_xlfn.XLOOKUP(AllData[[#This Row],[Site Name]],LocationsKey[Site Name], LocationsKey[Waterway])</f>
        <v>Avon</v>
      </c>
      <c r="K145" t="s">
        <v>22</v>
      </c>
      <c r="N145" t="s">
        <v>23</v>
      </c>
      <c r="O145">
        <v>435</v>
      </c>
      <c r="P145">
        <v>15.3</v>
      </c>
      <c r="Q145">
        <v>4</v>
      </c>
      <c r="R145" s="7" t="str">
        <f>IF(AllData[[#This Row],[Nitrate (PPM)]]&gt;2, "Very high", IF(AllData[[#This Row],[Nitrate (PPM)]]&gt;1, "High", IF(AllData[[#This Row],[Nitrate (PPM)]]&gt;0.5, "Some evidence", IF(AllData[[#This Row],[Nitrate (PPM)]]&gt;=0, "No evidence"))))</f>
        <v>Very high</v>
      </c>
      <c r="S145" s="4">
        <v>1.1499999999999999</v>
      </c>
      <c r="T145" s="7" t="str">
        <f>IF(AllData[[#This Row],[Phosphate (PPM)]]&gt;0.5, "Very high", IF(AllData[[#This Row],[Phosphate (PPM)]]&gt;0.1, "High", IF(AllData[[#This Row],[Phosphate (PPM)]]&gt;0.05, "Some evidence", IF(AllData[[#This Row],[Phosphate (PPM)]]&lt;=0.05, "No Evidence", ""))))</f>
        <v>Very high</v>
      </c>
      <c r="U145">
        <v>2</v>
      </c>
      <c r="V145" t="s">
        <v>258</v>
      </c>
    </row>
    <row r="146" spans="1:22" x14ac:dyDescent="0.25">
      <c r="A146" t="s">
        <v>265</v>
      </c>
      <c r="B146" s="2">
        <v>45221</v>
      </c>
      <c r="C146" s="2" t="str" cm="1">
        <f t="array" ref="C1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6">
        <f>YEAR(AllData[[#This Row],[Date]])</f>
        <v>2023</v>
      </c>
      <c r="E146" s="1">
        <v>0.42708333333333331</v>
      </c>
      <c r="F146" s="2" t="str">
        <f>IF(AND(AllData[[#This Row],[Time]]&lt;0.5, AllData[[#This Row],[Time]]&gt;0.17)=TRUE, "Morning", IF(AND(AllData[[#This Row],[Time]]&lt;0.75, AllData[[#This Row],[Time]]&gt;=0.5)=TRUE, "Afternoon", IF(AND(AllData[[#This Row],[Time]]&lt;1, AllData[[#This Row],[Time]]&gt;=0.75)=TRUE, "Evening", "Night")))</f>
        <v>Morning</v>
      </c>
      <c r="G146" t="str">
        <f>_xlfn.XLOOKUP(AllData[[#This Row],[Location Name]], Locations[Location Name],Locations[Group As])</f>
        <v>Lucy's Mill Bridge</v>
      </c>
      <c r="H146" t="e" vm="2">
        <f>_xlfn.XLOOKUP(AllData[[#This Row],[Site Name]],LocationsKey[Site Name],LocationsKey[District])</f>
        <v>#VALUE!</v>
      </c>
      <c r="I146" t="e" vm="7">
        <f>_xlfn.XLOOKUP(AllData[[#This Row],[Site Name]],LocationsKey[Site Name],LocationsKey[Town])</f>
        <v>#VALUE!</v>
      </c>
      <c r="J146" t="str">
        <f>_xlfn.XLOOKUP(AllData[[#This Row],[Site Name]],LocationsKey[Site Name], LocationsKey[Waterway])</f>
        <v>Avon</v>
      </c>
      <c r="K146" t="s">
        <v>216</v>
      </c>
      <c r="L146">
        <v>52.183698999999997</v>
      </c>
      <c r="M146">
        <v>-1.707816</v>
      </c>
      <c r="N146" t="s">
        <v>29</v>
      </c>
      <c r="P146">
        <v>13</v>
      </c>
      <c r="Q146">
        <v>10</v>
      </c>
      <c r="R146" s="7" t="str">
        <f>IF(AllData[[#This Row],[Nitrate (PPM)]]&gt;2, "Very high", IF(AllData[[#This Row],[Nitrate (PPM)]]&gt;1, "High", IF(AllData[[#This Row],[Nitrate (PPM)]]&gt;0.5, "Some evidence", IF(AllData[[#This Row],[Nitrate (PPM)]]&gt;=0, "No evidence"))))</f>
        <v>Very high</v>
      </c>
      <c r="S146" s="4">
        <v>0.88</v>
      </c>
      <c r="T146" s="7" t="str">
        <f>IF(AllData[[#This Row],[Phosphate (PPM)]]&gt;0.5, "Very high", IF(AllData[[#This Row],[Phosphate (PPM)]]&gt;0.1, "High", IF(AllData[[#This Row],[Phosphate (PPM)]]&gt;0.05, "Some evidence", IF(AllData[[#This Row],[Phosphate (PPM)]]&lt;=0.05, "No Evidence", ""))))</f>
        <v>Very high</v>
      </c>
      <c r="U146">
        <v>0.7</v>
      </c>
    </row>
    <row r="147" spans="1:22" x14ac:dyDescent="0.25">
      <c r="A147" t="s">
        <v>259</v>
      </c>
      <c r="B147" s="2">
        <v>45221</v>
      </c>
      <c r="C147" s="2" t="str" cm="1">
        <f t="array" ref="C1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7">
        <f>YEAR(AllData[[#This Row],[Date]])</f>
        <v>2023</v>
      </c>
      <c r="E147" s="1">
        <v>0.44444444444444442</v>
      </c>
      <c r="F147" s="2" t="str">
        <f>IF(AND(AllData[[#This Row],[Time]]&lt;0.5, AllData[[#This Row],[Time]]&gt;0.17)=TRUE, "Morning", IF(AND(AllData[[#This Row],[Time]]&lt;0.75, AllData[[#This Row],[Time]]&gt;=0.5)=TRUE, "Afternoon", IF(AND(AllData[[#This Row],[Time]]&lt;1, AllData[[#This Row],[Time]]&gt;=0.75)=TRUE, "Evening", "Night")))</f>
        <v>Morning</v>
      </c>
      <c r="G147" t="str">
        <f>_xlfn.XLOOKUP(AllData[[#This Row],[Location Name]], Locations[Location Name],Locations[Group As])</f>
        <v>Hampton Wood</v>
      </c>
      <c r="H147" t="e" vm="2">
        <f>_xlfn.XLOOKUP(AllData[[#This Row],[Site Name]],LocationsKey[Site Name],LocationsKey[District])</f>
        <v>#VALUE!</v>
      </c>
      <c r="I147" t="e" vm="3">
        <f>_xlfn.XLOOKUP(AllData[[#This Row],[Site Name]],LocationsKey[Site Name],LocationsKey[Town])</f>
        <v>#VALUE!</v>
      </c>
      <c r="J147" t="str">
        <f>_xlfn.XLOOKUP(AllData[[#This Row],[Site Name]],LocationsKey[Site Name], LocationsKey[Waterway])</f>
        <v>Avon</v>
      </c>
      <c r="K147" t="s">
        <v>34</v>
      </c>
      <c r="L147">
        <v>52.238149999999997</v>
      </c>
      <c r="M147">
        <v>-1.6245799999999999</v>
      </c>
      <c r="N147" t="s">
        <v>29</v>
      </c>
      <c r="O147">
        <v>530</v>
      </c>
      <c r="P147">
        <v>11.5</v>
      </c>
      <c r="Q147">
        <v>3</v>
      </c>
      <c r="R147" s="7" t="str">
        <f>IF(AllData[[#This Row],[Nitrate (PPM)]]&gt;2, "Very high", IF(AllData[[#This Row],[Nitrate (PPM)]]&gt;1, "High", IF(AllData[[#This Row],[Nitrate (PPM)]]&gt;0.5, "Some evidence", IF(AllData[[#This Row],[Nitrate (PPM)]]&gt;=0, "No evidence"))))</f>
        <v>Very high</v>
      </c>
      <c r="S147" s="4">
        <v>0.73</v>
      </c>
      <c r="T147" s="7" t="str">
        <f>IF(AllData[[#This Row],[Phosphate (PPM)]]&gt;0.5, "Very high", IF(AllData[[#This Row],[Phosphate (PPM)]]&gt;0.1, "High", IF(AllData[[#This Row],[Phosphate (PPM)]]&gt;0.05, "Some evidence", IF(AllData[[#This Row],[Phosphate (PPM)]]&lt;=0.05, "No Evidence", ""))))</f>
        <v>Very high</v>
      </c>
      <c r="U147">
        <v>0</v>
      </c>
      <c r="V147" t="s">
        <v>260</v>
      </c>
    </row>
    <row r="148" spans="1:22" x14ac:dyDescent="0.25">
      <c r="A148" t="s">
        <v>261</v>
      </c>
      <c r="B148" s="2">
        <v>45221</v>
      </c>
      <c r="C148" s="2" t="str" cm="1">
        <f t="array" ref="C1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8">
        <f>YEAR(AllData[[#This Row],[Date]])</f>
        <v>2023</v>
      </c>
      <c r="E148" s="1">
        <v>0.52083333333333337</v>
      </c>
      <c r="F148" s="2" t="str">
        <f>IF(AND(AllData[[#This Row],[Time]]&lt;0.5, AllData[[#This Row],[Time]]&gt;0.17)=TRUE, "Morning", IF(AND(AllData[[#This Row],[Time]]&lt;0.75, AllData[[#This Row],[Time]]&gt;=0.5)=TRUE, "Afternoon", IF(AND(AllData[[#This Row],[Time]]&lt;1, AllData[[#This Row],[Time]]&gt;=0.75)=TRUE, "Evening", "Night")))</f>
        <v>Afternoon</v>
      </c>
      <c r="G148" t="str">
        <f>_xlfn.XLOOKUP(AllData[[#This Row],[Location Name]], Locations[Location Name],Locations[Group As])</f>
        <v>Hampton Lucy</v>
      </c>
      <c r="H148" t="e" vm="2">
        <f>_xlfn.XLOOKUP(AllData[[#This Row],[Site Name]],LocationsKey[Site Name],LocationsKey[District])</f>
        <v>#VALUE!</v>
      </c>
      <c r="I148" t="e" vm="4">
        <f>_xlfn.XLOOKUP(AllData[[#This Row],[Site Name]],LocationsKey[Site Name],LocationsKey[Town])</f>
        <v>#VALUE!</v>
      </c>
      <c r="J148" t="str">
        <f>_xlfn.XLOOKUP(AllData[[#This Row],[Site Name]],LocationsKey[Site Name], LocationsKey[Waterway])</f>
        <v>Avon</v>
      </c>
      <c r="K148" t="s">
        <v>37</v>
      </c>
      <c r="L148">
        <v>52.211680000000001</v>
      </c>
      <c r="M148">
        <v>-1.6244400000000001</v>
      </c>
      <c r="N148" t="s">
        <v>23</v>
      </c>
      <c r="O148">
        <v>506</v>
      </c>
      <c r="P148">
        <v>12.5</v>
      </c>
      <c r="Q148">
        <v>2</v>
      </c>
      <c r="R148" s="7" t="str">
        <f>IF(AllData[[#This Row],[Nitrate (PPM)]]&gt;2, "Very high", IF(AllData[[#This Row],[Nitrate (PPM)]]&gt;1, "High", IF(AllData[[#This Row],[Nitrate (PPM)]]&gt;0.5, "Some evidence", IF(AllData[[#This Row],[Nitrate (PPM)]]&gt;=0, "No evidence"))))</f>
        <v>High</v>
      </c>
      <c r="S148" s="4">
        <v>0.74</v>
      </c>
      <c r="T148" s="7" t="str">
        <f>IF(AllData[[#This Row],[Phosphate (PPM)]]&gt;0.5, "Very high", IF(AllData[[#This Row],[Phosphate (PPM)]]&gt;0.1, "High", IF(AllData[[#This Row],[Phosphate (PPM)]]&gt;0.05, "Some evidence", IF(AllData[[#This Row],[Phosphate (PPM)]]&lt;=0.05, "No Evidence", ""))))</f>
        <v>Very high</v>
      </c>
      <c r="U148">
        <v>0</v>
      </c>
    </row>
    <row r="149" spans="1:22" x14ac:dyDescent="0.25">
      <c r="A149" t="s">
        <v>262</v>
      </c>
      <c r="B149" s="2">
        <v>45221</v>
      </c>
      <c r="C149" s="2" t="str" cm="1">
        <f t="array" ref="C1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49">
        <f>YEAR(AllData[[#This Row],[Date]])</f>
        <v>2023</v>
      </c>
      <c r="E149" s="1">
        <v>0.71597222222222223</v>
      </c>
      <c r="F149" s="2" t="str">
        <f>IF(AND(AllData[[#This Row],[Time]]&lt;0.5, AllData[[#This Row],[Time]]&gt;0.17)=TRUE, "Morning", IF(AND(AllData[[#This Row],[Time]]&lt;0.75, AllData[[#This Row],[Time]]&gt;=0.5)=TRUE, "Afternoon", IF(AND(AllData[[#This Row],[Time]]&lt;1, AllData[[#This Row],[Time]]&gt;=0.75)=TRUE, "Evening", "Night")))</f>
        <v>Afternoon</v>
      </c>
      <c r="G149" t="str">
        <f>_xlfn.XLOOKUP(AllData[[#This Row],[Location Name]], Locations[Location Name],Locations[Group As])</f>
        <v>Clifford Chambers Mill Bridge</v>
      </c>
      <c r="H149" t="e" vm="2">
        <f>_xlfn.XLOOKUP(AllData[[#This Row],[Site Name]],LocationsKey[Site Name],LocationsKey[District])</f>
        <v>#VALUE!</v>
      </c>
      <c r="I149" t="e" vm="12">
        <f>_xlfn.XLOOKUP(AllData[[#This Row],[Site Name]],LocationsKey[Site Name],LocationsKey[Town])</f>
        <v>#VALUE!</v>
      </c>
      <c r="J149" t="str">
        <f>_xlfn.XLOOKUP(AllData[[#This Row],[Site Name]],LocationsKey[Site Name], LocationsKey[Waterway])</f>
        <v>Stour</v>
      </c>
      <c r="K149" t="s">
        <v>263</v>
      </c>
      <c r="L149">
        <v>52.166370000000001</v>
      </c>
      <c r="M149">
        <v>-1.708032</v>
      </c>
      <c r="N149" t="s">
        <v>66</v>
      </c>
      <c r="O149">
        <v>521</v>
      </c>
      <c r="P149">
        <v>14.5</v>
      </c>
      <c r="Q149">
        <v>5</v>
      </c>
      <c r="R149" s="7" t="str">
        <f>IF(AllData[[#This Row],[Nitrate (PPM)]]&gt;2, "Very high", IF(AllData[[#This Row],[Nitrate (PPM)]]&gt;1, "High", IF(AllData[[#This Row],[Nitrate (PPM)]]&gt;0.5, "Some evidence", IF(AllData[[#This Row],[Nitrate (PPM)]]&gt;=0, "No evidence"))))</f>
        <v>Very high</v>
      </c>
      <c r="S149" s="4">
        <v>0.28000000000000003</v>
      </c>
      <c r="T149" s="7" t="str">
        <f>IF(AllData[[#This Row],[Phosphate (PPM)]]&gt;0.5, "Very high", IF(AllData[[#This Row],[Phosphate (PPM)]]&gt;0.1, "High", IF(AllData[[#This Row],[Phosphate (PPM)]]&gt;0.05, "Some evidence", IF(AllData[[#This Row],[Phosphate (PPM)]]&lt;=0.05, "No Evidence", ""))))</f>
        <v>High</v>
      </c>
      <c r="U149">
        <v>1.25</v>
      </c>
      <c r="V149" t="s">
        <v>264</v>
      </c>
    </row>
    <row r="150" spans="1:22" x14ac:dyDescent="0.25">
      <c r="A150" t="s">
        <v>266</v>
      </c>
      <c r="B150" s="2">
        <v>45223</v>
      </c>
      <c r="C150" s="2" t="str" cm="1">
        <f t="array" ref="C1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0">
        <f>YEAR(AllData[[#This Row],[Date]])</f>
        <v>2023</v>
      </c>
      <c r="E150" s="1">
        <v>0.64583333333333337</v>
      </c>
      <c r="F150" s="2" t="str">
        <f>IF(AND(AllData[[#This Row],[Time]]&lt;0.5, AllData[[#This Row],[Time]]&gt;0.17)=TRUE, "Morning", IF(AND(AllData[[#This Row],[Time]]&lt;0.75, AllData[[#This Row],[Time]]&gt;=0.5)=TRUE, "Afternoon", IF(AND(AllData[[#This Row],[Time]]&lt;1, AllData[[#This Row],[Time]]&gt;=0.75)=TRUE, "Evening", "Night")))</f>
        <v>Afternoon</v>
      </c>
      <c r="G150" t="str">
        <f>_xlfn.XLOOKUP(AllData[[#This Row],[Location Name]], Locations[Location Name],Locations[Group As])</f>
        <v>Weston-on-Avon</v>
      </c>
      <c r="H150" t="e" vm="2">
        <f>_xlfn.XLOOKUP(AllData[[#This Row],[Site Name]],LocationsKey[Site Name],LocationsKey[District])</f>
        <v>#VALUE!</v>
      </c>
      <c r="I150" t="e" vm="6">
        <f>_xlfn.XLOOKUP(AllData[[#This Row],[Site Name]],LocationsKey[Site Name],LocationsKey[Town])</f>
        <v>#VALUE!</v>
      </c>
      <c r="J150" t="str">
        <f>_xlfn.XLOOKUP(AllData[[#This Row],[Site Name]],LocationsKey[Site Name], LocationsKey[Waterway])</f>
        <v>Avon</v>
      </c>
      <c r="K150" t="s">
        <v>41</v>
      </c>
      <c r="L150">
        <v>52.167430000000003</v>
      </c>
      <c r="M150">
        <v>-1.7744800000000001</v>
      </c>
      <c r="N150" t="s">
        <v>29</v>
      </c>
      <c r="O150">
        <v>632</v>
      </c>
      <c r="P150">
        <v>13</v>
      </c>
      <c r="Q150">
        <v>4</v>
      </c>
      <c r="R150" s="7" t="str">
        <f>IF(AllData[[#This Row],[Nitrate (PPM)]]&gt;2, "Very high", IF(AllData[[#This Row],[Nitrate (PPM)]]&gt;1, "High", IF(AllData[[#This Row],[Nitrate (PPM)]]&gt;0.5, "Some evidence", IF(AllData[[#This Row],[Nitrate (PPM)]]&gt;=0, "No evidence"))))</f>
        <v>Very high</v>
      </c>
      <c r="S150" s="4">
        <v>0.6</v>
      </c>
      <c r="T150" s="7" t="str">
        <f>IF(AllData[[#This Row],[Phosphate (PPM)]]&gt;0.5, "Very high", IF(AllData[[#This Row],[Phosphate (PPM)]]&gt;0.1, "High", IF(AllData[[#This Row],[Phosphate (PPM)]]&gt;0.05, "Some evidence", IF(AllData[[#This Row],[Phosphate (PPM)]]&lt;=0.05, "No Evidence", ""))))</f>
        <v>Very high</v>
      </c>
      <c r="U150">
        <v>0</v>
      </c>
    </row>
    <row r="151" spans="1:22" x14ac:dyDescent="0.25">
      <c r="A151" t="s">
        <v>267</v>
      </c>
      <c r="B151" s="2">
        <v>45223</v>
      </c>
      <c r="C151" s="2" t="str" cm="1">
        <f t="array" ref="C1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1">
        <f>YEAR(AllData[[#This Row],[Date]])</f>
        <v>2023</v>
      </c>
      <c r="E151" s="1">
        <v>0.66666666666666663</v>
      </c>
      <c r="F151" s="2" t="str">
        <f>IF(AND(AllData[[#This Row],[Time]]&lt;0.5, AllData[[#This Row],[Time]]&gt;0.17)=TRUE, "Morning", IF(AND(AllData[[#This Row],[Time]]&lt;0.75, AllData[[#This Row],[Time]]&gt;=0.5)=TRUE, "Afternoon", IF(AND(AllData[[#This Row],[Time]]&lt;1, AllData[[#This Row],[Time]]&gt;=0.75)=TRUE, "Evening", "Night")))</f>
        <v>Afternoon</v>
      </c>
      <c r="G151" t="str">
        <f>_xlfn.XLOOKUP(AllData[[#This Row],[Location Name]], Locations[Location Name],Locations[Group As])</f>
        <v>Stour Newbold Mill</v>
      </c>
      <c r="H151" t="e" vm="2">
        <f>_xlfn.XLOOKUP(AllData[[#This Row],[Site Name]],LocationsKey[Site Name],LocationsKey[District])</f>
        <v>#VALUE!</v>
      </c>
      <c r="I151" t="e" vm="8">
        <f>_xlfn.XLOOKUP(AllData[[#This Row],[Site Name]],LocationsKey[Site Name],LocationsKey[Town])</f>
        <v>#VALUE!</v>
      </c>
      <c r="J151" t="str">
        <f>_xlfn.XLOOKUP(AllData[[#This Row],[Site Name]],LocationsKey[Site Name], LocationsKey[Waterway])</f>
        <v>Stour</v>
      </c>
      <c r="K151" t="s">
        <v>203</v>
      </c>
      <c r="L151">
        <v>52.112869000000003</v>
      </c>
      <c r="M151">
        <v>-1.633435</v>
      </c>
      <c r="N151" t="s">
        <v>29</v>
      </c>
      <c r="O151">
        <v>676</v>
      </c>
      <c r="P151">
        <v>12.1</v>
      </c>
      <c r="Q151">
        <v>10</v>
      </c>
      <c r="R151" s="7" t="str">
        <f>IF(AllData[[#This Row],[Nitrate (PPM)]]&gt;2, "Very high", IF(AllData[[#This Row],[Nitrate (PPM)]]&gt;1, "High", IF(AllData[[#This Row],[Nitrate (PPM)]]&gt;0.5, "Some evidence", IF(AllData[[#This Row],[Nitrate (PPM)]]&gt;=0, "No evidence"))))</f>
        <v>Very high</v>
      </c>
      <c r="S151" s="4">
        <v>0.28000000000000003</v>
      </c>
      <c r="T151" s="7" t="str">
        <f>IF(AllData[[#This Row],[Phosphate (PPM)]]&gt;0.5, "Very high", IF(AllData[[#This Row],[Phosphate (PPM)]]&gt;0.1, "High", IF(AllData[[#This Row],[Phosphate (PPM)]]&gt;0.05, "Some evidence", IF(AllData[[#This Row],[Phosphate (PPM)]]&lt;=0.05, "No Evidence", ""))))</f>
        <v>High</v>
      </c>
      <c r="U151">
        <v>2.5</v>
      </c>
      <c r="V151" t="s">
        <v>268</v>
      </c>
    </row>
    <row r="152" spans="1:22" x14ac:dyDescent="0.25">
      <c r="A152" t="s">
        <v>269</v>
      </c>
      <c r="B152" s="2">
        <v>45225</v>
      </c>
      <c r="C152" s="2" t="str" cm="1">
        <f t="array" ref="C1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2">
        <f>YEAR(AllData[[#This Row],[Date]])</f>
        <v>2023</v>
      </c>
      <c r="E152" s="1">
        <v>0.40277777777777779</v>
      </c>
      <c r="F152" s="2" t="str">
        <f>IF(AND(AllData[[#This Row],[Time]]&lt;0.5, AllData[[#This Row],[Time]]&gt;0.17)=TRUE, "Morning", IF(AND(AllData[[#This Row],[Time]]&lt;0.75, AllData[[#This Row],[Time]]&gt;=0.5)=TRUE, "Afternoon", IF(AND(AllData[[#This Row],[Time]]&lt;1, AllData[[#This Row],[Time]]&gt;=0.75)=TRUE, "Evening", "Night")))</f>
        <v>Morning</v>
      </c>
      <c r="G152" t="str">
        <f>_xlfn.XLOOKUP(AllData[[#This Row],[Location Name]], Locations[Location Name],Locations[Group As])</f>
        <v>Swilgate</v>
      </c>
      <c r="H152" t="e" vm="1">
        <f>_xlfn.XLOOKUP(AllData[[#This Row],[Site Name]],LocationsKey[Site Name],LocationsKey[District])</f>
        <v>#VALUE!</v>
      </c>
      <c r="I152" t="e" vm="1">
        <f>_xlfn.XLOOKUP(AllData[[#This Row],[Site Name]],LocationsKey[Site Name],LocationsKey[Town])</f>
        <v>#VALUE!</v>
      </c>
      <c r="J152" t="str">
        <f>_xlfn.XLOOKUP(AllData[[#This Row],[Site Name]],LocationsKey[Site Name], LocationsKey[Waterway])</f>
        <v>Swilgate</v>
      </c>
      <c r="K152" t="s">
        <v>84</v>
      </c>
      <c r="N152" t="s">
        <v>23</v>
      </c>
      <c r="O152">
        <v>640</v>
      </c>
      <c r="P152">
        <v>12.8</v>
      </c>
      <c r="Q152">
        <v>3</v>
      </c>
      <c r="R152" s="7" t="str">
        <f>IF(AllData[[#This Row],[Nitrate (PPM)]]&gt;2, "Very high", IF(AllData[[#This Row],[Nitrate (PPM)]]&gt;1, "High", IF(AllData[[#This Row],[Nitrate (PPM)]]&gt;0.5, "Some evidence", IF(AllData[[#This Row],[Nitrate (PPM)]]&gt;=0, "No evidence"))))</f>
        <v>Very high</v>
      </c>
      <c r="S152" s="4">
        <v>0.83</v>
      </c>
      <c r="T152" s="7" t="str">
        <f>IF(AllData[[#This Row],[Phosphate (PPM)]]&gt;0.5, "Very high", IF(AllData[[#This Row],[Phosphate (PPM)]]&gt;0.1, "High", IF(AllData[[#This Row],[Phosphate (PPM)]]&gt;0.05, "Some evidence", IF(AllData[[#This Row],[Phosphate (PPM)]]&lt;=0.05, "No Evidence", ""))))</f>
        <v>Very high</v>
      </c>
      <c r="U152">
        <v>2</v>
      </c>
      <c r="V152" t="s">
        <v>270</v>
      </c>
    </row>
    <row r="153" spans="1:22" x14ac:dyDescent="0.25">
      <c r="A153" t="s">
        <v>271</v>
      </c>
      <c r="B153" s="2">
        <v>45225</v>
      </c>
      <c r="C153" s="2" t="str" cm="1">
        <f t="array" ref="C1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3">
        <f>YEAR(AllData[[#This Row],[Date]])</f>
        <v>2023</v>
      </c>
      <c r="E153" s="1">
        <v>0.5083333333333333</v>
      </c>
      <c r="F153" s="2" t="str">
        <f>IF(AND(AllData[[#This Row],[Time]]&lt;0.5, AllData[[#This Row],[Time]]&gt;0.17)=TRUE, "Morning", IF(AND(AllData[[#This Row],[Time]]&lt;0.75, AllData[[#This Row],[Time]]&gt;=0.5)=TRUE, "Afternoon", IF(AND(AllData[[#This Row],[Time]]&lt;1, AllData[[#This Row],[Time]]&gt;=0.75)=TRUE, "Evening", "Night")))</f>
        <v>Afternoon</v>
      </c>
      <c r="G153" t="str">
        <f>_xlfn.XLOOKUP(AllData[[#This Row],[Location Name]], Locations[Location Name],Locations[Group As])</f>
        <v>Preston-on-Stour River Bridge</v>
      </c>
      <c r="H153" t="e" vm="2">
        <f>_xlfn.XLOOKUP(AllData[[#This Row],[Site Name]],LocationsKey[Site Name],LocationsKey[District])</f>
        <v>#VALUE!</v>
      </c>
      <c r="I153" t="e" vm="9">
        <f>_xlfn.XLOOKUP(AllData[[#This Row],[Site Name]],LocationsKey[Site Name],LocationsKey[Town])</f>
        <v>#VALUE!</v>
      </c>
      <c r="J153" t="str">
        <f>_xlfn.XLOOKUP(AllData[[#This Row],[Site Name]],LocationsKey[Site Name], LocationsKey[Waterway])</f>
        <v>Stour</v>
      </c>
      <c r="K153" t="s">
        <v>272</v>
      </c>
      <c r="L153">
        <v>52.146653000000001</v>
      </c>
      <c r="M153">
        <v>-1.699214</v>
      </c>
      <c r="N153" t="s">
        <v>29</v>
      </c>
      <c r="O153">
        <v>665</v>
      </c>
      <c r="P153">
        <v>12.1</v>
      </c>
      <c r="Q153">
        <v>5</v>
      </c>
      <c r="R153" s="7" t="str">
        <f>IF(AllData[[#This Row],[Nitrate (PPM)]]&gt;2, "Very high", IF(AllData[[#This Row],[Nitrate (PPM)]]&gt;1, "High", IF(AllData[[#This Row],[Nitrate (PPM)]]&gt;0.5, "Some evidence", IF(AllData[[#This Row],[Nitrate (PPM)]]&gt;=0, "No evidence"))))</f>
        <v>Very high</v>
      </c>
      <c r="S153" s="4">
        <v>0.27</v>
      </c>
      <c r="T153" s="7" t="str">
        <f>IF(AllData[[#This Row],[Phosphate (PPM)]]&gt;0.5, "Very high", IF(AllData[[#This Row],[Phosphate (PPM)]]&gt;0.1, "High", IF(AllData[[#This Row],[Phosphate (PPM)]]&gt;0.05, "Some evidence", IF(AllData[[#This Row],[Phosphate (PPM)]]&lt;=0.05, "No Evidence", ""))))</f>
        <v>High</v>
      </c>
      <c r="U153">
        <v>1.5</v>
      </c>
      <c r="V153" t="s">
        <v>273</v>
      </c>
    </row>
    <row r="154" spans="1:22" x14ac:dyDescent="0.25">
      <c r="A154" t="s">
        <v>275</v>
      </c>
      <c r="B154" s="2">
        <v>45227</v>
      </c>
      <c r="C154" s="2" t="str" cm="1">
        <f t="array" ref="C1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4">
        <f>YEAR(AllData[[#This Row],[Date]])</f>
        <v>2023</v>
      </c>
      <c r="E154" s="1">
        <v>0.41666666666666669</v>
      </c>
      <c r="F154" s="2" t="str">
        <f>IF(AND(AllData[[#This Row],[Time]]&lt;0.5, AllData[[#This Row],[Time]]&gt;0.17)=TRUE, "Morning", IF(AND(AllData[[#This Row],[Time]]&lt;0.75, AllData[[#This Row],[Time]]&gt;=0.5)=TRUE, "Afternoon", IF(AND(AllData[[#This Row],[Time]]&lt;1, AllData[[#This Row],[Time]]&gt;=0.75)=TRUE, "Evening", "Night")))</f>
        <v>Morning</v>
      </c>
      <c r="G154" t="str">
        <f>_xlfn.XLOOKUP(AllData[[#This Row],[Location Name]], Locations[Location Name],Locations[Group As])</f>
        <v>Avonbank Drive</v>
      </c>
      <c r="H154" t="e" vm="2">
        <f>_xlfn.XLOOKUP(AllData[[#This Row],[Site Name]],LocationsKey[Site Name],LocationsKey[District])</f>
        <v>#VALUE!</v>
      </c>
      <c r="I154" t="e" vm="7">
        <f>_xlfn.XLOOKUP(AllData[[#This Row],[Site Name]],LocationsKey[Site Name],LocationsKey[Town])</f>
        <v>#VALUE!</v>
      </c>
      <c r="J154" t="str">
        <f>_xlfn.XLOOKUP(AllData[[#This Row],[Site Name]],LocationsKey[Site Name], LocationsKey[Waterway])</f>
        <v>Avon</v>
      </c>
      <c r="K154" t="s">
        <v>103</v>
      </c>
      <c r="L154">
        <v>52.177</v>
      </c>
      <c r="M154">
        <v>-1.736</v>
      </c>
      <c r="N154" t="s">
        <v>66</v>
      </c>
      <c r="O154">
        <v>874</v>
      </c>
      <c r="P154">
        <v>13.5</v>
      </c>
      <c r="Q154">
        <v>10</v>
      </c>
      <c r="R154" s="7" t="str">
        <f>IF(AllData[[#This Row],[Nitrate (PPM)]]&gt;2, "Very high", IF(AllData[[#This Row],[Nitrate (PPM)]]&gt;1, "High", IF(AllData[[#This Row],[Nitrate (PPM)]]&gt;0.5, "Some evidence", IF(AllData[[#This Row],[Nitrate (PPM)]]&gt;=0, "No evidence"))))</f>
        <v>Very high</v>
      </c>
      <c r="S154" s="4">
        <v>0.66</v>
      </c>
      <c r="T154" s="7" t="str">
        <f>IF(AllData[[#This Row],[Phosphate (PPM)]]&gt;0.5, "Very high", IF(AllData[[#This Row],[Phosphate (PPM)]]&gt;0.1, "High", IF(AllData[[#This Row],[Phosphate (PPM)]]&gt;0.05, "Some evidence", IF(AllData[[#This Row],[Phosphate (PPM)]]&lt;=0.05, "No Evidence", ""))))</f>
        <v>Very high</v>
      </c>
      <c r="U154">
        <v>0.69</v>
      </c>
    </row>
    <row r="155" spans="1:22" x14ac:dyDescent="0.25">
      <c r="A155" t="s">
        <v>274</v>
      </c>
      <c r="B155" s="2">
        <v>45227</v>
      </c>
      <c r="C155" s="2" t="str" cm="1">
        <f t="array" ref="C1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5">
        <f>YEAR(AllData[[#This Row],[Date]])</f>
        <v>2023</v>
      </c>
      <c r="E155" s="1">
        <v>0.41666666666666669</v>
      </c>
      <c r="F155" s="2" t="str">
        <f>IF(AND(AllData[[#This Row],[Time]]&lt;0.5, AllData[[#This Row],[Time]]&gt;0.17)=TRUE, "Morning", IF(AND(AllData[[#This Row],[Time]]&lt;0.75, AllData[[#This Row],[Time]]&gt;=0.5)=TRUE, "Afternoon", IF(AND(AllData[[#This Row],[Time]]&lt;1, AllData[[#This Row],[Time]]&gt;=0.75)=TRUE, "Evening", "Night")))</f>
        <v>Morning</v>
      </c>
      <c r="G155" t="str">
        <f>_xlfn.XLOOKUP(AllData[[#This Row],[Location Name]], Locations[Location Name],Locations[Group As])</f>
        <v>Pitch 16</v>
      </c>
      <c r="H155" t="e" vm="2">
        <f>_xlfn.XLOOKUP(AllData[[#This Row],[Site Name]],LocationsKey[Site Name],LocationsKey[District])</f>
        <v>#VALUE!</v>
      </c>
      <c r="I155" t="e" vm="7">
        <f>_xlfn.XLOOKUP(AllData[[#This Row],[Site Name]],LocationsKey[Site Name],LocationsKey[Town])</f>
        <v>#VALUE!</v>
      </c>
      <c r="J155" t="str">
        <f>_xlfn.XLOOKUP(AllData[[#This Row],[Site Name]],LocationsKey[Site Name], LocationsKey[Waterway])</f>
        <v>Avon</v>
      </c>
      <c r="K155" t="s">
        <v>69</v>
      </c>
      <c r="N155" t="s">
        <v>29</v>
      </c>
      <c r="O155">
        <v>841</v>
      </c>
      <c r="P155">
        <v>13.3</v>
      </c>
      <c r="Q155">
        <v>5</v>
      </c>
      <c r="R155" s="7" t="str">
        <f>IF(AllData[[#This Row],[Nitrate (PPM)]]&gt;2, "Very high", IF(AllData[[#This Row],[Nitrate (PPM)]]&gt;1, "High", IF(AllData[[#This Row],[Nitrate (PPM)]]&gt;0.5, "Some evidence", IF(AllData[[#This Row],[Nitrate (PPM)]]&gt;=0, "No evidence"))))</f>
        <v>Very high</v>
      </c>
      <c r="S155" s="4">
        <v>0.42</v>
      </c>
      <c r="T155" s="7" t="str">
        <f>IF(AllData[[#This Row],[Phosphate (PPM)]]&gt;0.5, "Very high", IF(AllData[[#This Row],[Phosphate (PPM)]]&gt;0.1, "High", IF(AllData[[#This Row],[Phosphate (PPM)]]&gt;0.05, "Some evidence", IF(AllData[[#This Row],[Phosphate (PPM)]]&lt;=0.05, "No Evidence", ""))))</f>
        <v>High</v>
      </c>
      <c r="U155">
        <v>0.69</v>
      </c>
    </row>
    <row r="156" spans="1:22" x14ac:dyDescent="0.25">
      <c r="A156" t="s">
        <v>276</v>
      </c>
      <c r="B156" s="2">
        <v>45227</v>
      </c>
      <c r="C156" s="2" t="str" cm="1">
        <f t="array" ref="C1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6">
        <f>YEAR(AllData[[#This Row],[Date]])</f>
        <v>2023</v>
      </c>
      <c r="E156" s="1">
        <v>0.5</v>
      </c>
      <c r="F156" s="2" t="str">
        <f>IF(AND(AllData[[#This Row],[Time]]&lt;0.5, AllData[[#This Row],[Time]]&gt;0.17)=TRUE, "Morning", IF(AND(AllData[[#This Row],[Time]]&lt;0.75, AllData[[#This Row],[Time]]&gt;=0.5)=TRUE, "Afternoon", IF(AND(AllData[[#This Row],[Time]]&lt;1, AllData[[#This Row],[Time]]&gt;=0.75)=TRUE, "Evening", "Night")))</f>
        <v>Afternoon</v>
      </c>
      <c r="G156" t="str">
        <f>_xlfn.XLOOKUP(AllData[[#This Row],[Location Name]], Locations[Location Name],Locations[Group As])</f>
        <v>Carrant Bredon Rd</v>
      </c>
      <c r="H156" t="e" vm="1">
        <f>_xlfn.XLOOKUP(AllData[[#This Row],[Site Name]],LocationsKey[Site Name],LocationsKey[District])</f>
        <v>#VALUE!</v>
      </c>
      <c r="I156" t="e" vm="1">
        <f>_xlfn.XLOOKUP(AllData[[#This Row],[Site Name]],LocationsKey[Site Name],LocationsKey[Town])</f>
        <v>#VALUE!</v>
      </c>
      <c r="J156" t="str">
        <f>_xlfn.XLOOKUP(AllData[[#This Row],[Site Name]],LocationsKey[Site Name], LocationsKey[Waterway])</f>
        <v>Carrant</v>
      </c>
      <c r="K156" t="s">
        <v>90</v>
      </c>
      <c r="N156" t="s">
        <v>23</v>
      </c>
      <c r="O156">
        <v>635</v>
      </c>
      <c r="P156">
        <v>12.8</v>
      </c>
      <c r="Q156">
        <v>6</v>
      </c>
      <c r="R156" s="7" t="str">
        <f>IF(AllData[[#This Row],[Nitrate (PPM)]]&gt;2, "Very high", IF(AllData[[#This Row],[Nitrate (PPM)]]&gt;1, "High", IF(AllData[[#This Row],[Nitrate (PPM)]]&gt;0.5, "Some evidence", IF(AllData[[#This Row],[Nitrate (PPM)]]&gt;=0, "No evidence"))))</f>
        <v>Very high</v>
      </c>
      <c r="S156" s="4">
        <v>0.64</v>
      </c>
      <c r="T156" s="7" t="str">
        <f>IF(AllData[[#This Row],[Phosphate (PPM)]]&gt;0.5, "Very high", IF(AllData[[#This Row],[Phosphate (PPM)]]&gt;0.1, "High", IF(AllData[[#This Row],[Phosphate (PPM)]]&gt;0.05, "Some evidence", IF(AllData[[#This Row],[Phosphate (PPM)]]&lt;=0.05, "No Evidence", ""))))</f>
        <v>Very high</v>
      </c>
      <c r="U156">
        <v>1.3</v>
      </c>
      <c r="V156" t="s">
        <v>277</v>
      </c>
    </row>
    <row r="157" spans="1:22" x14ac:dyDescent="0.25">
      <c r="A157" t="s">
        <v>282</v>
      </c>
      <c r="B157" s="2">
        <v>45228</v>
      </c>
      <c r="C157" s="2" t="str" cm="1">
        <f t="array" ref="C1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7">
        <f>YEAR(AllData[[#This Row],[Date]])</f>
        <v>2023</v>
      </c>
      <c r="E157" s="1">
        <v>0.42708333333333331</v>
      </c>
      <c r="F157" s="2" t="str">
        <f>IF(AND(AllData[[#This Row],[Time]]&lt;0.5, AllData[[#This Row],[Time]]&gt;0.17)=TRUE, "Morning", IF(AND(AllData[[#This Row],[Time]]&lt;0.75, AllData[[#This Row],[Time]]&gt;=0.5)=TRUE, "Afternoon", IF(AND(AllData[[#This Row],[Time]]&lt;1, AllData[[#This Row],[Time]]&gt;=0.75)=TRUE, "Evening", "Night")))</f>
        <v>Morning</v>
      </c>
      <c r="G157" t="str">
        <f>_xlfn.XLOOKUP(AllData[[#This Row],[Location Name]], Locations[Location Name],Locations[Group As])</f>
        <v>Lucy's Mill Bridge</v>
      </c>
      <c r="H157" t="e" vm="2">
        <f>_xlfn.XLOOKUP(AllData[[#This Row],[Site Name]],LocationsKey[Site Name],LocationsKey[District])</f>
        <v>#VALUE!</v>
      </c>
      <c r="I157" t="e" vm="7">
        <f>_xlfn.XLOOKUP(AllData[[#This Row],[Site Name]],LocationsKey[Site Name],LocationsKey[Town])</f>
        <v>#VALUE!</v>
      </c>
      <c r="J157" t="str">
        <f>_xlfn.XLOOKUP(AllData[[#This Row],[Site Name]],LocationsKey[Site Name], LocationsKey[Waterway])</f>
        <v>Avon</v>
      </c>
      <c r="K157" t="s">
        <v>216</v>
      </c>
      <c r="L157">
        <v>52.183698999999997</v>
      </c>
      <c r="M157">
        <v>-1.707816</v>
      </c>
      <c r="N157" t="s">
        <v>29</v>
      </c>
      <c r="P157">
        <v>13</v>
      </c>
      <c r="Q157">
        <v>20</v>
      </c>
      <c r="R157" s="7" t="str">
        <f>IF(AllData[[#This Row],[Nitrate (PPM)]]&gt;2, "Very high", IF(AllData[[#This Row],[Nitrate (PPM)]]&gt;1, "High", IF(AllData[[#This Row],[Nitrate (PPM)]]&gt;0.5, "Some evidence", IF(AllData[[#This Row],[Nitrate (PPM)]]&gt;=0, "No evidence"))))</f>
        <v>Very high</v>
      </c>
      <c r="S157" s="4">
        <v>0.61</v>
      </c>
      <c r="T157" s="7" t="str">
        <f>IF(AllData[[#This Row],[Phosphate (PPM)]]&gt;0.5, "Very high", IF(AllData[[#This Row],[Phosphate (PPM)]]&gt;0.1, "High", IF(AllData[[#This Row],[Phosphate (PPM)]]&gt;0.05, "Some evidence", IF(AllData[[#This Row],[Phosphate (PPM)]]&lt;=0.05, "No Evidence", ""))))</f>
        <v>Very high</v>
      </c>
      <c r="U157">
        <v>0.7</v>
      </c>
    </row>
    <row r="158" spans="1:22" x14ac:dyDescent="0.25">
      <c r="A158" t="s">
        <v>278</v>
      </c>
      <c r="B158" s="2">
        <v>45228</v>
      </c>
      <c r="C158" s="2" t="str" cm="1">
        <f t="array" ref="C1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8">
        <f>YEAR(AllData[[#This Row],[Date]])</f>
        <v>2023</v>
      </c>
      <c r="E158" s="1">
        <v>0.46875</v>
      </c>
      <c r="F158" s="2" t="str">
        <f>IF(AND(AllData[[#This Row],[Time]]&lt;0.5, AllData[[#This Row],[Time]]&gt;0.17)=TRUE, "Morning", IF(AND(AllData[[#This Row],[Time]]&lt;0.75, AllData[[#This Row],[Time]]&gt;=0.5)=TRUE, "Afternoon", IF(AND(AllData[[#This Row],[Time]]&lt;1, AllData[[#This Row],[Time]]&gt;=0.75)=TRUE, "Evening", "Night")))</f>
        <v>Morning</v>
      </c>
      <c r="G158" t="str">
        <f>_xlfn.XLOOKUP(AllData[[#This Row],[Location Name]], Locations[Location Name],Locations[Group As])</f>
        <v>Hampton Wood</v>
      </c>
      <c r="H158" t="e" vm="2">
        <f>_xlfn.XLOOKUP(AllData[[#This Row],[Site Name]],LocationsKey[Site Name],LocationsKey[District])</f>
        <v>#VALUE!</v>
      </c>
      <c r="I158" t="e" vm="3">
        <f>_xlfn.XLOOKUP(AllData[[#This Row],[Site Name]],LocationsKey[Site Name],LocationsKey[Town])</f>
        <v>#VALUE!</v>
      </c>
      <c r="J158" t="str">
        <f>_xlfn.XLOOKUP(AllData[[#This Row],[Site Name]],LocationsKey[Site Name], LocationsKey[Waterway])</f>
        <v>Avon</v>
      </c>
      <c r="K158" t="s">
        <v>34</v>
      </c>
      <c r="L158">
        <v>52.238149999999997</v>
      </c>
      <c r="M158">
        <v>-1.6245799999999999</v>
      </c>
      <c r="N158" t="s">
        <v>29</v>
      </c>
      <c r="O158">
        <v>754</v>
      </c>
      <c r="P158">
        <v>13.1</v>
      </c>
      <c r="Q158">
        <v>4</v>
      </c>
      <c r="R158" s="7" t="str">
        <f>IF(AllData[[#This Row],[Nitrate (PPM)]]&gt;2, "Very high", IF(AllData[[#This Row],[Nitrate (PPM)]]&gt;1, "High", IF(AllData[[#This Row],[Nitrate (PPM)]]&gt;0.5, "Some evidence", IF(AllData[[#This Row],[Nitrate (PPM)]]&gt;=0, "No evidence"))))</f>
        <v>Very high</v>
      </c>
      <c r="S158" s="4">
        <v>0.6</v>
      </c>
      <c r="T158" s="7" t="str">
        <f>IF(AllData[[#This Row],[Phosphate (PPM)]]&gt;0.5, "Very high", IF(AllData[[#This Row],[Phosphate (PPM)]]&gt;0.1, "High", IF(AllData[[#This Row],[Phosphate (PPM)]]&gt;0.05, "Some evidence", IF(AllData[[#This Row],[Phosphate (PPM)]]&lt;=0.05, "No Evidence", ""))))</f>
        <v>Very high</v>
      </c>
      <c r="U158">
        <v>0</v>
      </c>
    </row>
    <row r="159" spans="1:22" x14ac:dyDescent="0.25">
      <c r="A159" t="s">
        <v>279</v>
      </c>
      <c r="B159" s="2">
        <v>45228</v>
      </c>
      <c r="C159" s="2" t="str" cm="1">
        <f t="array" ref="C1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59">
        <f>YEAR(AllData[[#This Row],[Date]])</f>
        <v>2023</v>
      </c>
      <c r="E159" s="1">
        <v>0.52777777777777779</v>
      </c>
      <c r="F159" s="2" t="str">
        <f>IF(AND(AllData[[#This Row],[Time]]&lt;0.5, AllData[[#This Row],[Time]]&gt;0.17)=TRUE, "Morning", IF(AND(AllData[[#This Row],[Time]]&lt;0.75, AllData[[#This Row],[Time]]&gt;=0.5)=TRUE, "Afternoon", IF(AND(AllData[[#This Row],[Time]]&lt;1, AllData[[#This Row],[Time]]&gt;=0.75)=TRUE, "Evening", "Night")))</f>
        <v>Afternoon</v>
      </c>
      <c r="G159" t="str">
        <f>_xlfn.XLOOKUP(AllData[[#This Row],[Location Name]], Locations[Location Name],Locations[Group As])</f>
        <v>Hampton Lucy</v>
      </c>
      <c r="H159" t="e" vm="2">
        <f>_xlfn.XLOOKUP(AllData[[#This Row],[Site Name]],LocationsKey[Site Name],LocationsKey[District])</f>
        <v>#VALUE!</v>
      </c>
      <c r="I159" t="e" vm="4">
        <f>_xlfn.XLOOKUP(AllData[[#This Row],[Site Name]],LocationsKey[Site Name],LocationsKey[Town])</f>
        <v>#VALUE!</v>
      </c>
      <c r="J159" t="str">
        <f>_xlfn.XLOOKUP(AllData[[#This Row],[Site Name]],LocationsKey[Site Name], LocationsKey[Waterway])</f>
        <v>Avon</v>
      </c>
      <c r="K159" t="s">
        <v>37</v>
      </c>
      <c r="L159">
        <v>52.211680000000001</v>
      </c>
      <c r="M159">
        <v>-1.6244400000000001</v>
      </c>
      <c r="N159" t="s">
        <v>23</v>
      </c>
      <c r="O159" s="219">
        <v>758</v>
      </c>
      <c r="P159">
        <v>12.6</v>
      </c>
      <c r="Q159" s="219">
        <v>3.5</v>
      </c>
      <c r="R159" s="7" t="str">
        <f>IF(AllData[[#This Row],[Nitrate (PPM)]]&gt;2, "Very high", IF(AllData[[#This Row],[Nitrate (PPM)]]&gt;1, "High", IF(AllData[[#This Row],[Nitrate (PPM)]]&gt;0.5, "Some evidence", IF(AllData[[#This Row],[Nitrate (PPM)]]&gt;=0, "No evidence"))))</f>
        <v>Very high</v>
      </c>
      <c r="S159" s="221">
        <v>0.71</v>
      </c>
      <c r="T159" s="7" t="str">
        <f>IF(AllData[[#This Row],[Phosphate (PPM)]]&gt;0.5, "Very high", IF(AllData[[#This Row],[Phosphate (PPM)]]&gt;0.1, "High", IF(AllData[[#This Row],[Phosphate (PPM)]]&gt;0.05, "Some evidence", IF(AllData[[#This Row],[Phosphate (PPM)]]&lt;=0.05, "No Evidence", ""))))</f>
        <v>Very high</v>
      </c>
      <c r="U159">
        <v>0</v>
      </c>
    </row>
    <row r="160" spans="1:22" x14ac:dyDescent="0.25">
      <c r="A160" t="s">
        <v>280</v>
      </c>
      <c r="B160" s="2">
        <v>45228</v>
      </c>
      <c r="C160" s="2" t="str" cm="1">
        <f t="array" ref="C1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0">
        <f>YEAR(AllData[[#This Row],[Date]])</f>
        <v>2023</v>
      </c>
      <c r="E160" s="1">
        <v>0.63263888888888886</v>
      </c>
      <c r="F160" s="2" t="str">
        <f>IF(AND(AllData[[#This Row],[Time]]&lt;0.5, AllData[[#This Row],[Time]]&gt;0.17)=TRUE, "Morning", IF(AND(AllData[[#This Row],[Time]]&lt;0.75, AllData[[#This Row],[Time]]&gt;=0.5)=TRUE, "Afternoon", IF(AND(AllData[[#This Row],[Time]]&lt;1, AllData[[#This Row],[Time]]&gt;=0.75)=TRUE, "Evening", "Night")))</f>
        <v>Afternoon</v>
      </c>
      <c r="G160" t="str">
        <f>_xlfn.XLOOKUP(AllData[[#This Row],[Location Name]], Locations[Location Name],Locations[Group As])</f>
        <v>Clifford Chambers Mill Bridge</v>
      </c>
      <c r="H160" t="e" vm="2">
        <f>_xlfn.XLOOKUP(AllData[[#This Row],[Site Name]],LocationsKey[Site Name],LocationsKey[District])</f>
        <v>#VALUE!</v>
      </c>
      <c r="I160" t="e" vm="12">
        <f>_xlfn.XLOOKUP(AllData[[#This Row],[Site Name]],LocationsKey[Site Name],LocationsKey[Town])</f>
        <v>#VALUE!</v>
      </c>
      <c r="J160" t="str">
        <f>_xlfn.XLOOKUP(AllData[[#This Row],[Site Name]],LocationsKey[Site Name], LocationsKey[Waterway])</f>
        <v>Stour</v>
      </c>
      <c r="K160" t="s">
        <v>263</v>
      </c>
      <c r="L160">
        <v>52.166370000000001</v>
      </c>
      <c r="M160">
        <v>-1.708032</v>
      </c>
      <c r="N160" t="s">
        <v>66</v>
      </c>
      <c r="O160">
        <v>416</v>
      </c>
      <c r="P160">
        <v>13.4</v>
      </c>
      <c r="Q160">
        <v>4</v>
      </c>
      <c r="R160" s="7" t="str">
        <f>IF(AllData[[#This Row],[Nitrate (PPM)]]&gt;2, "Very high", IF(AllData[[#This Row],[Nitrate (PPM)]]&gt;1, "High", IF(AllData[[#This Row],[Nitrate (PPM)]]&gt;0.5, "Some evidence", IF(AllData[[#This Row],[Nitrate (PPM)]]&gt;=0, "No evidence"))))</f>
        <v>Very high</v>
      </c>
      <c r="S160" s="4">
        <v>0.34</v>
      </c>
      <c r="T160" s="7" t="str">
        <f>IF(AllData[[#This Row],[Phosphate (PPM)]]&gt;0.5, "Very high", IF(AllData[[#This Row],[Phosphate (PPM)]]&gt;0.1, "High", IF(AllData[[#This Row],[Phosphate (PPM)]]&gt;0.05, "Some evidence", IF(AllData[[#This Row],[Phosphate (PPM)]]&lt;=0.05, "No Evidence", ""))))</f>
        <v>High</v>
      </c>
      <c r="U160">
        <v>1.8</v>
      </c>
      <c r="V160" t="s">
        <v>281</v>
      </c>
    </row>
    <row r="161" spans="1:22" x14ac:dyDescent="0.25">
      <c r="A161" t="s">
        <v>283</v>
      </c>
      <c r="B161" s="2">
        <v>45229</v>
      </c>
      <c r="C161" s="2" t="str" cm="1">
        <f t="array" ref="C1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1">
        <f>YEAR(AllData[[#This Row],[Date]])</f>
        <v>2023</v>
      </c>
      <c r="E161" s="1">
        <v>0.58958333333333335</v>
      </c>
      <c r="F161" s="2" t="str">
        <f>IF(AND(AllData[[#This Row],[Time]]&lt;0.5, AllData[[#This Row],[Time]]&gt;0.17)=TRUE, "Morning", IF(AND(AllData[[#This Row],[Time]]&lt;0.75, AllData[[#This Row],[Time]]&gt;=0.5)=TRUE, "Afternoon", IF(AND(AllData[[#This Row],[Time]]&lt;1, AllData[[#This Row],[Time]]&gt;=0.75)=TRUE, "Evening", "Night")))</f>
        <v>Afternoon</v>
      </c>
      <c r="G161" t="str">
        <f>_xlfn.XLOOKUP(AllData[[#This Row],[Location Name]], Locations[Location Name],Locations[Group As])</f>
        <v>Swiffen Bank</v>
      </c>
      <c r="H161" t="e" vm="2">
        <f>_xlfn.XLOOKUP(AllData[[#This Row],[Site Name]],LocationsKey[Site Name],LocationsKey[District])</f>
        <v>#VALUE!</v>
      </c>
      <c r="I161" t="e" vm="13">
        <f>_xlfn.XLOOKUP(AllData[[#This Row],[Site Name]],LocationsKey[Site Name],LocationsKey[Town])</f>
        <v>#VALUE!</v>
      </c>
      <c r="J161" t="str">
        <f>_xlfn.XLOOKUP(AllData[[#This Row],[Site Name]],LocationsKey[Site Name], LocationsKey[Waterway])</f>
        <v>Avon</v>
      </c>
      <c r="K161" t="s">
        <v>284</v>
      </c>
      <c r="L161">
        <v>52.206477999999997</v>
      </c>
      <c r="M161">
        <v>-1.653894</v>
      </c>
      <c r="N161" t="s">
        <v>29</v>
      </c>
      <c r="O161" s="219">
        <v>687</v>
      </c>
      <c r="P161">
        <v>15</v>
      </c>
      <c r="Q161" s="219">
        <v>5</v>
      </c>
      <c r="R161" s="7" t="str">
        <f>IF(AllData[[#This Row],[Nitrate (PPM)]]&gt;2, "Very high", IF(AllData[[#This Row],[Nitrate (PPM)]]&gt;1, "High", IF(AllData[[#This Row],[Nitrate (PPM)]]&gt;0.5, "Some evidence", IF(AllData[[#This Row],[Nitrate (PPM)]]&gt;=0, "No evidence"))))</f>
        <v>Very high</v>
      </c>
      <c r="S161" s="221">
        <v>0.54</v>
      </c>
      <c r="T161" s="7" t="str">
        <f>IF(AllData[[#This Row],[Phosphate (PPM)]]&gt;0.5, "Very high", IF(AllData[[#This Row],[Phosphate (PPM)]]&gt;0.1, "High", IF(AllData[[#This Row],[Phosphate (PPM)]]&gt;0.05, "Some evidence", IF(AllData[[#This Row],[Phosphate (PPM)]]&lt;=0.05, "No Evidence", ""))))</f>
        <v>Very high</v>
      </c>
      <c r="U161">
        <v>1</v>
      </c>
    </row>
    <row r="162" spans="1:22" x14ac:dyDescent="0.25">
      <c r="A162" t="s">
        <v>285</v>
      </c>
      <c r="B162" s="2">
        <v>45229</v>
      </c>
      <c r="C162" s="2" t="str" cm="1">
        <f t="array" ref="C1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2">
        <f>YEAR(AllData[[#This Row],[Date]])</f>
        <v>2023</v>
      </c>
      <c r="E162" s="1">
        <v>0.65069444444444446</v>
      </c>
      <c r="F162" s="2" t="str">
        <f>IF(AND(AllData[[#This Row],[Time]]&lt;0.5, AllData[[#This Row],[Time]]&gt;0.17)=TRUE, "Morning", IF(AND(AllData[[#This Row],[Time]]&lt;0.75, AllData[[#This Row],[Time]]&gt;=0.5)=TRUE, "Afternoon", IF(AND(AllData[[#This Row],[Time]]&lt;1, AllData[[#This Row],[Time]]&gt;=0.75)=TRUE, "Evening", "Night")))</f>
        <v>Afternoon</v>
      </c>
      <c r="G162" t="str">
        <f>_xlfn.XLOOKUP(AllData[[#This Row],[Location Name]], Locations[Location Name],Locations[Group As])</f>
        <v>Alveston Weir</v>
      </c>
      <c r="H162" t="e" vm="2">
        <f>_xlfn.XLOOKUP(AllData[[#This Row],[Site Name]],LocationsKey[Site Name],LocationsKey[District])</f>
        <v>#VALUE!</v>
      </c>
      <c r="I162" t="e" vm="13">
        <f>_xlfn.XLOOKUP(AllData[[#This Row],[Site Name]],LocationsKey[Site Name],LocationsKey[Town])</f>
        <v>#VALUE!</v>
      </c>
      <c r="J162" t="str">
        <f>_xlfn.XLOOKUP(AllData[[#This Row],[Site Name]],LocationsKey[Site Name], LocationsKey[Waterway])</f>
        <v>Avon</v>
      </c>
      <c r="K162" t="s">
        <v>286</v>
      </c>
      <c r="L162">
        <v>52.214388999999997</v>
      </c>
      <c r="M162">
        <v>-1.6601520000000001</v>
      </c>
      <c r="N162" t="s">
        <v>29</v>
      </c>
      <c r="O162">
        <v>70.2</v>
      </c>
      <c r="P162">
        <v>16.8</v>
      </c>
      <c r="Q162">
        <v>10</v>
      </c>
      <c r="R162" s="7" t="str">
        <f>IF(AllData[[#This Row],[Nitrate (PPM)]]&gt;2, "Very high", IF(AllData[[#This Row],[Nitrate (PPM)]]&gt;1, "High", IF(AllData[[#This Row],[Nitrate (PPM)]]&gt;0.5, "Some evidence", IF(AllData[[#This Row],[Nitrate (PPM)]]&gt;=0, "No evidence"))))</f>
        <v>Very high</v>
      </c>
      <c r="S162" s="4">
        <v>0.49</v>
      </c>
      <c r="T162" s="7" t="str">
        <f>IF(AllData[[#This Row],[Phosphate (PPM)]]&gt;0.5, "Very high", IF(AllData[[#This Row],[Phosphate (PPM)]]&gt;0.1, "High", IF(AllData[[#This Row],[Phosphate (PPM)]]&gt;0.05, "Some evidence", IF(AllData[[#This Row],[Phosphate (PPM)]]&lt;=0.05, "No Evidence", ""))))</f>
        <v>High</v>
      </c>
      <c r="U162">
        <v>0</v>
      </c>
    </row>
    <row r="163" spans="1:22" x14ac:dyDescent="0.25">
      <c r="A163" t="s">
        <v>287</v>
      </c>
      <c r="B163" s="2">
        <v>45230</v>
      </c>
      <c r="C163" s="2" t="str" cm="1">
        <f t="array" ref="C1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3">
        <f>YEAR(AllData[[#This Row],[Date]])</f>
        <v>2023</v>
      </c>
      <c r="E163" s="1">
        <v>0.2951388888888889</v>
      </c>
      <c r="F163" s="2" t="str">
        <f>IF(AND(AllData[[#This Row],[Time]]&lt;0.5, AllData[[#This Row],[Time]]&gt;0.17)=TRUE, "Morning", IF(AND(AllData[[#This Row],[Time]]&lt;0.75, AllData[[#This Row],[Time]]&gt;=0.5)=TRUE, "Afternoon", IF(AND(AllData[[#This Row],[Time]]&lt;1, AllData[[#This Row],[Time]]&gt;=0.75)=TRUE, "Evening", "Night")))</f>
        <v>Morning</v>
      </c>
      <c r="G163" t="str">
        <f>_xlfn.XLOOKUP(AllData[[#This Row],[Location Name]], Locations[Location Name],Locations[Group As])</f>
        <v>Abbey Mill</v>
      </c>
      <c r="H163" t="e" vm="1">
        <f>_xlfn.XLOOKUP(AllData[[#This Row],[Site Name]],LocationsKey[Site Name],LocationsKey[District])</f>
        <v>#VALUE!</v>
      </c>
      <c r="I163" t="e" vm="1">
        <f>_xlfn.XLOOKUP(AllData[[#This Row],[Site Name]],LocationsKey[Site Name],LocationsKey[Town])</f>
        <v>#VALUE!</v>
      </c>
      <c r="J163" t="str">
        <f>_xlfn.XLOOKUP(AllData[[#This Row],[Site Name]],LocationsKey[Site Name], LocationsKey[Waterway])</f>
        <v>Avon</v>
      </c>
      <c r="K163" t="s">
        <v>22</v>
      </c>
      <c r="L163">
        <v>51.991028</v>
      </c>
      <c r="M163">
        <v>-2.1625719999999999</v>
      </c>
      <c r="N163" t="s">
        <v>23</v>
      </c>
      <c r="O163">
        <v>640</v>
      </c>
      <c r="P163">
        <v>13.5</v>
      </c>
      <c r="Q163">
        <v>10</v>
      </c>
      <c r="R163" s="7" t="str">
        <f>IF(AllData[[#This Row],[Nitrate (PPM)]]&gt;2, "Very high", IF(AllData[[#This Row],[Nitrate (PPM)]]&gt;1, "High", IF(AllData[[#This Row],[Nitrate (PPM)]]&gt;0.5, "Some evidence", IF(AllData[[#This Row],[Nitrate (PPM)]]&gt;=0, "No evidence"))))</f>
        <v>Very high</v>
      </c>
      <c r="S163" s="4">
        <v>0.41</v>
      </c>
      <c r="T163" s="7" t="str">
        <f>IF(AllData[[#This Row],[Phosphate (PPM)]]&gt;0.5, "Very high", IF(AllData[[#This Row],[Phosphate (PPM)]]&gt;0.1, "High", IF(AllData[[#This Row],[Phosphate (PPM)]]&gt;0.05, "Some evidence", IF(AllData[[#This Row],[Phosphate (PPM)]]&lt;=0.05, "No Evidence", ""))))</f>
        <v>High</v>
      </c>
      <c r="U163">
        <v>1</v>
      </c>
      <c r="V163" t="s">
        <v>288</v>
      </c>
    </row>
    <row r="164" spans="1:22" x14ac:dyDescent="0.25">
      <c r="A164" t="s">
        <v>289</v>
      </c>
      <c r="B164" s="2">
        <v>45231</v>
      </c>
      <c r="C164" s="2" t="str" cm="1">
        <f t="array" ref="C1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4">
        <f>YEAR(AllData[[#This Row],[Date]])</f>
        <v>2023</v>
      </c>
      <c r="E164" s="1">
        <v>0.59027777777777779</v>
      </c>
      <c r="F164" s="2" t="str">
        <f>IF(AND(AllData[[#This Row],[Time]]&lt;0.5, AllData[[#This Row],[Time]]&gt;0.17)=TRUE, "Morning", IF(AND(AllData[[#This Row],[Time]]&lt;0.75, AllData[[#This Row],[Time]]&gt;=0.5)=TRUE, "Afternoon", IF(AND(AllData[[#This Row],[Time]]&lt;1, AllData[[#This Row],[Time]]&gt;=0.75)=TRUE, "Evening", "Night")))</f>
        <v>Afternoon</v>
      </c>
      <c r="G164" t="str">
        <f>_xlfn.XLOOKUP(AllData[[#This Row],[Location Name]], Locations[Location Name],Locations[Group As])</f>
        <v>Weston-on-Avon</v>
      </c>
      <c r="H164" t="e" vm="2">
        <f>_xlfn.XLOOKUP(AllData[[#This Row],[Site Name]],LocationsKey[Site Name],LocationsKey[District])</f>
        <v>#VALUE!</v>
      </c>
      <c r="I164" t="e" vm="6">
        <f>_xlfn.XLOOKUP(AllData[[#This Row],[Site Name]],LocationsKey[Site Name],LocationsKey[Town])</f>
        <v>#VALUE!</v>
      </c>
      <c r="J164" t="str">
        <f>_xlfn.XLOOKUP(AllData[[#This Row],[Site Name]],LocationsKey[Site Name], LocationsKey[Waterway])</f>
        <v>Avon</v>
      </c>
      <c r="K164" t="s">
        <v>41</v>
      </c>
      <c r="L164">
        <v>52.167430000000003</v>
      </c>
      <c r="M164">
        <v>-1.7744800000000001</v>
      </c>
      <c r="N164" t="s">
        <v>29</v>
      </c>
      <c r="O164" s="219">
        <v>800</v>
      </c>
      <c r="P164">
        <v>11.6</v>
      </c>
      <c r="Q164" s="219">
        <v>3</v>
      </c>
      <c r="R164" s="7" t="str">
        <f>IF(AllData[[#This Row],[Nitrate (PPM)]]&gt;2, "Very high", IF(AllData[[#This Row],[Nitrate (PPM)]]&gt;1, "High", IF(AllData[[#This Row],[Nitrate (PPM)]]&gt;0.5, "Some evidence", IF(AllData[[#This Row],[Nitrate (PPM)]]&gt;=0, "No evidence"))))</f>
        <v>Very high</v>
      </c>
      <c r="S164" s="221">
        <v>0.59</v>
      </c>
      <c r="T164" s="7" t="str">
        <f>IF(AllData[[#This Row],[Phosphate (PPM)]]&gt;0.5, "Very high", IF(AllData[[#This Row],[Phosphate (PPM)]]&gt;0.1, "High", IF(AllData[[#This Row],[Phosphate (PPM)]]&gt;0.05, "Some evidence", IF(AllData[[#This Row],[Phosphate (PPM)]]&lt;=0.05, "No Evidence", ""))))</f>
        <v>Very high</v>
      </c>
      <c r="U164">
        <v>0</v>
      </c>
    </row>
    <row r="165" spans="1:22" x14ac:dyDescent="0.25">
      <c r="A165" t="s">
        <v>290</v>
      </c>
      <c r="B165" s="2">
        <v>45232</v>
      </c>
      <c r="C165" s="2" t="str" cm="1">
        <f t="array" ref="C1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5">
        <f>YEAR(AllData[[#This Row],[Date]])</f>
        <v>2023</v>
      </c>
      <c r="E165" s="1">
        <v>0.39583333333333331</v>
      </c>
      <c r="F165" s="2" t="str">
        <f>IF(AND(AllData[[#This Row],[Time]]&lt;0.5, AllData[[#This Row],[Time]]&gt;0.17)=TRUE, "Morning", IF(AND(AllData[[#This Row],[Time]]&lt;0.75, AllData[[#This Row],[Time]]&gt;=0.5)=TRUE, "Afternoon", IF(AND(AllData[[#This Row],[Time]]&lt;1, AllData[[#This Row],[Time]]&gt;=0.75)=TRUE, "Evening", "Night")))</f>
        <v>Morning</v>
      </c>
      <c r="G165" t="str">
        <f>_xlfn.XLOOKUP(AllData[[#This Row],[Location Name]], Locations[Location Name],Locations[Group As])</f>
        <v>Swilgate</v>
      </c>
      <c r="H165" t="e" vm="1">
        <f>_xlfn.XLOOKUP(AllData[[#This Row],[Site Name]],LocationsKey[Site Name],LocationsKey[District])</f>
        <v>#VALUE!</v>
      </c>
      <c r="I165" t="e" vm="1">
        <f>_xlfn.XLOOKUP(AllData[[#This Row],[Site Name]],LocationsKey[Site Name],LocationsKey[Town])</f>
        <v>#VALUE!</v>
      </c>
      <c r="J165" t="str">
        <f>_xlfn.XLOOKUP(AllData[[#This Row],[Site Name]],LocationsKey[Site Name], LocationsKey[Waterway])</f>
        <v>Swilgate</v>
      </c>
      <c r="K165" t="s">
        <v>84</v>
      </c>
      <c r="N165" t="s">
        <v>23</v>
      </c>
      <c r="O165">
        <v>895</v>
      </c>
      <c r="P165">
        <v>12.2</v>
      </c>
      <c r="Q165">
        <v>2</v>
      </c>
      <c r="R165" s="7" t="str">
        <f>IF(AllData[[#This Row],[Nitrate (PPM)]]&gt;2, "Very high", IF(AllData[[#This Row],[Nitrate (PPM)]]&gt;1, "High", IF(AllData[[#This Row],[Nitrate (PPM)]]&gt;0.5, "Some evidence", IF(AllData[[#This Row],[Nitrate (PPM)]]&gt;=0, "No evidence"))))</f>
        <v>High</v>
      </c>
      <c r="S165" s="4">
        <v>0.48</v>
      </c>
      <c r="T165" s="7" t="str">
        <f>IF(AllData[[#This Row],[Phosphate (PPM)]]&gt;0.5, "Very high", IF(AllData[[#This Row],[Phosphate (PPM)]]&gt;0.1, "High", IF(AllData[[#This Row],[Phosphate (PPM)]]&gt;0.05, "Some evidence", IF(AllData[[#This Row],[Phosphate (PPM)]]&lt;=0.05, "No Evidence", ""))))</f>
        <v>High</v>
      </c>
      <c r="U165">
        <v>1.5</v>
      </c>
      <c r="V165" t="s">
        <v>291</v>
      </c>
    </row>
    <row r="166" spans="1:22" x14ac:dyDescent="0.25">
      <c r="A166" t="s">
        <v>292</v>
      </c>
      <c r="B166" s="2">
        <v>45232</v>
      </c>
      <c r="C166" s="2" t="str" cm="1">
        <f t="array" ref="C1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6">
        <f>YEAR(AllData[[#This Row],[Date]])</f>
        <v>2023</v>
      </c>
      <c r="E166" s="1">
        <v>0.52500000000000002</v>
      </c>
      <c r="F166" s="2" t="str">
        <f>IF(AND(AllData[[#This Row],[Time]]&lt;0.5, AllData[[#This Row],[Time]]&gt;0.17)=TRUE, "Morning", IF(AND(AllData[[#This Row],[Time]]&lt;0.75, AllData[[#This Row],[Time]]&gt;=0.5)=TRUE, "Afternoon", IF(AND(AllData[[#This Row],[Time]]&lt;1, AllData[[#This Row],[Time]]&gt;=0.75)=TRUE, "Evening", "Night")))</f>
        <v>Afternoon</v>
      </c>
      <c r="G166" t="str">
        <f>_xlfn.XLOOKUP(AllData[[#This Row],[Location Name]], Locations[Location Name],Locations[Group As])</f>
        <v>Preston-on-Stour River Bridge</v>
      </c>
      <c r="H166" t="e" vm="2">
        <f>_xlfn.XLOOKUP(AllData[[#This Row],[Site Name]],LocationsKey[Site Name],LocationsKey[District])</f>
        <v>#VALUE!</v>
      </c>
      <c r="I166" t="e" vm="9">
        <f>_xlfn.XLOOKUP(AllData[[#This Row],[Site Name]],LocationsKey[Site Name],LocationsKey[Town])</f>
        <v>#VALUE!</v>
      </c>
      <c r="J166" t="str">
        <f>_xlfn.XLOOKUP(AllData[[#This Row],[Site Name]],LocationsKey[Site Name], LocationsKey[Waterway])</f>
        <v>Stour</v>
      </c>
      <c r="K166" t="s">
        <v>163</v>
      </c>
      <c r="L166">
        <v>52.146543000000001</v>
      </c>
      <c r="M166">
        <v>-1.699527</v>
      </c>
      <c r="N166" t="s">
        <v>29</v>
      </c>
      <c r="O166" s="219">
        <v>610</v>
      </c>
      <c r="P166">
        <v>11.9</v>
      </c>
      <c r="Q166" s="219">
        <v>5</v>
      </c>
      <c r="R166" s="7" t="str">
        <f>IF(AllData[[#This Row],[Nitrate (PPM)]]&gt;2, "Very high", IF(AllData[[#This Row],[Nitrate (PPM)]]&gt;1, "High", IF(AllData[[#This Row],[Nitrate (PPM)]]&gt;0.5, "Some evidence", IF(AllData[[#This Row],[Nitrate (PPM)]]&gt;=0, "No evidence"))))</f>
        <v>Very high</v>
      </c>
      <c r="S166" s="221">
        <v>0.21</v>
      </c>
      <c r="T166" s="7" t="str">
        <f>IF(AllData[[#This Row],[Phosphate (PPM)]]&gt;0.5, "Very high", IF(AllData[[#This Row],[Phosphate (PPM)]]&gt;0.1, "High", IF(AllData[[#This Row],[Phosphate (PPM)]]&gt;0.05, "Some evidence", IF(AllData[[#This Row],[Phosphate (PPM)]]&lt;=0.05, "No Evidence", ""))))</f>
        <v>High</v>
      </c>
      <c r="U166">
        <v>2.5</v>
      </c>
      <c r="V166" t="s">
        <v>293</v>
      </c>
    </row>
    <row r="167" spans="1:22" x14ac:dyDescent="0.25">
      <c r="A167" t="s">
        <v>294</v>
      </c>
      <c r="B167" s="2">
        <v>45235</v>
      </c>
      <c r="C167" s="2" t="str" cm="1">
        <f t="array" ref="C1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7">
        <f>YEAR(AllData[[#This Row],[Date]])</f>
        <v>2023</v>
      </c>
      <c r="E167" s="1">
        <v>0.38194444444444442</v>
      </c>
      <c r="F167" s="2" t="str">
        <f>IF(AND(AllData[[#This Row],[Time]]&lt;0.5, AllData[[#This Row],[Time]]&gt;0.17)=TRUE, "Morning", IF(AND(AllData[[#This Row],[Time]]&lt;0.75, AllData[[#This Row],[Time]]&gt;=0.5)=TRUE, "Afternoon", IF(AND(AllData[[#This Row],[Time]]&lt;1, AllData[[#This Row],[Time]]&gt;=0.75)=TRUE, "Evening", "Night")))</f>
        <v>Morning</v>
      </c>
      <c r="G167" t="str">
        <f>_xlfn.XLOOKUP(AllData[[#This Row],[Location Name]], Locations[Location Name],Locations[Group As])</f>
        <v>Abbey Mill</v>
      </c>
      <c r="H167" t="e" vm="1">
        <f>_xlfn.XLOOKUP(AllData[[#This Row],[Site Name]],LocationsKey[Site Name],LocationsKey[District])</f>
        <v>#VALUE!</v>
      </c>
      <c r="I167" t="e" vm="1">
        <f>_xlfn.XLOOKUP(AllData[[#This Row],[Site Name]],LocationsKey[Site Name],LocationsKey[Town])</f>
        <v>#VALUE!</v>
      </c>
      <c r="J167" t="str">
        <f>_xlfn.XLOOKUP(AllData[[#This Row],[Site Name]],LocationsKey[Site Name], LocationsKey[Waterway])</f>
        <v>Avon</v>
      </c>
      <c r="K167" t="s">
        <v>22</v>
      </c>
      <c r="N167" t="s">
        <v>23</v>
      </c>
      <c r="O167">
        <v>623</v>
      </c>
      <c r="P167">
        <v>13.4</v>
      </c>
      <c r="Q167">
        <v>9</v>
      </c>
      <c r="R167" s="7" t="str">
        <f>IF(AllData[[#This Row],[Nitrate (PPM)]]&gt;2, "Very high", IF(AllData[[#This Row],[Nitrate (PPM)]]&gt;1, "High", IF(AllData[[#This Row],[Nitrate (PPM)]]&gt;0.5, "Some evidence", IF(AllData[[#This Row],[Nitrate (PPM)]]&gt;=0, "No evidence"))))</f>
        <v>Very high</v>
      </c>
      <c r="S167" s="4">
        <v>1.07</v>
      </c>
      <c r="T167" s="7" t="str">
        <f>IF(AllData[[#This Row],[Phosphate (PPM)]]&gt;0.5, "Very high", IF(AllData[[#This Row],[Phosphate (PPM)]]&gt;0.1, "High", IF(AllData[[#This Row],[Phosphate (PPM)]]&gt;0.05, "Some evidence", IF(AllData[[#This Row],[Phosphate (PPM)]]&lt;=0.05, "No Evidence", ""))))</f>
        <v>Very high</v>
      </c>
      <c r="U167">
        <v>2</v>
      </c>
      <c r="V167" t="s">
        <v>291</v>
      </c>
    </row>
    <row r="168" spans="1:22" x14ac:dyDescent="0.25">
      <c r="A168" t="s">
        <v>295</v>
      </c>
      <c r="B168" s="2">
        <v>45235</v>
      </c>
      <c r="C168" s="2" t="str" cm="1">
        <f t="array" ref="C1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8">
        <f>YEAR(AllData[[#This Row],[Date]])</f>
        <v>2023</v>
      </c>
      <c r="E168" s="1">
        <v>0.46875</v>
      </c>
      <c r="F168" s="2" t="str">
        <f>IF(AND(AllData[[#This Row],[Time]]&lt;0.5, AllData[[#This Row],[Time]]&gt;0.17)=TRUE, "Morning", IF(AND(AllData[[#This Row],[Time]]&lt;0.75, AllData[[#This Row],[Time]]&gt;=0.5)=TRUE, "Afternoon", IF(AND(AllData[[#This Row],[Time]]&lt;1, AllData[[#This Row],[Time]]&gt;=0.75)=TRUE, "Evening", "Night")))</f>
        <v>Morning</v>
      </c>
      <c r="G168" t="str">
        <f>_xlfn.XLOOKUP(AllData[[#This Row],[Location Name]], Locations[Location Name],Locations[Group As])</f>
        <v>Pitch 16</v>
      </c>
      <c r="H168" t="e" vm="2">
        <f>_xlfn.XLOOKUP(AllData[[#This Row],[Site Name]],LocationsKey[Site Name],LocationsKey[District])</f>
        <v>#VALUE!</v>
      </c>
      <c r="I168" t="e" vm="7">
        <f>_xlfn.XLOOKUP(AllData[[#This Row],[Site Name]],LocationsKey[Site Name],LocationsKey[Town])</f>
        <v>#VALUE!</v>
      </c>
      <c r="J168" t="str">
        <f>_xlfn.XLOOKUP(AllData[[#This Row],[Site Name]],LocationsKey[Site Name], LocationsKey[Waterway])</f>
        <v>Avon</v>
      </c>
      <c r="K168" t="s">
        <v>69</v>
      </c>
      <c r="N168" t="s">
        <v>29</v>
      </c>
      <c r="O168">
        <v>565</v>
      </c>
      <c r="P168">
        <v>12.5</v>
      </c>
      <c r="Q168">
        <v>5</v>
      </c>
      <c r="R168" s="7" t="str">
        <f>IF(AllData[[#This Row],[Nitrate (PPM)]]&gt;2, "Very high", IF(AllData[[#This Row],[Nitrate (PPM)]]&gt;1, "High", IF(AllData[[#This Row],[Nitrate (PPM)]]&gt;0.5, "Some evidence", IF(AllData[[#This Row],[Nitrate (PPM)]]&gt;=0, "No evidence"))))</f>
        <v>Very high</v>
      </c>
      <c r="S168" s="4">
        <v>1.35</v>
      </c>
      <c r="T168" s="7" t="str">
        <f>IF(AllData[[#This Row],[Phosphate (PPM)]]&gt;0.5, "Very high", IF(AllData[[#This Row],[Phosphate (PPM)]]&gt;0.1, "High", IF(AllData[[#This Row],[Phosphate (PPM)]]&gt;0.05, "Some evidence", IF(AllData[[#This Row],[Phosphate (PPM)]]&lt;=0.05, "No Evidence", ""))))</f>
        <v>Very high</v>
      </c>
      <c r="U168">
        <v>1</v>
      </c>
    </row>
    <row r="169" spans="1:22" x14ac:dyDescent="0.25">
      <c r="A169" t="s">
        <v>298</v>
      </c>
      <c r="B169" s="2">
        <v>45235</v>
      </c>
      <c r="C169" s="2" t="str" cm="1">
        <f t="array" ref="C1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69">
        <f>YEAR(AllData[[#This Row],[Date]])</f>
        <v>2023</v>
      </c>
      <c r="E169" s="1">
        <v>0.48958333333333331</v>
      </c>
      <c r="F169" s="2" t="str">
        <f>IF(AND(AllData[[#This Row],[Time]]&lt;0.5, AllData[[#This Row],[Time]]&gt;0.17)=TRUE, "Morning", IF(AND(AllData[[#This Row],[Time]]&lt;0.75, AllData[[#This Row],[Time]]&gt;=0.5)=TRUE, "Afternoon", IF(AND(AllData[[#This Row],[Time]]&lt;1, AllData[[#This Row],[Time]]&gt;=0.75)=TRUE, "Evening", "Night")))</f>
        <v>Morning</v>
      </c>
      <c r="G169" t="str">
        <f>_xlfn.XLOOKUP(AllData[[#This Row],[Location Name]], Locations[Location Name],Locations[Group As])</f>
        <v>Avonbank Drive</v>
      </c>
      <c r="H169" t="e" vm="2">
        <f>_xlfn.XLOOKUP(AllData[[#This Row],[Site Name]],LocationsKey[Site Name],LocationsKey[District])</f>
        <v>#VALUE!</v>
      </c>
      <c r="I169" t="e" vm="7">
        <f>_xlfn.XLOOKUP(AllData[[#This Row],[Site Name]],LocationsKey[Site Name],LocationsKey[Town])</f>
        <v>#VALUE!</v>
      </c>
      <c r="J169" t="str">
        <f>_xlfn.XLOOKUP(AllData[[#This Row],[Site Name]],LocationsKey[Site Name], LocationsKey[Waterway])</f>
        <v>Avon</v>
      </c>
      <c r="K169" t="s">
        <v>103</v>
      </c>
      <c r="L169">
        <v>52.177</v>
      </c>
      <c r="M169">
        <v>-1.736</v>
      </c>
      <c r="N169" t="s">
        <v>66</v>
      </c>
      <c r="O169">
        <v>570</v>
      </c>
      <c r="P169">
        <v>12.5</v>
      </c>
      <c r="Q169">
        <v>5</v>
      </c>
      <c r="R169" s="7" t="str">
        <f>IF(AllData[[#This Row],[Nitrate (PPM)]]&gt;2, "Very high", IF(AllData[[#This Row],[Nitrate (PPM)]]&gt;1, "High", IF(AllData[[#This Row],[Nitrate (PPM)]]&gt;0.5, "Some evidence", IF(AllData[[#This Row],[Nitrate (PPM)]]&gt;=0, "No evidence"))))</f>
        <v>Very high</v>
      </c>
      <c r="S169" s="4">
        <v>1.06</v>
      </c>
      <c r="T169" s="7" t="str">
        <f>IF(AllData[[#This Row],[Phosphate (PPM)]]&gt;0.5, "Very high", IF(AllData[[#This Row],[Phosphate (PPM)]]&gt;0.1, "High", IF(AllData[[#This Row],[Phosphate (PPM)]]&gt;0.05, "Some evidence", IF(AllData[[#This Row],[Phosphate (PPM)]]&lt;=0.05, "No Evidence", ""))))</f>
        <v>Very high</v>
      </c>
      <c r="U169">
        <v>1</v>
      </c>
      <c r="V169" t="s">
        <v>299</v>
      </c>
    </row>
    <row r="170" spans="1:22" x14ac:dyDescent="0.25">
      <c r="A170" t="s">
        <v>296</v>
      </c>
      <c r="B170" s="2">
        <v>45235</v>
      </c>
      <c r="C170" s="2" t="str" cm="1">
        <f t="array" ref="C1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0">
        <f>YEAR(AllData[[#This Row],[Date]])</f>
        <v>2023</v>
      </c>
      <c r="E170" s="1">
        <v>0.48958333333333331</v>
      </c>
      <c r="F170" s="2" t="str">
        <f>IF(AND(AllData[[#This Row],[Time]]&lt;0.5, AllData[[#This Row],[Time]]&gt;0.17)=TRUE, "Morning", IF(AND(AllData[[#This Row],[Time]]&lt;0.75, AllData[[#This Row],[Time]]&gt;=0.5)=TRUE, "Afternoon", IF(AND(AllData[[#This Row],[Time]]&lt;1, AllData[[#This Row],[Time]]&gt;=0.75)=TRUE, "Evening", "Night")))</f>
        <v>Morning</v>
      </c>
      <c r="G170" t="str">
        <f>_xlfn.XLOOKUP(AllData[[#This Row],[Location Name]], Locations[Location Name],Locations[Group As])</f>
        <v>Hampton Wood</v>
      </c>
      <c r="H170" t="e" vm="2">
        <f>_xlfn.XLOOKUP(AllData[[#This Row],[Site Name]],LocationsKey[Site Name],LocationsKey[District])</f>
        <v>#VALUE!</v>
      </c>
      <c r="I170" t="e" vm="3">
        <f>_xlfn.XLOOKUP(AllData[[#This Row],[Site Name]],LocationsKey[Site Name],LocationsKey[Town])</f>
        <v>#VALUE!</v>
      </c>
      <c r="J170" t="str">
        <f>_xlfn.XLOOKUP(AllData[[#This Row],[Site Name]],LocationsKey[Site Name], LocationsKey[Waterway])</f>
        <v>Avon</v>
      </c>
      <c r="K170" t="s">
        <v>34</v>
      </c>
      <c r="L170">
        <v>52.238149999999997</v>
      </c>
      <c r="M170">
        <v>-1.6245799999999999</v>
      </c>
      <c r="N170" t="s">
        <v>29</v>
      </c>
      <c r="O170">
        <v>568</v>
      </c>
      <c r="P170">
        <v>11.1</v>
      </c>
      <c r="Q170">
        <v>3</v>
      </c>
      <c r="R170" s="7" t="str">
        <f>IF(AllData[[#This Row],[Nitrate (PPM)]]&gt;2, "Very high", IF(AllData[[#This Row],[Nitrate (PPM)]]&gt;1, "High", IF(AllData[[#This Row],[Nitrate (PPM)]]&gt;0.5, "Some evidence", IF(AllData[[#This Row],[Nitrate (PPM)]]&gt;=0, "No evidence"))))</f>
        <v>Very high</v>
      </c>
      <c r="S170" s="4">
        <v>0.55000000000000004</v>
      </c>
      <c r="T170" s="7" t="str">
        <f>IF(AllData[[#This Row],[Phosphate (PPM)]]&gt;0.5, "Very high", IF(AllData[[#This Row],[Phosphate (PPM)]]&gt;0.1, "High", IF(AllData[[#This Row],[Phosphate (PPM)]]&gt;0.05, "Some evidence", IF(AllData[[#This Row],[Phosphate (PPM)]]&lt;=0.05, "No Evidence", ""))))</f>
        <v>Very high</v>
      </c>
      <c r="U170">
        <v>0</v>
      </c>
      <c r="V170" t="s">
        <v>297</v>
      </c>
    </row>
    <row r="171" spans="1:22" x14ac:dyDescent="0.25">
      <c r="A171" t="s">
        <v>300</v>
      </c>
      <c r="B171" s="2">
        <v>45235</v>
      </c>
      <c r="C171" s="2" t="str" cm="1">
        <f t="array" ref="C1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1">
        <f>YEAR(AllData[[#This Row],[Date]])</f>
        <v>2023</v>
      </c>
      <c r="E171" s="1">
        <v>0.52083333333333337</v>
      </c>
      <c r="F171" s="2" t="str">
        <f>IF(AND(AllData[[#This Row],[Time]]&lt;0.5, AllData[[#This Row],[Time]]&gt;0.17)=TRUE, "Morning", IF(AND(AllData[[#This Row],[Time]]&lt;0.75, AllData[[#This Row],[Time]]&gt;=0.5)=TRUE, "Afternoon", IF(AND(AllData[[#This Row],[Time]]&lt;1, AllData[[#This Row],[Time]]&gt;=0.75)=TRUE, "Evening", "Night")))</f>
        <v>Afternoon</v>
      </c>
      <c r="G171" t="str">
        <f>_xlfn.XLOOKUP(AllData[[#This Row],[Location Name]], Locations[Location Name],Locations[Group As])</f>
        <v>Carrant Bredon Rd</v>
      </c>
      <c r="H171" t="e" vm="1">
        <f>_xlfn.XLOOKUP(AllData[[#This Row],[Site Name]],LocationsKey[Site Name],LocationsKey[District])</f>
        <v>#VALUE!</v>
      </c>
      <c r="I171" t="e" vm="1">
        <f>_xlfn.XLOOKUP(AllData[[#This Row],[Site Name]],LocationsKey[Site Name],LocationsKey[Town])</f>
        <v>#VALUE!</v>
      </c>
      <c r="J171" t="str">
        <f>_xlfn.XLOOKUP(AllData[[#This Row],[Site Name]],LocationsKey[Site Name], LocationsKey[Waterway])</f>
        <v>Carrant</v>
      </c>
      <c r="K171" t="s">
        <v>90</v>
      </c>
      <c r="N171" t="s">
        <v>23</v>
      </c>
      <c r="O171">
        <v>738</v>
      </c>
      <c r="P171">
        <v>11.7</v>
      </c>
      <c r="Q171">
        <v>6</v>
      </c>
      <c r="R171" s="7" t="str">
        <f>IF(AllData[[#This Row],[Nitrate (PPM)]]&gt;2, "Very high", IF(AllData[[#This Row],[Nitrate (PPM)]]&gt;1, "High", IF(AllData[[#This Row],[Nitrate (PPM)]]&gt;0.5, "Some evidence", IF(AllData[[#This Row],[Nitrate (PPM)]]&gt;=0, "No evidence"))))</f>
        <v>Very high</v>
      </c>
      <c r="S171" s="4">
        <v>0.32</v>
      </c>
      <c r="T171" s="7" t="str">
        <f>IF(AllData[[#This Row],[Phosphate (PPM)]]&gt;0.5, "Very high", IF(AllData[[#This Row],[Phosphate (PPM)]]&gt;0.1, "High", IF(AllData[[#This Row],[Phosphate (PPM)]]&gt;0.05, "Some evidence", IF(AllData[[#This Row],[Phosphate (PPM)]]&lt;=0.05, "No Evidence", ""))))</f>
        <v>High</v>
      </c>
      <c r="U171">
        <v>1</v>
      </c>
      <c r="V171" t="s">
        <v>301</v>
      </c>
    </row>
    <row r="172" spans="1:22" x14ac:dyDescent="0.25">
      <c r="A172" t="s">
        <v>302</v>
      </c>
      <c r="B172" s="2">
        <v>45235</v>
      </c>
      <c r="C172" s="2" t="str" cm="1">
        <f t="array" ref="C1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2">
        <f>YEAR(AllData[[#This Row],[Date]])</f>
        <v>2023</v>
      </c>
      <c r="E172" s="1">
        <v>0.53472222222222221</v>
      </c>
      <c r="F172" s="2" t="str">
        <f>IF(AND(AllData[[#This Row],[Time]]&lt;0.5, AllData[[#This Row],[Time]]&gt;0.17)=TRUE, "Morning", IF(AND(AllData[[#This Row],[Time]]&lt;0.75, AllData[[#This Row],[Time]]&gt;=0.5)=TRUE, "Afternoon", IF(AND(AllData[[#This Row],[Time]]&lt;1, AllData[[#This Row],[Time]]&gt;=0.75)=TRUE, "Evening", "Night")))</f>
        <v>Afternoon</v>
      </c>
      <c r="G172" t="str">
        <f>_xlfn.XLOOKUP(AllData[[#This Row],[Location Name]], Locations[Location Name],Locations[Group As])</f>
        <v>Hampton Lucy</v>
      </c>
      <c r="H172" t="e" vm="2">
        <f>_xlfn.XLOOKUP(AllData[[#This Row],[Site Name]],LocationsKey[Site Name],LocationsKey[District])</f>
        <v>#VALUE!</v>
      </c>
      <c r="I172" t="e" vm="4">
        <f>_xlfn.XLOOKUP(AllData[[#This Row],[Site Name]],LocationsKey[Site Name],LocationsKey[Town])</f>
        <v>#VALUE!</v>
      </c>
      <c r="J172" t="str">
        <f>_xlfn.XLOOKUP(AllData[[#This Row],[Site Name]],LocationsKey[Site Name], LocationsKey[Waterway])</f>
        <v>Avon</v>
      </c>
      <c r="K172" t="s">
        <v>37</v>
      </c>
      <c r="L172">
        <v>52.211680000000001</v>
      </c>
      <c r="M172">
        <v>-1.6244400000000001</v>
      </c>
      <c r="N172" t="s">
        <v>23</v>
      </c>
      <c r="O172" s="219">
        <v>570</v>
      </c>
      <c r="P172">
        <v>11.4</v>
      </c>
      <c r="Q172" s="219">
        <v>2</v>
      </c>
      <c r="R172" s="7" t="str">
        <f>IF(AllData[[#This Row],[Nitrate (PPM)]]&gt;2, "Very high", IF(AllData[[#This Row],[Nitrate (PPM)]]&gt;1, "High", IF(AllData[[#This Row],[Nitrate (PPM)]]&gt;0.5, "Some evidence", IF(AllData[[#This Row],[Nitrate (PPM)]]&gt;=0, "No evidence"))))</f>
        <v>High</v>
      </c>
      <c r="S172" s="221">
        <v>0.54</v>
      </c>
      <c r="T172" s="7" t="str">
        <f>IF(AllData[[#This Row],[Phosphate (PPM)]]&gt;0.5, "Very high", IF(AllData[[#This Row],[Phosphate (PPM)]]&gt;0.1, "High", IF(AllData[[#This Row],[Phosphate (PPM)]]&gt;0.05, "Some evidence", IF(AllData[[#This Row],[Phosphate (PPM)]]&lt;=0.05, "No Evidence", ""))))</f>
        <v>Very high</v>
      </c>
      <c r="U172">
        <v>0</v>
      </c>
    </row>
    <row r="173" spans="1:22" x14ac:dyDescent="0.25">
      <c r="A173" t="s">
        <v>303</v>
      </c>
      <c r="B173" s="2">
        <v>45235</v>
      </c>
      <c r="C173" s="2" t="str" cm="1">
        <f t="array" ref="C1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3">
        <f>YEAR(AllData[[#This Row],[Date]])</f>
        <v>2023</v>
      </c>
      <c r="E173" s="1">
        <v>0.63263888888888886</v>
      </c>
      <c r="F173" s="2" t="str">
        <f>IF(AND(AllData[[#This Row],[Time]]&lt;0.5, AllData[[#This Row],[Time]]&gt;0.17)=TRUE, "Morning", IF(AND(AllData[[#This Row],[Time]]&lt;0.75, AllData[[#This Row],[Time]]&gt;=0.5)=TRUE, "Afternoon", IF(AND(AllData[[#This Row],[Time]]&lt;1, AllData[[#This Row],[Time]]&gt;=0.75)=TRUE, "Evening", "Night")))</f>
        <v>Afternoon</v>
      </c>
      <c r="G173" t="str">
        <f>_xlfn.XLOOKUP(AllData[[#This Row],[Location Name]], Locations[Location Name],Locations[Group As])</f>
        <v>Clifford Chambers Mill Bridge</v>
      </c>
      <c r="H173" t="e" vm="2">
        <f>_xlfn.XLOOKUP(AllData[[#This Row],[Site Name]],LocationsKey[Site Name],LocationsKey[District])</f>
        <v>#VALUE!</v>
      </c>
      <c r="I173" t="e" vm="12">
        <f>_xlfn.XLOOKUP(AllData[[#This Row],[Site Name]],LocationsKey[Site Name],LocationsKey[Town])</f>
        <v>#VALUE!</v>
      </c>
      <c r="J173" t="str">
        <f>_xlfn.XLOOKUP(AllData[[#This Row],[Site Name]],LocationsKey[Site Name], LocationsKey[Waterway])</f>
        <v>Stour</v>
      </c>
      <c r="K173" t="s">
        <v>263</v>
      </c>
      <c r="L173">
        <v>52.166037000000003</v>
      </c>
      <c r="M173">
        <v>-1.708032</v>
      </c>
      <c r="N173" t="s">
        <v>66</v>
      </c>
      <c r="O173">
        <v>486</v>
      </c>
      <c r="P173">
        <v>12</v>
      </c>
      <c r="Q173">
        <v>7</v>
      </c>
      <c r="R173" s="7" t="str">
        <f>IF(AllData[[#This Row],[Nitrate (PPM)]]&gt;2, "Very high", IF(AllData[[#This Row],[Nitrate (PPM)]]&gt;1, "High", IF(AllData[[#This Row],[Nitrate (PPM)]]&gt;0.5, "Some evidence", IF(AllData[[#This Row],[Nitrate (PPM)]]&gt;=0, "No evidence"))))</f>
        <v>Very high</v>
      </c>
      <c r="S173" s="4">
        <v>0.42</v>
      </c>
      <c r="T173" s="7" t="str">
        <f>IF(AllData[[#This Row],[Phosphate (PPM)]]&gt;0.5, "Very high", IF(AllData[[#This Row],[Phosphate (PPM)]]&gt;0.1, "High", IF(AllData[[#This Row],[Phosphate (PPM)]]&gt;0.05, "Some evidence", IF(AllData[[#This Row],[Phosphate (PPM)]]&lt;=0.05, "No Evidence", ""))))</f>
        <v>High</v>
      </c>
      <c r="U173">
        <v>1.7</v>
      </c>
      <c r="V173" t="s">
        <v>304</v>
      </c>
    </row>
    <row r="174" spans="1:22" x14ac:dyDescent="0.25">
      <c r="A174" t="s">
        <v>305</v>
      </c>
      <c r="B174" s="2">
        <v>45235</v>
      </c>
      <c r="C174" s="2" t="str" cm="1">
        <f t="array" ref="C1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4">
        <f>YEAR(AllData[[#This Row],[Date]])</f>
        <v>2023</v>
      </c>
      <c r="E174" s="1">
        <v>0.66666666666666663</v>
      </c>
      <c r="F174" s="2" t="str">
        <f>IF(AND(AllData[[#This Row],[Time]]&lt;0.5, AllData[[#This Row],[Time]]&gt;0.17)=TRUE, "Morning", IF(AND(AllData[[#This Row],[Time]]&lt;0.75, AllData[[#This Row],[Time]]&gt;=0.5)=TRUE, "Afternoon", IF(AND(AllData[[#This Row],[Time]]&lt;1, AllData[[#This Row],[Time]]&gt;=0.75)=TRUE, "Evening", "Night")))</f>
        <v>Afternoon</v>
      </c>
      <c r="G174" t="str">
        <f>_xlfn.XLOOKUP(AllData[[#This Row],[Location Name]], Locations[Location Name],Locations[Group As])</f>
        <v>Welford Boat Station</v>
      </c>
      <c r="H174" t="e" vm="2">
        <f>_xlfn.XLOOKUP(AllData[[#This Row],[Site Name]],LocationsKey[Site Name],LocationsKey[District])</f>
        <v>#VALUE!</v>
      </c>
      <c r="I174" t="e" vm="5">
        <f>_xlfn.XLOOKUP(AllData[[#This Row],[Site Name]],LocationsKey[Site Name],LocationsKey[Town])</f>
        <v>#VALUE!</v>
      </c>
      <c r="J174" t="str">
        <f>_xlfn.XLOOKUP(AllData[[#This Row],[Site Name]],LocationsKey[Site Name], LocationsKey[Waterway])</f>
        <v>Avon</v>
      </c>
      <c r="K174" t="s">
        <v>39</v>
      </c>
      <c r="L174">
        <v>52.175240000000002</v>
      </c>
      <c r="M174">
        <v>-1.7918700000000001</v>
      </c>
      <c r="N174" t="s">
        <v>29</v>
      </c>
      <c r="O174">
        <v>570</v>
      </c>
      <c r="P174">
        <v>10.8</v>
      </c>
      <c r="Q174">
        <v>2</v>
      </c>
      <c r="R174" s="7" t="str">
        <f>IF(AllData[[#This Row],[Nitrate (PPM)]]&gt;2, "Very high", IF(AllData[[#This Row],[Nitrate (PPM)]]&gt;1, "High", IF(AllData[[#This Row],[Nitrate (PPM)]]&gt;0.5, "Some evidence", IF(AllData[[#This Row],[Nitrate (PPM)]]&gt;=0, "No evidence"))))</f>
        <v>High</v>
      </c>
      <c r="S174" s="4">
        <v>0.37</v>
      </c>
      <c r="T174" s="7" t="str">
        <f>IF(AllData[[#This Row],[Phosphate (PPM)]]&gt;0.5, "Very high", IF(AllData[[#This Row],[Phosphate (PPM)]]&gt;0.1, "High", IF(AllData[[#This Row],[Phosphate (PPM)]]&gt;0.05, "Some evidence", IF(AllData[[#This Row],[Phosphate (PPM)]]&lt;=0.05, "No Evidence", ""))))</f>
        <v>High</v>
      </c>
      <c r="U174">
        <v>0</v>
      </c>
      <c r="V174" t="s">
        <v>306</v>
      </c>
    </row>
    <row r="175" spans="1:22" x14ac:dyDescent="0.25">
      <c r="A175" t="s">
        <v>312</v>
      </c>
      <c r="B175" s="2">
        <v>45237</v>
      </c>
      <c r="C175" s="2" t="str" cm="1">
        <f t="array" ref="C1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5">
        <f>YEAR(AllData[[#This Row],[Date]])</f>
        <v>2023</v>
      </c>
      <c r="E175" s="1">
        <v>0.47916666666666669</v>
      </c>
      <c r="F175" s="2" t="str">
        <f>IF(AND(AllData[[#This Row],[Time]]&lt;0.5, AllData[[#This Row],[Time]]&gt;0.17)=TRUE, "Morning", IF(AND(AllData[[#This Row],[Time]]&lt;0.75, AllData[[#This Row],[Time]]&gt;=0.5)=TRUE, "Afternoon", IF(AND(AllData[[#This Row],[Time]]&lt;1, AllData[[#This Row],[Time]]&gt;=0.75)=TRUE, "Evening", "Night")))</f>
        <v>Morning</v>
      </c>
      <c r="G175" t="str">
        <f>_xlfn.XLOOKUP(AllData[[#This Row],[Location Name]], Locations[Location Name],Locations[Group As])</f>
        <v>Lucy's Mill Bridge</v>
      </c>
      <c r="H175" t="e" vm="2">
        <f>_xlfn.XLOOKUP(AllData[[#This Row],[Site Name]],LocationsKey[Site Name],LocationsKey[District])</f>
        <v>#VALUE!</v>
      </c>
      <c r="I175" t="e" vm="7">
        <f>_xlfn.XLOOKUP(AllData[[#This Row],[Site Name]],LocationsKey[Site Name],LocationsKey[Town])</f>
        <v>#VALUE!</v>
      </c>
      <c r="J175" t="str">
        <f>_xlfn.XLOOKUP(AllData[[#This Row],[Site Name]],LocationsKey[Site Name], LocationsKey[Waterway])</f>
        <v>Avon</v>
      </c>
      <c r="K175" t="s">
        <v>216</v>
      </c>
      <c r="L175">
        <v>52.183698999999997</v>
      </c>
      <c r="M175">
        <v>-1.707816</v>
      </c>
      <c r="N175" t="s">
        <v>29</v>
      </c>
      <c r="P175">
        <v>11</v>
      </c>
      <c r="Q175">
        <v>10</v>
      </c>
      <c r="R175" s="7" t="str">
        <f>IF(AllData[[#This Row],[Nitrate (PPM)]]&gt;2, "Very high", IF(AllData[[#This Row],[Nitrate (PPM)]]&gt;1, "High", IF(AllData[[#This Row],[Nitrate (PPM)]]&gt;0.5, "Some evidence", IF(AllData[[#This Row],[Nitrate (PPM)]]&gt;=0, "No evidence"))))</f>
        <v>Very high</v>
      </c>
      <c r="S175" s="4">
        <v>0.56000000000000005</v>
      </c>
      <c r="T175" s="7" t="str">
        <f>IF(AllData[[#This Row],[Phosphate (PPM)]]&gt;0.5, "Very high", IF(AllData[[#This Row],[Phosphate (PPM)]]&gt;0.1, "High", IF(AllData[[#This Row],[Phosphate (PPM)]]&gt;0.05, "Some evidence", IF(AllData[[#This Row],[Phosphate (PPM)]]&lt;=0.05, "No Evidence", ""))))</f>
        <v>Very high</v>
      </c>
      <c r="U175">
        <v>0.7</v>
      </c>
    </row>
    <row r="176" spans="1:22" x14ac:dyDescent="0.25">
      <c r="A176" t="s">
        <v>307</v>
      </c>
      <c r="B176" s="2">
        <v>45237</v>
      </c>
      <c r="C176" s="2" t="str" cm="1">
        <f t="array" ref="C1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6">
        <f>YEAR(AllData[[#This Row],[Date]])</f>
        <v>2023</v>
      </c>
      <c r="E176" s="1">
        <v>0.625</v>
      </c>
      <c r="F176" s="2" t="str">
        <f>IF(AND(AllData[[#This Row],[Time]]&lt;0.5, AllData[[#This Row],[Time]]&gt;0.17)=TRUE, "Morning", IF(AND(AllData[[#This Row],[Time]]&lt;0.75, AllData[[#This Row],[Time]]&gt;=0.5)=TRUE, "Afternoon", IF(AND(AllData[[#This Row],[Time]]&lt;1, AllData[[#This Row],[Time]]&gt;=0.75)=TRUE, "Evening", "Night")))</f>
        <v>Afternoon</v>
      </c>
      <c r="G176" t="str">
        <f>_xlfn.XLOOKUP(AllData[[#This Row],[Location Name]], Locations[Location Name],Locations[Group As])</f>
        <v>Alveston Weir</v>
      </c>
      <c r="H176" t="e" vm="2">
        <f>_xlfn.XLOOKUP(AllData[[#This Row],[Site Name]],LocationsKey[Site Name],LocationsKey[District])</f>
        <v>#VALUE!</v>
      </c>
      <c r="I176" t="e" vm="13">
        <f>_xlfn.XLOOKUP(AllData[[#This Row],[Site Name]],LocationsKey[Site Name],LocationsKey[Town])</f>
        <v>#VALUE!</v>
      </c>
      <c r="J176" t="str">
        <f>_xlfn.XLOOKUP(AllData[[#This Row],[Site Name]],LocationsKey[Site Name], LocationsKey[Waterway])</f>
        <v>Avon</v>
      </c>
      <c r="K176" t="s">
        <v>286</v>
      </c>
      <c r="L176">
        <v>52.214388999999997</v>
      </c>
      <c r="M176">
        <v>-1.6601520000000001</v>
      </c>
      <c r="N176" t="s">
        <v>29</v>
      </c>
      <c r="O176">
        <v>652</v>
      </c>
      <c r="P176">
        <v>15.5</v>
      </c>
      <c r="Q176">
        <v>5</v>
      </c>
      <c r="R176" s="7" t="str">
        <f>IF(AllData[[#This Row],[Nitrate (PPM)]]&gt;2, "Very high", IF(AllData[[#This Row],[Nitrate (PPM)]]&gt;1, "High", IF(AllData[[#This Row],[Nitrate (PPM)]]&gt;0.5, "Some evidence", IF(AllData[[#This Row],[Nitrate (PPM)]]&gt;=0, "No evidence"))))</f>
        <v>Very high</v>
      </c>
      <c r="S176" s="4">
        <v>0.41</v>
      </c>
      <c r="T176" s="7" t="str">
        <f>IF(AllData[[#This Row],[Phosphate (PPM)]]&gt;0.5, "Very high", IF(AllData[[#This Row],[Phosphate (PPM)]]&gt;0.1, "High", IF(AllData[[#This Row],[Phosphate (PPM)]]&gt;0.05, "Some evidence", IF(AllData[[#This Row],[Phosphate (PPM)]]&lt;=0.05, "No Evidence", ""))))</f>
        <v>High</v>
      </c>
      <c r="U176">
        <v>0</v>
      </c>
      <c r="V176" t="s">
        <v>308</v>
      </c>
    </row>
    <row r="177" spans="1:22" x14ac:dyDescent="0.25">
      <c r="A177" t="s">
        <v>309</v>
      </c>
      <c r="B177" s="2">
        <v>45237</v>
      </c>
      <c r="C177" s="2" t="str" cm="1">
        <f t="array" ref="C1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7">
        <f>YEAR(AllData[[#This Row],[Date]])</f>
        <v>2023</v>
      </c>
      <c r="E177" s="1">
        <v>0.62847222222222221</v>
      </c>
      <c r="F177" s="2" t="str">
        <f>IF(AND(AllData[[#This Row],[Time]]&lt;0.5, AllData[[#This Row],[Time]]&gt;0.17)=TRUE, "Morning", IF(AND(AllData[[#This Row],[Time]]&lt;0.75, AllData[[#This Row],[Time]]&gt;=0.5)=TRUE, "Afternoon", IF(AND(AllData[[#This Row],[Time]]&lt;1, AllData[[#This Row],[Time]]&gt;=0.75)=TRUE, "Evening", "Night")))</f>
        <v>Afternoon</v>
      </c>
      <c r="G177" t="str">
        <f>_xlfn.XLOOKUP(AllData[[#This Row],[Location Name]], Locations[Location Name],Locations[Group As])</f>
        <v>Swiffen Bank</v>
      </c>
      <c r="H177" t="e" vm="2">
        <f>_xlfn.XLOOKUP(AllData[[#This Row],[Site Name]],LocationsKey[Site Name],LocationsKey[District])</f>
        <v>#VALUE!</v>
      </c>
      <c r="I177" t="e" vm="13">
        <f>_xlfn.XLOOKUP(AllData[[#This Row],[Site Name]],LocationsKey[Site Name],LocationsKey[Town])</f>
        <v>#VALUE!</v>
      </c>
      <c r="J177" t="str">
        <f>_xlfn.XLOOKUP(AllData[[#This Row],[Site Name]],LocationsKey[Site Name], LocationsKey[Waterway])</f>
        <v>Avon</v>
      </c>
      <c r="K177" t="s">
        <v>284</v>
      </c>
      <c r="L177">
        <v>52.206339</v>
      </c>
      <c r="M177">
        <v>-1.6550020000000001</v>
      </c>
      <c r="N177" t="s">
        <v>29</v>
      </c>
      <c r="O177">
        <v>561</v>
      </c>
      <c r="P177">
        <v>15</v>
      </c>
      <c r="Q177">
        <v>5</v>
      </c>
      <c r="R177" s="7" t="str">
        <f>IF(AllData[[#This Row],[Nitrate (PPM)]]&gt;2, "Very high", IF(AllData[[#This Row],[Nitrate (PPM)]]&gt;1, "High", IF(AllData[[#This Row],[Nitrate (PPM)]]&gt;0.5, "Some evidence", IF(AllData[[#This Row],[Nitrate (PPM)]]&gt;=0, "No evidence"))))</f>
        <v>Very high</v>
      </c>
      <c r="S177" s="4">
        <v>0.42</v>
      </c>
      <c r="T177" s="7" t="str">
        <f>IF(AllData[[#This Row],[Phosphate (PPM)]]&gt;0.5, "Very high", IF(AllData[[#This Row],[Phosphate (PPM)]]&gt;0.1, "High", IF(AllData[[#This Row],[Phosphate (PPM)]]&gt;0.05, "Some evidence", IF(AllData[[#This Row],[Phosphate (PPM)]]&lt;=0.05, "No Evidence", ""))))</f>
        <v>High</v>
      </c>
      <c r="U177">
        <v>1</v>
      </c>
      <c r="V177" t="s">
        <v>310</v>
      </c>
    </row>
    <row r="178" spans="1:22" x14ac:dyDescent="0.25">
      <c r="A178" t="s">
        <v>311</v>
      </c>
      <c r="B178" s="2">
        <v>45237</v>
      </c>
      <c r="C178" s="2" t="str" cm="1">
        <f t="array" ref="C1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8">
        <f>YEAR(AllData[[#This Row],[Date]])</f>
        <v>2023</v>
      </c>
      <c r="E178" s="1">
        <v>0.65625</v>
      </c>
      <c r="F178" s="2" t="str">
        <f>IF(AND(AllData[[#This Row],[Time]]&lt;0.5, AllData[[#This Row],[Time]]&gt;0.17)=TRUE, "Morning", IF(AND(AllData[[#This Row],[Time]]&lt;0.75, AllData[[#This Row],[Time]]&gt;=0.5)=TRUE, "Afternoon", IF(AND(AllData[[#This Row],[Time]]&lt;1, AllData[[#This Row],[Time]]&gt;=0.75)=TRUE, "Evening", "Night")))</f>
        <v>Afternoon</v>
      </c>
      <c r="G178" t="str">
        <f>_xlfn.XLOOKUP(AllData[[#This Row],[Location Name]], Locations[Location Name],Locations[Group As])</f>
        <v>Weston-on-Avon</v>
      </c>
      <c r="H178" t="e" vm="2">
        <f>_xlfn.XLOOKUP(AllData[[#This Row],[Site Name]],LocationsKey[Site Name],LocationsKey[District])</f>
        <v>#VALUE!</v>
      </c>
      <c r="I178" t="e" vm="6">
        <f>_xlfn.XLOOKUP(AllData[[#This Row],[Site Name]],LocationsKey[Site Name],LocationsKey[Town])</f>
        <v>#VALUE!</v>
      </c>
      <c r="J178" t="str">
        <f>_xlfn.XLOOKUP(AllData[[#This Row],[Site Name]],LocationsKey[Site Name], LocationsKey[Waterway])</f>
        <v>Avon</v>
      </c>
      <c r="K178" t="s">
        <v>41</v>
      </c>
      <c r="L178">
        <v>52.167430000000003</v>
      </c>
      <c r="M178">
        <v>-1.7744800000000001</v>
      </c>
      <c r="N178" t="s">
        <v>29</v>
      </c>
      <c r="O178">
        <v>664</v>
      </c>
      <c r="P178">
        <v>10.7</v>
      </c>
      <c r="Q178">
        <v>3</v>
      </c>
      <c r="R178" s="7" t="str">
        <f>IF(AllData[[#This Row],[Nitrate (PPM)]]&gt;2, "Very high", IF(AllData[[#This Row],[Nitrate (PPM)]]&gt;1, "High", IF(AllData[[#This Row],[Nitrate (PPM)]]&gt;0.5, "Some evidence", IF(AllData[[#This Row],[Nitrate (PPM)]]&gt;=0, "No evidence"))))</f>
        <v>Very high</v>
      </c>
      <c r="S178" s="4">
        <v>0.43</v>
      </c>
      <c r="T178" s="7" t="str">
        <f>IF(AllData[[#This Row],[Phosphate (PPM)]]&gt;0.5, "Very high", IF(AllData[[#This Row],[Phosphate (PPM)]]&gt;0.1, "High", IF(AllData[[#This Row],[Phosphate (PPM)]]&gt;0.05, "Some evidence", IF(AllData[[#This Row],[Phosphate (PPM)]]&lt;=0.05, "No Evidence", ""))))</f>
        <v>High</v>
      </c>
      <c r="U178">
        <v>0</v>
      </c>
    </row>
    <row r="179" spans="1:22" x14ac:dyDescent="0.25">
      <c r="A179" t="s">
        <v>313</v>
      </c>
      <c r="B179" s="2">
        <v>45238</v>
      </c>
      <c r="C179" s="2" t="str" cm="1">
        <f t="array" ref="C1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79">
        <f>YEAR(AllData[[#This Row],[Date]])</f>
        <v>2023</v>
      </c>
      <c r="E179" s="1">
        <v>0.66666666666666663</v>
      </c>
      <c r="F179" s="2" t="str">
        <f>IF(AND(AllData[[#This Row],[Time]]&lt;0.5, AllData[[#This Row],[Time]]&gt;0.17)=TRUE, "Morning", IF(AND(AllData[[#This Row],[Time]]&lt;0.75, AllData[[#This Row],[Time]]&gt;=0.5)=TRUE, "Afternoon", IF(AND(AllData[[#This Row],[Time]]&lt;1, AllData[[#This Row],[Time]]&gt;=0.75)=TRUE, "Evening", "Night")))</f>
        <v>Afternoon</v>
      </c>
      <c r="G179" t="str">
        <f>_xlfn.XLOOKUP(AllData[[#This Row],[Location Name]], Locations[Location Name],Locations[Group As])</f>
        <v>Stour Newbold Mill</v>
      </c>
      <c r="H179" t="e" vm="2">
        <f>_xlfn.XLOOKUP(AllData[[#This Row],[Site Name]],LocationsKey[Site Name],LocationsKey[District])</f>
        <v>#VALUE!</v>
      </c>
      <c r="I179" t="e" vm="8">
        <f>_xlfn.XLOOKUP(AllData[[#This Row],[Site Name]],LocationsKey[Site Name],LocationsKey[Town])</f>
        <v>#VALUE!</v>
      </c>
      <c r="J179" t="str">
        <f>_xlfn.XLOOKUP(AllData[[#This Row],[Site Name]],LocationsKey[Site Name], LocationsKey[Waterway])</f>
        <v>Stour</v>
      </c>
      <c r="K179" t="s">
        <v>140</v>
      </c>
      <c r="L179">
        <v>52.112864999999999</v>
      </c>
      <c r="M179">
        <v>-1.6334340000000001</v>
      </c>
      <c r="N179" t="s">
        <v>29</v>
      </c>
      <c r="O179">
        <v>854</v>
      </c>
      <c r="P179">
        <v>10.3</v>
      </c>
      <c r="Q179">
        <v>5</v>
      </c>
      <c r="R179" s="7" t="str">
        <f>IF(AllData[[#This Row],[Nitrate (PPM)]]&gt;2, "Very high", IF(AllData[[#This Row],[Nitrate (PPM)]]&gt;1, "High", IF(AllData[[#This Row],[Nitrate (PPM)]]&gt;0.5, "Some evidence", IF(AllData[[#This Row],[Nitrate (PPM)]]&gt;=0, "No evidence"))))</f>
        <v>Very high</v>
      </c>
      <c r="S179" s="4">
        <v>0.26</v>
      </c>
      <c r="T179" s="7" t="str">
        <f>IF(AllData[[#This Row],[Phosphate (PPM)]]&gt;0.5, "Very high", IF(AllData[[#This Row],[Phosphate (PPM)]]&gt;0.1, "High", IF(AllData[[#This Row],[Phosphate (PPM)]]&gt;0.05, "Some evidence", IF(AllData[[#This Row],[Phosphate (PPM)]]&lt;=0.05, "No Evidence", ""))))</f>
        <v>High</v>
      </c>
      <c r="U179">
        <v>2.5</v>
      </c>
      <c r="V179" t="s">
        <v>314</v>
      </c>
    </row>
    <row r="180" spans="1:22" x14ac:dyDescent="0.25">
      <c r="A180" t="s">
        <v>315</v>
      </c>
      <c r="B180" s="2">
        <v>45239</v>
      </c>
      <c r="C180" s="2" t="str" cm="1">
        <f t="array" ref="C1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0">
        <f>YEAR(AllData[[#This Row],[Date]])</f>
        <v>2023</v>
      </c>
      <c r="E180" s="1">
        <v>0.39583333333333331</v>
      </c>
      <c r="F180" s="2" t="str">
        <f>IF(AND(AllData[[#This Row],[Time]]&lt;0.5, AllData[[#This Row],[Time]]&gt;0.17)=TRUE, "Morning", IF(AND(AllData[[#This Row],[Time]]&lt;0.75, AllData[[#This Row],[Time]]&gt;=0.5)=TRUE, "Afternoon", IF(AND(AllData[[#This Row],[Time]]&lt;1, AllData[[#This Row],[Time]]&gt;=0.75)=TRUE, "Evening", "Night")))</f>
        <v>Morning</v>
      </c>
      <c r="G180" t="str">
        <f>_xlfn.XLOOKUP(AllData[[#This Row],[Location Name]], Locations[Location Name],Locations[Group As])</f>
        <v>Swilgate</v>
      </c>
      <c r="H180" t="e" vm="1">
        <f>_xlfn.XLOOKUP(AllData[[#This Row],[Site Name]],LocationsKey[Site Name],LocationsKey[District])</f>
        <v>#VALUE!</v>
      </c>
      <c r="I180" t="e" vm="1">
        <f>_xlfn.XLOOKUP(AllData[[#This Row],[Site Name]],LocationsKey[Site Name],LocationsKey[Town])</f>
        <v>#VALUE!</v>
      </c>
      <c r="J180" t="str">
        <f>_xlfn.XLOOKUP(AllData[[#This Row],[Site Name]],LocationsKey[Site Name], LocationsKey[Waterway])</f>
        <v>Swilgate</v>
      </c>
      <c r="K180" t="s">
        <v>84</v>
      </c>
      <c r="N180" t="s">
        <v>23</v>
      </c>
      <c r="O180">
        <v>836</v>
      </c>
      <c r="P180">
        <v>12</v>
      </c>
      <c r="Q180">
        <v>4</v>
      </c>
      <c r="R180" s="7" t="str">
        <f>IF(AllData[[#This Row],[Nitrate (PPM)]]&gt;2, "Very high", IF(AllData[[#This Row],[Nitrate (PPM)]]&gt;1, "High", IF(AllData[[#This Row],[Nitrate (PPM)]]&gt;0.5, "Some evidence", IF(AllData[[#This Row],[Nitrate (PPM)]]&gt;=0, "No evidence"))))</f>
        <v>Very high</v>
      </c>
      <c r="S180" s="4">
        <v>0.42</v>
      </c>
      <c r="T180" s="7" t="str">
        <f>IF(AllData[[#This Row],[Phosphate (PPM)]]&gt;0.5, "Very high", IF(AllData[[#This Row],[Phosphate (PPM)]]&gt;0.1, "High", IF(AllData[[#This Row],[Phosphate (PPM)]]&gt;0.05, "Some evidence", IF(AllData[[#This Row],[Phosphate (PPM)]]&lt;=0.05, "No Evidence", ""))))</f>
        <v>High</v>
      </c>
      <c r="U180">
        <v>1</v>
      </c>
    </row>
    <row r="181" spans="1:22" x14ac:dyDescent="0.25">
      <c r="A181" t="s">
        <v>316</v>
      </c>
      <c r="B181" s="2">
        <v>45239</v>
      </c>
      <c r="C181" s="2" t="str" cm="1">
        <f t="array" ref="C1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1">
        <f>YEAR(AllData[[#This Row],[Date]])</f>
        <v>2023</v>
      </c>
      <c r="E181" s="1">
        <v>0.57291666666666663</v>
      </c>
      <c r="F181" s="2" t="str">
        <f>IF(AND(AllData[[#This Row],[Time]]&lt;0.5, AllData[[#This Row],[Time]]&gt;0.17)=TRUE, "Morning", IF(AND(AllData[[#This Row],[Time]]&lt;0.75, AllData[[#This Row],[Time]]&gt;=0.5)=TRUE, "Afternoon", IF(AND(AllData[[#This Row],[Time]]&lt;1, AllData[[#This Row],[Time]]&gt;=0.75)=TRUE, "Evening", "Night")))</f>
        <v>Afternoon</v>
      </c>
      <c r="G181" t="str">
        <f>_xlfn.XLOOKUP(AllData[[#This Row],[Location Name]], Locations[Location Name],Locations[Group As])</f>
        <v>Preston-on-Stour River Bridge</v>
      </c>
      <c r="H181" t="e" vm="2">
        <f>_xlfn.XLOOKUP(AllData[[#This Row],[Site Name]],LocationsKey[Site Name],LocationsKey[District])</f>
        <v>#VALUE!</v>
      </c>
      <c r="I181" t="e" vm="9">
        <f>_xlfn.XLOOKUP(AllData[[#This Row],[Site Name]],LocationsKey[Site Name],LocationsKey[Town])</f>
        <v>#VALUE!</v>
      </c>
      <c r="J181" t="str">
        <f>_xlfn.XLOOKUP(AllData[[#This Row],[Site Name]],LocationsKey[Site Name], LocationsKey[Waterway])</f>
        <v>Stour</v>
      </c>
      <c r="K181" t="s">
        <v>163</v>
      </c>
      <c r="L181">
        <v>52.146470999999998</v>
      </c>
      <c r="M181">
        <v>-1.6997869999999999</v>
      </c>
      <c r="N181" t="s">
        <v>29</v>
      </c>
      <c r="O181" s="219">
        <v>612</v>
      </c>
      <c r="P181">
        <v>10.3</v>
      </c>
      <c r="Q181" s="219">
        <v>5</v>
      </c>
      <c r="R181" s="7" t="str">
        <f>IF(AllData[[#This Row],[Nitrate (PPM)]]&gt;2, "Very high", IF(AllData[[#This Row],[Nitrate (PPM)]]&gt;1, "High", IF(AllData[[#This Row],[Nitrate (PPM)]]&gt;0.5, "Some evidence", IF(AllData[[#This Row],[Nitrate (PPM)]]&gt;=0, "No evidence"))))</f>
        <v>Very high</v>
      </c>
      <c r="S181" s="221">
        <v>0.25</v>
      </c>
      <c r="T181" s="7" t="str">
        <f>IF(AllData[[#This Row],[Phosphate (PPM)]]&gt;0.5, "Very high", IF(AllData[[#This Row],[Phosphate (PPM)]]&gt;0.1, "High", IF(AllData[[#This Row],[Phosphate (PPM)]]&gt;0.05, "Some evidence", IF(AllData[[#This Row],[Phosphate (PPM)]]&lt;=0.05, "No Evidence", ""))))</f>
        <v>High</v>
      </c>
      <c r="U181">
        <v>1.75</v>
      </c>
      <c r="V181" t="s">
        <v>317</v>
      </c>
    </row>
    <row r="182" spans="1:22" x14ac:dyDescent="0.25">
      <c r="A182" t="s">
        <v>318</v>
      </c>
      <c r="B182" s="2">
        <v>45239</v>
      </c>
      <c r="C182" s="2" t="str" cm="1">
        <f t="array" ref="C1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2">
        <f>YEAR(AllData[[#This Row],[Date]])</f>
        <v>2023</v>
      </c>
      <c r="E182" s="1">
        <v>0.66805555555555551</v>
      </c>
      <c r="F182" s="2" t="str">
        <f>IF(AND(AllData[[#This Row],[Time]]&lt;0.5, AllData[[#This Row],[Time]]&gt;0.17)=TRUE, "Morning", IF(AND(AllData[[#This Row],[Time]]&lt;0.75, AllData[[#This Row],[Time]]&gt;=0.5)=TRUE, "Afternoon", IF(AND(AllData[[#This Row],[Time]]&lt;1, AllData[[#This Row],[Time]]&gt;=0.75)=TRUE, "Evening", "Night")))</f>
        <v>Afternoon</v>
      </c>
      <c r="G182" t="str">
        <f>_xlfn.XLOOKUP(AllData[[#This Row],[Location Name]], Locations[Location Name],Locations[Group As])</f>
        <v>Stour Shipston Mill Bridge</v>
      </c>
      <c r="H182" t="e" vm="2">
        <f>_xlfn.XLOOKUP(AllData[[#This Row],[Site Name]],LocationsKey[Site Name],LocationsKey[District])</f>
        <v>#VALUE!</v>
      </c>
      <c r="I182" t="e" vm="10">
        <f>_xlfn.XLOOKUP(AllData[[#This Row],[Site Name]],LocationsKey[Site Name],LocationsKey[Town])</f>
        <v>#VALUE!</v>
      </c>
      <c r="J182" t="str">
        <f>_xlfn.XLOOKUP(AllData[[#This Row],[Site Name]],LocationsKey[Site Name], LocationsKey[Waterway])</f>
        <v>Stour</v>
      </c>
      <c r="K182" t="s">
        <v>319</v>
      </c>
      <c r="L182">
        <v>52.062030999999998</v>
      </c>
      <c r="M182">
        <v>-1.6221080000000001</v>
      </c>
      <c r="N182" t="s">
        <v>23</v>
      </c>
      <c r="O182">
        <v>585</v>
      </c>
      <c r="P182">
        <v>10.199999999999999</v>
      </c>
      <c r="Q182">
        <v>10</v>
      </c>
      <c r="R182" s="7" t="str">
        <f>IF(AllData[[#This Row],[Nitrate (PPM)]]&gt;2, "Very high", IF(AllData[[#This Row],[Nitrate (PPM)]]&gt;1, "High", IF(AllData[[#This Row],[Nitrate (PPM)]]&gt;0.5, "Some evidence", IF(AllData[[#This Row],[Nitrate (PPM)]]&gt;=0, "No evidence"))))</f>
        <v>Very high</v>
      </c>
      <c r="S182" s="4">
        <v>0.3</v>
      </c>
      <c r="T182" s="7" t="str">
        <f>IF(AllData[[#This Row],[Phosphate (PPM)]]&gt;0.5, "Very high", IF(AllData[[#This Row],[Phosphate (PPM)]]&gt;0.1, "High", IF(AllData[[#This Row],[Phosphate (PPM)]]&gt;0.05, "Some evidence", IF(AllData[[#This Row],[Phosphate (PPM)]]&lt;=0.05, "No Evidence", ""))))</f>
        <v>High</v>
      </c>
      <c r="U182">
        <v>1.5</v>
      </c>
      <c r="V182" t="s">
        <v>179</v>
      </c>
    </row>
    <row r="183" spans="1:22" x14ac:dyDescent="0.25">
      <c r="A183" t="s">
        <v>320</v>
      </c>
      <c r="B183" s="2">
        <v>45239</v>
      </c>
      <c r="C183" s="2" t="str" cm="1">
        <f t="array" ref="C1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3">
        <f>YEAR(AllData[[#This Row],[Date]])</f>
        <v>2023</v>
      </c>
      <c r="E183" s="1">
        <v>0.71250000000000002</v>
      </c>
      <c r="F183" s="2" t="str">
        <f>IF(AND(AllData[[#This Row],[Time]]&lt;0.5, AllData[[#This Row],[Time]]&gt;0.17)=TRUE, "Morning", IF(AND(AllData[[#This Row],[Time]]&lt;0.75, AllData[[#This Row],[Time]]&gt;=0.5)=TRUE, "Afternoon", IF(AND(AllData[[#This Row],[Time]]&lt;1, AllData[[#This Row],[Time]]&gt;=0.75)=TRUE, "Evening", "Night")))</f>
        <v>Afternoon</v>
      </c>
      <c r="G183" t="str">
        <f>_xlfn.XLOOKUP(AllData[[#This Row],[Location Name]], Locations[Location Name],Locations[Group As])</f>
        <v>Stour Cherington Sewage Works</v>
      </c>
      <c r="H183" t="e" vm="2">
        <f>_xlfn.XLOOKUP(AllData[[#This Row],[Site Name]],LocationsKey[Site Name],LocationsKey[District])</f>
        <v>#VALUE!</v>
      </c>
      <c r="I183" t="str">
        <f>_xlfn.XLOOKUP(AllData[[#This Row],[Site Name]],LocationsKey[Site Name],LocationsKey[Town])</f>
        <v>Cherington</v>
      </c>
      <c r="J183" t="str">
        <f>_xlfn.XLOOKUP(AllData[[#This Row],[Site Name]],LocationsKey[Site Name], LocationsKey[Waterway])</f>
        <v>Stour</v>
      </c>
      <c r="K183" t="s">
        <v>321</v>
      </c>
      <c r="L183">
        <v>52.030172999999998</v>
      </c>
      <c r="M183">
        <v>-1.5791440000000001</v>
      </c>
      <c r="N183" t="s">
        <v>23</v>
      </c>
      <c r="O183">
        <v>295</v>
      </c>
      <c r="P183">
        <v>10.7</v>
      </c>
      <c r="R183" s="219"/>
      <c r="S183" s="4">
        <v>0.18</v>
      </c>
      <c r="T183" s="7" t="str">
        <f>IF(AllData[[#This Row],[Phosphate (PPM)]]&gt;0.5, "Very high", IF(AllData[[#This Row],[Phosphate (PPM)]]&gt;0.1, "High", IF(AllData[[#This Row],[Phosphate (PPM)]]&gt;0.05, "Some evidence", IF(AllData[[#This Row],[Phosphate (PPM)]]&lt;=0.05, "No Evidence", ""))))</f>
        <v>High</v>
      </c>
      <c r="U183">
        <v>0.5</v>
      </c>
      <c r="V183" t="s">
        <v>179</v>
      </c>
    </row>
    <row r="184" spans="1:22" x14ac:dyDescent="0.25">
      <c r="A184" t="s">
        <v>322</v>
      </c>
      <c r="B184" s="2">
        <v>45241</v>
      </c>
      <c r="C184" s="2" t="str" cm="1">
        <f t="array" ref="C1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4">
        <f>YEAR(AllData[[#This Row],[Date]])</f>
        <v>2023</v>
      </c>
      <c r="E184" s="1">
        <v>0.4201388888888889</v>
      </c>
      <c r="F184" s="2" t="str">
        <f>IF(AND(AllData[[#This Row],[Time]]&lt;0.5, AllData[[#This Row],[Time]]&gt;0.17)=TRUE, "Morning", IF(AND(AllData[[#This Row],[Time]]&lt;0.75, AllData[[#This Row],[Time]]&gt;=0.5)=TRUE, "Afternoon", IF(AND(AllData[[#This Row],[Time]]&lt;1, AllData[[#This Row],[Time]]&gt;=0.75)=TRUE, "Evening", "Night")))</f>
        <v>Morning</v>
      </c>
      <c r="G184" t="str">
        <f>_xlfn.XLOOKUP(AllData[[#This Row],[Location Name]], Locations[Location Name],Locations[Group As])</f>
        <v>Abbey Mill</v>
      </c>
      <c r="H184" t="e" vm="1">
        <f>_xlfn.XLOOKUP(AllData[[#This Row],[Site Name]],LocationsKey[Site Name],LocationsKey[District])</f>
        <v>#VALUE!</v>
      </c>
      <c r="I184" t="e" vm="1">
        <f>_xlfn.XLOOKUP(AllData[[#This Row],[Site Name]],LocationsKey[Site Name],LocationsKey[Town])</f>
        <v>#VALUE!</v>
      </c>
      <c r="J184" t="str">
        <f>_xlfn.XLOOKUP(AllData[[#This Row],[Site Name]],LocationsKey[Site Name], LocationsKey[Waterway])</f>
        <v>Avon</v>
      </c>
      <c r="K184" t="s">
        <v>22</v>
      </c>
      <c r="N184" t="s">
        <v>23</v>
      </c>
      <c r="O184">
        <v>718</v>
      </c>
      <c r="P184">
        <v>10.6</v>
      </c>
      <c r="Q184">
        <v>7</v>
      </c>
      <c r="R184" s="7" t="str">
        <f>IF(AllData[[#This Row],[Nitrate (PPM)]]&gt;2, "Very high", IF(AllData[[#This Row],[Nitrate (PPM)]]&gt;1, "High", IF(AllData[[#This Row],[Nitrate (PPM)]]&gt;0.5, "Some evidence", IF(AllData[[#This Row],[Nitrate (PPM)]]&gt;=0, "No evidence"))))</f>
        <v>Very high</v>
      </c>
      <c r="S184" s="4">
        <v>0.59</v>
      </c>
      <c r="T184" s="7" t="str">
        <f>IF(AllData[[#This Row],[Phosphate (PPM)]]&gt;0.5, "Very high", IF(AllData[[#This Row],[Phosphate (PPM)]]&gt;0.1, "High", IF(AllData[[#This Row],[Phosphate (PPM)]]&gt;0.05, "Some evidence", IF(AllData[[#This Row],[Phosphate (PPM)]]&lt;=0.05, "No Evidence", ""))))</f>
        <v>Very high</v>
      </c>
      <c r="U184">
        <v>1</v>
      </c>
    </row>
    <row r="185" spans="1:22" x14ac:dyDescent="0.25">
      <c r="A185" t="s">
        <v>323</v>
      </c>
      <c r="B185" s="2">
        <v>45242</v>
      </c>
      <c r="C185" s="2" t="str" cm="1">
        <f t="array" ref="C1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5">
        <f>YEAR(AllData[[#This Row],[Date]])</f>
        <v>2023</v>
      </c>
      <c r="E185" s="1">
        <v>0.4465277777777778</v>
      </c>
      <c r="F185" s="2" t="str">
        <f>IF(AND(AllData[[#This Row],[Time]]&lt;0.5, AllData[[#This Row],[Time]]&gt;0.17)=TRUE, "Morning", IF(AND(AllData[[#This Row],[Time]]&lt;0.75, AllData[[#This Row],[Time]]&gt;=0.5)=TRUE, "Afternoon", IF(AND(AllData[[#This Row],[Time]]&lt;1, AllData[[#This Row],[Time]]&gt;=0.75)=TRUE, "Evening", "Night")))</f>
        <v>Morning</v>
      </c>
      <c r="G185" t="str">
        <f>_xlfn.XLOOKUP(AllData[[#This Row],[Location Name]], Locations[Location Name],Locations[Group As])</f>
        <v>Pitch 16</v>
      </c>
      <c r="H185" t="e" vm="2">
        <f>_xlfn.XLOOKUP(AllData[[#This Row],[Site Name]],LocationsKey[Site Name],LocationsKey[District])</f>
        <v>#VALUE!</v>
      </c>
      <c r="I185" t="e" vm="7">
        <f>_xlfn.XLOOKUP(AllData[[#This Row],[Site Name]],LocationsKey[Site Name],LocationsKey[Town])</f>
        <v>#VALUE!</v>
      </c>
      <c r="J185" t="str">
        <f>_xlfn.XLOOKUP(AllData[[#This Row],[Site Name]],LocationsKey[Site Name], LocationsKey[Waterway])</f>
        <v>Avon</v>
      </c>
      <c r="K185" t="s">
        <v>69</v>
      </c>
      <c r="L185">
        <v>52.172566000000003</v>
      </c>
      <c r="M185">
        <v>-1.745363</v>
      </c>
      <c r="N185" t="s">
        <v>29</v>
      </c>
      <c r="O185">
        <v>816</v>
      </c>
      <c r="P185">
        <v>10.199999999999999</v>
      </c>
      <c r="Q185">
        <v>5</v>
      </c>
      <c r="R185" s="7" t="str">
        <f>IF(AllData[[#This Row],[Nitrate (PPM)]]&gt;2, "Very high", IF(AllData[[#This Row],[Nitrate (PPM)]]&gt;1, "High", IF(AllData[[#This Row],[Nitrate (PPM)]]&gt;0.5, "Some evidence", IF(AllData[[#This Row],[Nitrate (PPM)]]&gt;=0, "No evidence"))))</f>
        <v>Very high</v>
      </c>
      <c r="S185" s="4">
        <v>0.51</v>
      </c>
      <c r="T185" s="7" t="str">
        <f>IF(AllData[[#This Row],[Phosphate (PPM)]]&gt;0.5, "Very high", IF(AllData[[#This Row],[Phosphate (PPM)]]&gt;0.1, "High", IF(AllData[[#This Row],[Phosphate (PPM)]]&gt;0.05, "Some evidence", IF(AllData[[#This Row],[Phosphate (PPM)]]&lt;=0.05, "No Evidence", ""))))</f>
        <v>Very high</v>
      </c>
      <c r="U185">
        <v>0.75</v>
      </c>
    </row>
    <row r="186" spans="1:22" x14ac:dyDescent="0.25">
      <c r="A186" t="s">
        <v>330</v>
      </c>
      <c r="B186" s="2">
        <v>45242</v>
      </c>
      <c r="C186" s="2" t="str" cm="1">
        <f t="array" ref="C1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6">
        <f>YEAR(AllData[[#This Row],[Date]])</f>
        <v>2023</v>
      </c>
      <c r="E186" s="1">
        <v>0.44791666666666669</v>
      </c>
      <c r="F186" s="2" t="str">
        <f>IF(AND(AllData[[#This Row],[Time]]&lt;0.5, AllData[[#This Row],[Time]]&gt;0.17)=TRUE, "Morning", IF(AND(AllData[[#This Row],[Time]]&lt;0.75, AllData[[#This Row],[Time]]&gt;=0.5)=TRUE, "Afternoon", IF(AND(AllData[[#This Row],[Time]]&lt;1, AllData[[#This Row],[Time]]&gt;=0.75)=TRUE, "Evening", "Night")))</f>
        <v>Morning</v>
      </c>
      <c r="G186" t="str">
        <f>_xlfn.XLOOKUP(AllData[[#This Row],[Location Name]], Locations[Location Name],Locations[Group As])</f>
        <v>Lucy's Mill Bridge</v>
      </c>
      <c r="H186" t="e" vm="2">
        <f>_xlfn.XLOOKUP(AllData[[#This Row],[Site Name]],LocationsKey[Site Name],LocationsKey[District])</f>
        <v>#VALUE!</v>
      </c>
      <c r="I186" t="e" vm="7">
        <f>_xlfn.XLOOKUP(AllData[[#This Row],[Site Name]],LocationsKey[Site Name],LocationsKey[Town])</f>
        <v>#VALUE!</v>
      </c>
      <c r="J186" t="str">
        <f>_xlfn.XLOOKUP(AllData[[#This Row],[Site Name]],LocationsKey[Site Name], LocationsKey[Waterway])</f>
        <v>Avon</v>
      </c>
      <c r="K186" t="s">
        <v>216</v>
      </c>
      <c r="L186">
        <v>52.183698999999997</v>
      </c>
      <c r="M186">
        <v>-1.707816</v>
      </c>
      <c r="N186" t="s">
        <v>29</v>
      </c>
      <c r="P186">
        <v>9</v>
      </c>
      <c r="Q186">
        <v>10</v>
      </c>
      <c r="R186" s="7" t="str">
        <f>IF(AllData[[#This Row],[Nitrate (PPM)]]&gt;2, "Very high", IF(AllData[[#This Row],[Nitrate (PPM)]]&gt;1, "High", IF(AllData[[#This Row],[Nitrate (PPM)]]&gt;0.5, "Some evidence", IF(AllData[[#This Row],[Nitrate (PPM)]]&gt;=0, "No evidence"))))</f>
        <v>Very high</v>
      </c>
      <c r="S186" s="4">
        <v>0.49</v>
      </c>
      <c r="T186" s="7" t="str">
        <f>IF(AllData[[#This Row],[Phosphate (PPM)]]&gt;0.5, "Very high", IF(AllData[[#This Row],[Phosphate (PPM)]]&gt;0.1, "High", IF(AllData[[#This Row],[Phosphate (PPM)]]&gt;0.05, "Some evidence", IF(AllData[[#This Row],[Phosphate (PPM)]]&lt;=0.05, "No Evidence", ""))))</f>
        <v>High</v>
      </c>
      <c r="U186">
        <v>0.7</v>
      </c>
    </row>
    <row r="187" spans="1:22" x14ac:dyDescent="0.25">
      <c r="A187" t="s">
        <v>324</v>
      </c>
      <c r="B187" s="2">
        <v>45242</v>
      </c>
      <c r="C187" s="2" t="str" cm="1">
        <f t="array" ref="C1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7">
        <f>YEAR(AllData[[#This Row],[Date]])</f>
        <v>2023</v>
      </c>
      <c r="E187" s="1">
        <v>0.46527777777777779</v>
      </c>
      <c r="F187" s="2" t="str">
        <f>IF(AND(AllData[[#This Row],[Time]]&lt;0.5, AllData[[#This Row],[Time]]&gt;0.17)=TRUE, "Morning", IF(AND(AllData[[#This Row],[Time]]&lt;0.75, AllData[[#This Row],[Time]]&gt;=0.5)=TRUE, "Afternoon", IF(AND(AllData[[#This Row],[Time]]&lt;1, AllData[[#This Row],[Time]]&gt;=0.75)=TRUE, "Evening", "Night")))</f>
        <v>Morning</v>
      </c>
      <c r="G187" t="str">
        <f>_xlfn.XLOOKUP(AllData[[#This Row],[Location Name]], Locations[Location Name],Locations[Group As])</f>
        <v>Avonbank Drive</v>
      </c>
      <c r="H187" t="e" vm="2">
        <f>_xlfn.XLOOKUP(AllData[[#This Row],[Site Name]],LocationsKey[Site Name],LocationsKey[District])</f>
        <v>#VALUE!</v>
      </c>
      <c r="I187" t="e" vm="7">
        <f>_xlfn.XLOOKUP(AllData[[#This Row],[Site Name]],LocationsKey[Site Name],LocationsKey[Town])</f>
        <v>#VALUE!</v>
      </c>
      <c r="J187" t="str">
        <f>_xlfn.XLOOKUP(AllData[[#This Row],[Site Name]],LocationsKey[Site Name], LocationsKey[Waterway])</f>
        <v>Avon</v>
      </c>
      <c r="K187" t="s">
        <v>325</v>
      </c>
      <c r="L187">
        <v>52.177214999999997</v>
      </c>
      <c r="M187">
        <v>-1.7357640000000001</v>
      </c>
      <c r="N187" t="s">
        <v>66</v>
      </c>
      <c r="O187">
        <v>855</v>
      </c>
      <c r="P187">
        <v>9.3000000000000007</v>
      </c>
      <c r="Q187">
        <v>5</v>
      </c>
      <c r="R187" s="7" t="str">
        <f>IF(AllData[[#This Row],[Nitrate (PPM)]]&gt;2, "Very high", IF(AllData[[#This Row],[Nitrate (PPM)]]&gt;1, "High", IF(AllData[[#This Row],[Nitrate (PPM)]]&gt;0.5, "Some evidence", IF(AllData[[#This Row],[Nitrate (PPM)]]&gt;=0, "No evidence"))))</f>
        <v>Very high</v>
      </c>
      <c r="S187" s="4">
        <v>0.61</v>
      </c>
      <c r="T187" s="7" t="str">
        <f>IF(AllData[[#This Row],[Phosphate (PPM)]]&gt;0.5, "Very high", IF(AllData[[#This Row],[Phosphate (PPM)]]&gt;0.1, "High", IF(AllData[[#This Row],[Phosphate (PPM)]]&gt;0.05, "Some evidence", IF(AllData[[#This Row],[Phosphate (PPM)]]&lt;=0.05, "No Evidence", ""))))</f>
        <v>Very high</v>
      </c>
      <c r="U187">
        <v>0.75</v>
      </c>
    </row>
    <row r="188" spans="1:22" x14ac:dyDescent="0.25">
      <c r="A188" t="s">
        <v>326</v>
      </c>
      <c r="B188" s="2">
        <v>45242</v>
      </c>
      <c r="C188" s="2" t="str" cm="1">
        <f t="array" ref="C1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8">
        <f>YEAR(AllData[[#This Row],[Date]])</f>
        <v>2023</v>
      </c>
      <c r="E188" s="1">
        <v>0.47916666666666669</v>
      </c>
      <c r="F188" s="2" t="str">
        <f>IF(AND(AllData[[#This Row],[Time]]&lt;0.5, AllData[[#This Row],[Time]]&gt;0.17)=TRUE, "Morning", IF(AND(AllData[[#This Row],[Time]]&lt;0.75, AllData[[#This Row],[Time]]&gt;=0.5)=TRUE, "Afternoon", IF(AND(AllData[[#This Row],[Time]]&lt;1, AllData[[#This Row],[Time]]&gt;=0.75)=TRUE, "Evening", "Night")))</f>
        <v>Morning</v>
      </c>
      <c r="G188" t="str">
        <f>_xlfn.XLOOKUP(AllData[[#This Row],[Location Name]], Locations[Location Name],Locations[Group As])</f>
        <v>Hampton Wood</v>
      </c>
      <c r="H188" t="e" vm="2">
        <f>_xlfn.XLOOKUP(AllData[[#This Row],[Site Name]],LocationsKey[Site Name],LocationsKey[District])</f>
        <v>#VALUE!</v>
      </c>
      <c r="I188" t="e" vm="3">
        <f>_xlfn.XLOOKUP(AllData[[#This Row],[Site Name]],LocationsKey[Site Name],LocationsKey[Town])</f>
        <v>#VALUE!</v>
      </c>
      <c r="J188" t="str">
        <f>_xlfn.XLOOKUP(AllData[[#This Row],[Site Name]],LocationsKey[Site Name], LocationsKey[Waterway])</f>
        <v>Avon</v>
      </c>
      <c r="K188" t="s">
        <v>34</v>
      </c>
      <c r="L188">
        <v>52.238149999999997</v>
      </c>
      <c r="M188">
        <v>-1.6245799999999999</v>
      </c>
      <c r="N188" t="s">
        <v>29</v>
      </c>
      <c r="O188">
        <v>822</v>
      </c>
      <c r="P188">
        <v>9</v>
      </c>
      <c r="Q188">
        <v>7</v>
      </c>
      <c r="R188" s="7" t="str">
        <f>IF(AllData[[#This Row],[Nitrate (PPM)]]&gt;2, "Very high", IF(AllData[[#This Row],[Nitrate (PPM)]]&gt;1, "High", IF(AllData[[#This Row],[Nitrate (PPM)]]&gt;0.5, "Some evidence", IF(AllData[[#This Row],[Nitrate (PPM)]]&gt;=0, "No evidence"))))</f>
        <v>Very high</v>
      </c>
      <c r="S188" s="4">
        <v>0.53</v>
      </c>
      <c r="T188" s="7" t="str">
        <f>IF(AllData[[#This Row],[Phosphate (PPM)]]&gt;0.5, "Very high", IF(AllData[[#This Row],[Phosphate (PPM)]]&gt;0.1, "High", IF(AllData[[#This Row],[Phosphate (PPM)]]&gt;0.05, "Some evidence", IF(AllData[[#This Row],[Phosphate (PPM)]]&lt;=0.05, "No Evidence", ""))))</f>
        <v>Very high</v>
      </c>
      <c r="U188">
        <v>0</v>
      </c>
    </row>
    <row r="189" spans="1:22" x14ac:dyDescent="0.25">
      <c r="A189" t="s">
        <v>327</v>
      </c>
      <c r="B189" s="2">
        <v>45242</v>
      </c>
      <c r="C189" s="2" t="str" cm="1">
        <f t="array" ref="C1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89">
        <f>YEAR(AllData[[#This Row],[Date]])</f>
        <v>2023</v>
      </c>
      <c r="E189" s="1">
        <v>0.51041666666666663</v>
      </c>
      <c r="F189" s="2" t="str">
        <f>IF(AND(AllData[[#This Row],[Time]]&lt;0.5, AllData[[#This Row],[Time]]&gt;0.17)=TRUE, "Morning", IF(AND(AllData[[#This Row],[Time]]&lt;0.75, AllData[[#This Row],[Time]]&gt;=0.5)=TRUE, "Afternoon", IF(AND(AllData[[#This Row],[Time]]&lt;1, AllData[[#This Row],[Time]]&gt;=0.75)=TRUE, "Evening", "Night")))</f>
        <v>Afternoon</v>
      </c>
      <c r="G189" t="str">
        <f>_xlfn.XLOOKUP(AllData[[#This Row],[Location Name]], Locations[Location Name],Locations[Group As])</f>
        <v>Hampton Lucy</v>
      </c>
      <c r="H189" t="e" vm="2">
        <f>_xlfn.XLOOKUP(AllData[[#This Row],[Site Name]],LocationsKey[Site Name],LocationsKey[District])</f>
        <v>#VALUE!</v>
      </c>
      <c r="I189" t="e" vm="4">
        <f>_xlfn.XLOOKUP(AllData[[#This Row],[Site Name]],LocationsKey[Site Name],LocationsKey[Town])</f>
        <v>#VALUE!</v>
      </c>
      <c r="J189" t="str">
        <f>_xlfn.XLOOKUP(AllData[[#This Row],[Site Name]],LocationsKey[Site Name], LocationsKey[Waterway])</f>
        <v>Avon</v>
      </c>
      <c r="K189" t="s">
        <v>37</v>
      </c>
      <c r="L189">
        <v>52.211680000000001</v>
      </c>
      <c r="M189">
        <v>-1.6244400000000001</v>
      </c>
      <c r="N189" t="s">
        <v>23</v>
      </c>
      <c r="O189">
        <v>812</v>
      </c>
      <c r="P189">
        <v>9.4</v>
      </c>
      <c r="Q189">
        <v>5</v>
      </c>
      <c r="R189" s="7" t="str">
        <f>IF(AllData[[#This Row],[Nitrate (PPM)]]&gt;2, "Very high", IF(AllData[[#This Row],[Nitrate (PPM)]]&gt;1, "High", IF(AllData[[#This Row],[Nitrate (PPM)]]&gt;0.5, "Some evidence", IF(AllData[[#This Row],[Nitrate (PPM)]]&gt;=0, "No evidence"))))</f>
        <v>Very high</v>
      </c>
      <c r="S189" s="4">
        <v>0.9</v>
      </c>
      <c r="T189" s="7" t="str">
        <f>IF(AllData[[#This Row],[Phosphate (PPM)]]&gt;0.5, "Very high", IF(AllData[[#This Row],[Phosphate (PPM)]]&gt;0.1, "High", IF(AllData[[#This Row],[Phosphate (PPM)]]&gt;0.05, "Some evidence", IF(AllData[[#This Row],[Phosphate (PPM)]]&lt;=0.05, "No Evidence", ""))))</f>
        <v>Very high</v>
      </c>
      <c r="U189">
        <v>0</v>
      </c>
    </row>
    <row r="190" spans="1:22" x14ac:dyDescent="0.25">
      <c r="A190" t="s">
        <v>328</v>
      </c>
      <c r="B190" s="2">
        <v>45242</v>
      </c>
      <c r="C190" s="2" t="str" cm="1">
        <f t="array" ref="C1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0">
        <f>YEAR(AllData[[#This Row],[Date]])</f>
        <v>2023</v>
      </c>
      <c r="E190" s="1">
        <v>0.66666666666666663</v>
      </c>
      <c r="F190" s="2" t="str">
        <f>IF(AND(AllData[[#This Row],[Time]]&lt;0.5, AllData[[#This Row],[Time]]&gt;0.17)=TRUE, "Morning", IF(AND(AllData[[#This Row],[Time]]&lt;0.75, AllData[[#This Row],[Time]]&gt;=0.5)=TRUE, "Afternoon", IF(AND(AllData[[#This Row],[Time]]&lt;1, AllData[[#This Row],[Time]]&gt;=0.75)=TRUE, "Evening", "Night")))</f>
        <v>Afternoon</v>
      </c>
      <c r="G190" t="str">
        <f>_xlfn.XLOOKUP(AllData[[#This Row],[Location Name]], Locations[Location Name],Locations[Group As])</f>
        <v>Welford Boat Station</v>
      </c>
      <c r="H190" t="e" vm="2">
        <f>_xlfn.XLOOKUP(AllData[[#This Row],[Site Name]],LocationsKey[Site Name],LocationsKey[District])</f>
        <v>#VALUE!</v>
      </c>
      <c r="I190" t="e" vm="5">
        <f>_xlfn.XLOOKUP(AllData[[#This Row],[Site Name]],LocationsKey[Site Name],LocationsKey[Town])</f>
        <v>#VALUE!</v>
      </c>
      <c r="J190" t="str">
        <f>_xlfn.XLOOKUP(AllData[[#This Row],[Site Name]],LocationsKey[Site Name], LocationsKey[Waterway])</f>
        <v>Avon</v>
      </c>
      <c r="K190" t="s">
        <v>39</v>
      </c>
      <c r="L190">
        <v>52.175240000000002</v>
      </c>
      <c r="M190">
        <v>-1.7918700000000001</v>
      </c>
      <c r="N190" t="s">
        <v>29</v>
      </c>
      <c r="O190">
        <v>808</v>
      </c>
      <c r="P190">
        <v>9.1999999999999993</v>
      </c>
      <c r="Q190">
        <v>8</v>
      </c>
      <c r="R190" s="7" t="str">
        <f>IF(AllData[[#This Row],[Nitrate (PPM)]]&gt;2, "Very high", IF(AllData[[#This Row],[Nitrate (PPM)]]&gt;1, "High", IF(AllData[[#This Row],[Nitrate (PPM)]]&gt;0.5, "Some evidence", IF(AllData[[#This Row],[Nitrate (PPM)]]&gt;=0, "No evidence"))))</f>
        <v>Very high</v>
      </c>
      <c r="S190" s="4">
        <v>0.48</v>
      </c>
      <c r="T190" s="7" t="str">
        <f>IF(AllData[[#This Row],[Phosphate (PPM)]]&gt;0.5, "Very high", IF(AllData[[#This Row],[Phosphate (PPM)]]&gt;0.1, "High", IF(AllData[[#This Row],[Phosphate (PPM)]]&gt;0.05, "Some evidence", IF(AllData[[#This Row],[Phosphate (PPM)]]&lt;=0.05, "No Evidence", ""))))</f>
        <v>High</v>
      </c>
      <c r="U190">
        <v>0</v>
      </c>
      <c r="V190" t="s">
        <v>329</v>
      </c>
    </row>
    <row r="191" spans="1:22" x14ac:dyDescent="0.25">
      <c r="A191" t="s">
        <v>331</v>
      </c>
      <c r="B191" s="2">
        <v>45243</v>
      </c>
      <c r="C191" s="2" t="str" cm="1">
        <f t="array" ref="C1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1">
        <f>YEAR(AllData[[#This Row],[Date]])</f>
        <v>2023</v>
      </c>
      <c r="E191" s="1">
        <v>0.53125</v>
      </c>
      <c r="F191" s="2" t="str">
        <f>IF(AND(AllData[[#This Row],[Time]]&lt;0.5, AllData[[#This Row],[Time]]&gt;0.17)=TRUE, "Morning", IF(AND(AllData[[#This Row],[Time]]&lt;0.75, AllData[[#This Row],[Time]]&gt;=0.5)=TRUE, "Afternoon", IF(AND(AllData[[#This Row],[Time]]&lt;1, AllData[[#This Row],[Time]]&gt;=0.75)=TRUE, "Evening", "Night")))</f>
        <v>Afternoon</v>
      </c>
      <c r="G191" t="str">
        <f>_xlfn.XLOOKUP(AllData[[#This Row],[Location Name]], Locations[Location Name],Locations[Group As])</f>
        <v>Clifford Chambers Mill Bridge</v>
      </c>
      <c r="H191" t="e" vm="2">
        <f>_xlfn.XLOOKUP(AllData[[#This Row],[Site Name]],LocationsKey[Site Name],LocationsKey[District])</f>
        <v>#VALUE!</v>
      </c>
      <c r="I191" t="e" vm="12">
        <f>_xlfn.XLOOKUP(AllData[[#This Row],[Site Name]],LocationsKey[Site Name],LocationsKey[Town])</f>
        <v>#VALUE!</v>
      </c>
      <c r="J191" t="str">
        <f>_xlfn.XLOOKUP(AllData[[#This Row],[Site Name]],LocationsKey[Site Name], LocationsKey[Waterway])</f>
        <v>Stour</v>
      </c>
      <c r="K191" t="s">
        <v>332</v>
      </c>
      <c r="L191">
        <v>52.166370000000001</v>
      </c>
      <c r="M191">
        <v>-1.7083200000000001</v>
      </c>
      <c r="N191" t="s">
        <v>66</v>
      </c>
      <c r="O191" s="219">
        <v>164</v>
      </c>
      <c r="P191">
        <v>14.2</v>
      </c>
      <c r="Q191" s="219">
        <v>8</v>
      </c>
      <c r="R191" s="7" t="str">
        <f>IF(AllData[[#This Row],[Nitrate (PPM)]]&gt;2, "Very high", IF(AllData[[#This Row],[Nitrate (PPM)]]&gt;1, "High", IF(AllData[[#This Row],[Nitrate (PPM)]]&gt;0.5, "Some evidence", IF(AllData[[#This Row],[Nitrate (PPM)]]&gt;=0, "No evidence"))))</f>
        <v>Very high</v>
      </c>
      <c r="S191" s="221">
        <v>0.36</v>
      </c>
      <c r="T191" s="7" t="str">
        <f>IF(AllData[[#This Row],[Phosphate (PPM)]]&gt;0.5, "Very high", IF(AllData[[#This Row],[Phosphate (PPM)]]&gt;0.1, "High", IF(AllData[[#This Row],[Phosphate (PPM)]]&gt;0.05, "Some evidence", IF(AllData[[#This Row],[Phosphate (PPM)]]&lt;=0.05, "No Evidence", ""))))</f>
        <v>High</v>
      </c>
      <c r="U191">
        <v>1.6</v>
      </c>
      <c r="V191" t="s">
        <v>333</v>
      </c>
    </row>
    <row r="192" spans="1:22" x14ac:dyDescent="0.25">
      <c r="A192" t="s">
        <v>334</v>
      </c>
      <c r="B192" s="2">
        <v>45244</v>
      </c>
      <c r="C192" s="2" t="str" cm="1">
        <f t="array" ref="C1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2">
        <f>YEAR(AllData[[#This Row],[Date]])</f>
        <v>2023</v>
      </c>
      <c r="E192" s="1">
        <v>0.40625</v>
      </c>
      <c r="F192" s="2" t="str">
        <f>IF(AND(AllData[[#This Row],[Time]]&lt;0.5, AllData[[#This Row],[Time]]&gt;0.17)=TRUE, "Morning", IF(AND(AllData[[#This Row],[Time]]&lt;0.75, AllData[[#This Row],[Time]]&gt;=0.5)=TRUE, "Afternoon", IF(AND(AllData[[#This Row],[Time]]&lt;1, AllData[[#This Row],[Time]]&gt;=0.75)=TRUE, "Evening", "Night")))</f>
        <v>Morning</v>
      </c>
      <c r="G192" t="str">
        <f>_xlfn.XLOOKUP(AllData[[#This Row],[Location Name]], Locations[Location Name],Locations[Group As])</f>
        <v>Stour Stretton-on-Fosse Sewage Works</v>
      </c>
      <c r="H192" t="e" vm="2">
        <f>_xlfn.XLOOKUP(AllData[[#This Row],[Site Name]],LocationsKey[Site Name],LocationsKey[District])</f>
        <v>#VALUE!</v>
      </c>
      <c r="I192" t="e" vm="14">
        <f>_xlfn.XLOOKUP(AllData[[#This Row],[Site Name]],LocationsKey[Site Name],LocationsKey[Town])</f>
        <v>#VALUE!</v>
      </c>
      <c r="J192" t="str">
        <f>_xlfn.XLOOKUP(AllData[[#This Row],[Site Name]],LocationsKey[Site Name], LocationsKey[Waterway])</f>
        <v>Stour</v>
      </c>
      <c r="K192" t="s">
        <v>335</v>
      </c>
      <c r="L192">
        <v>52.045651999999997</v>
      </c>
      <c r="M192">
        <v>-1.6719360000000001</v>
      </c>
      <c r="N192" t="s">
        <v>29</v>
      </c>
      <c r="O192">
        <v>453</v>
      </c>
      <c r="P192">
        <v>10.3</v>
      </c>
      <c r="Q192">
        <v>5</v>
      </c>
      <c r="R192" s="7" t="str">
        <f>IF(AllData[[#This Row],[Nitrate (PPM)]]&gt;2, "Very high", IF(AllData[[#This Row],[Nitrate (PPM)]]&gt;1, "High", IF(AllData[[#This Row],[Nitrate (PPM)]]&gt;0.5, "Some evidence", IF(AllData[[#This Row],[Nitrate (PPM)]]&gt;=0, "No evidence"))))</f>
        <v>Very high</v>
      </c>
      <c r="S192" s="4">
        <v>0.64</v>
      </c>
      <c r="T192" s="7" t="str">
        <f>IF(AllData[[#This Row],[Phosphate (PPM)]]&gt;0.5, "Very high", IF(AllData[[#This Row],[Phosphate (PPM)]]&gt;0.1, "High", IF(AllData[[#This Row],[Phosphate (PPM)]]&gt;0.05, "Some evidence", IF(AllData[[#This Row],[Phosphate (PPM)]]&lt;=0.05, "No Evidence", ""))))</f>
        <v>Very high</v>
      </c>
      <c r="U192">
        <v>0.3</v>
      </c>
    </row>
    <row r="193" spans="1:22" x14ac:dyDescent="0.25">
      <c r="A193" t="s">
        <v>336</v>
      </c>
      <c r="B193" s="2">
        <v>45244</v>
      </c>
      <c r="C193" s="2" t="str" cm="1">
        <f t="array" ref="C1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3">
        <f>YEAR(AllData[[#This Row],[Date]])</f>
        <v>2023</v>
      </c>
      <c r="E193" s="1">
        <v>0.42708333333333331</v>
      </c>
      <c r="F193" s="2" t="str">
        <f>IF(AND(AllData[[#This Row],[Time]]&lt;0.5, AllData[[#This Row],[Time]]&gt;0.17)=TRUE, "Morning", IF(AND(AllData[[#This Row],[Time]]&lt;0.75, AllData[[#This Row],[Time]]&gt;=0.5)=TRUE, "Afternoon", IF(AND(AllData[[#This Row],[Time]]&lt;1, AllData[[#This Row],[Time]]&gt;=0.75)=TRUE, "Evening", "Night")))</f>
        <v>Morning</v>
      </c>
      <c r="G193" t="str">
        <f>_xlfn.XLOOKUP(AllData[[#This Row],[Location Name]], Locations[Location Name],Locations[Group As])</f>
        <v>Stour Stretton-on-Fosse Village</v>
      </c>
      <c r="H193" t="e" vm="2">
        <f>_xlfn.XLOOKUP(AllData[[#This Row],[Site Name]],LocationsKey[Site Name],LocationsKey[District])</f>
        <v>#VALUE!</v>
      </c>
      <c r="I193" t="e" vm="14">
        <f>_xlfn.XLOOKUP(AllData[[#This Row],[Site Name]],LocationsKey[Site Name],LocationsKey[Town])</f>
        <v>#VALUE!</v>
      </c>
      <c r="J193" t="str">
        <f>_xlfn.XLOOKUP(AllData[[#This Row],[Site Name]],LocationsKey[Site Name], LocationsKey[Waterway])</f>
        <v>Stour</v>
      </c>
      <c r="K193" t="s">
        <v>337</v>
      </c>
      <c r="L193">
        <v>52.046506999999998</v>
      </c>
      <c r="M193">
        <v>-1.6734880000000001</v>
      </c>
      <c r="N193" t="s">
        <v>66</v>
      </c>
      <c r="O193">
        <v>394</v>
      </c>
      <c r="P193">
        <v>10.5</v>
      </c>
      <c r="Q193">
        <v>5</v>
      </c>
      <c r="R193" s="7" t="str">
        <f>IF(AllData[[#This Row],[Nitrate (PPM)]]&gt;2, "Very high", IF(AllData[[#This Row],[Nitrate (PPM)]]&gt;1, "High", IF(AllData[[#This Row],[Nitrate (PPM)]]&gt;0.5, "Some evidence", IF(AllData[[#This Row],[Nitrate (PPM)]]&gt;=0, "No evidence"))))</f>
        <v>Very high</v>
      </c>
      <c r="S193" s="4">
        <v>0.2</v>
      </c>
      <c r="T193" s="7" t="str">
        <f>IF(AllData[[#This Row],[Phosphate (PPM)]]&gt;0.5, "Very high", IF(AllData[[#This Row],[Phosphate (PPM)]]&gt;0.1, "High", IF(AllData[[#This Row],[Phosphate (PPM)]]&gt;0.05, "Some evidence", IF(AllData[[#This Row],[Phosphate (PPM)]]&lt;=0.05, "No Evidence", ""))))</f>
        <v>High</v>
      </c>
      <c r="U193">
        <v>0.2</v>
      </c>
    </row>
    <row r="194" spans="1:22" x14ac:dyDescent="0.25">
      <c r="A194" t="s">
        <v>338</v>
      </c>
      <c r="B194" s="2">
        <v>45244</v>
      </c>
      <c r="C194" s="2" t="str" cm="1">
        <f t="array" ref="C1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4">
        <f>YEAR(AllData[[#This Row],[Date]])</f>
        <v>2023</v>
      </c>
      <c r="E194" s="1">
        <v>0.47916666666666669</v>
      </c>
      <c r="F194" s="2" t="str">
        <f>IF(AND(AllData[[#This Row],[Time]]&lt;0.5, AllData[[#This Row],[Time]]&gt;0.17)=TRUE, "Morning", IF(AND(AllData[[#This Row],[Time]]&lt;0.75, AllData[[#This Row],[Time]]&gt;=0.5)=TRUE, "Afternoon", IF(AND(AllData[[#This Row],[Time]]&lt;1, AllData[[#This Row],[Time]]&gt;=0.75)=TRUE, "Evening", "Night")))</f>
        <v>Morning</v>
      </c>
      <c r="G194" t="str">
        <f>_xlfn.XLOOKUP(AllData[[#This Row],[Location Name]], Locations[Location Name],Locations[Group As])</f>
        <v>Weston-on-Avon</v>
      </c>
      <c r="H194" t="e" vm="2">
        <f>_xlfn.XLOOKUP(AllData[[#This Row],[Site Name]],LocationsKey[Site Name],LocationsKey[District])</f>
        <v>#VALUE!</v>
      </c>
      <c r="I194" t="e" vm="6">
        <f>_xlfn.XLOOKUP(AllData[[#This Row],[Site Name]],LocationsKey[Site Name],LocationsKey[Town])</f>
        <v>#VALUE!</v>
      </c>
      <c r="J194" t="str">
        <f>_xlfn.XLOOKUP(AllData[[#This Row],[Site Name]],LocationsKey[Site Name], LocationsKey[Waterway])</f>
        <v>Avon</v>
      </c>
      <c r="K194" t="s">
        <v>41</v>
      </c>
      <c r="L194">
        <v>52.167430000000003</v>
      </c>
      <c r="M194">
        <v>-1.7744800000000001</v>
      </c>
      <c r="N194" t="s">
        <v>29</v>
      </c>
      <c r="O194">
        <v>640</v>
      </c>
      <c r="P194">
        <v>11.3</v>
      </c>
      <c r="Q194">
        <v>5</v>
      </c>
      <c r="R194" s="7" t="str">
        <f>IF(AllData[[#This Row],[Nitrate (PPM)]]&gt;2, "Very high", IF(AllData[[#This Row],[Nitrate (PPM)]]&gt;1, "High", IF(AllData[[#This Row],[Nitrate (PPM)]]&gt;0.5, "Some evidence", IF(AllData[[#This Row],[Nitrate (PPM)]]&gt;=0, "No evidence"))))</f>
        <v>Very high</v>
      </c>
      <c r="S194" s="4">
        <v>0.41</v>
      </c>
      <c r="T194" s="7" t="str">
        <f>IF(AllData[[#This Row],[Phosphate (PPM)]]&gt;0.5, "Very high", IF(AllData[[#This Row],[Phosphate (PPM)]]&gt;0.1, "High", IF(AllData[[#This Row],[Phosphate (PPM)]]&gt;0.05, "Some evidence", IF(AllData[[#This Row],[Phosphate (PPM)]]&lt;=0.05, "No Evidence", ""))))</f>
        <v>High</v>
      </c>
      <c r="U194">
        <v>0</v>
      </c>
    </row>
    <row r="195" spans="1:22" x14ac:dyDescent="0.25">
      <c r="A195" t="s">
        <v>339</v>
      </c>
      <c r="B195" s="2">
        <v>45245</v>
      </c>
      <c r="C195" s="2" t="str" cm="1">
        <f t="array" ref="C1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5">
        <f>YEAR(AllData[[#This Row],[Date]])</f>
        <v>2023</v>
      </c>
      <c r="E195" s="1">
        <v>0.66666666666666663</v>
      </c>
      <c r="F195" s="2" t="str">
        <f>IF(AND(AllData[[#This Row],[Time]]&lt;0.5, AllData[[#This Row],[Time]]&gt;0.17)=TRUE, "Morning", IF(AND(AllData[[#This Row],[Time]]&lt;0.75, AllData[[#This Row],[Time]]&gt;=0.5)=TRUE, "Afternoon", IF(AND(AllData[[#This Row],[Time]]&lt;1, AllData[[#This Row],[Time]]&gt;=0.75)=TRUE, "Evening", "Night")))</f>
        <v>Afternoon</v>
      </c>
      <c r="G195" t="str">
        <f>_xlfn.XLOOKUP(AllData[[#This Row],[Location Name]], Locations[Location Name],Locations[Group As])</f>
        <v>Stour Newbold Mill</v>
      </c>
      <c r="H195" t="e" vm="2">
        <f>_xlfn.XLOOKUP(AllData[[#This Row],[Site Name]],LocationsKey[Site Name],LocationsKey[District])</f>
        <v>#VALUE!</v>
      </c>
      <c r="I195" t="e" vm="8">
        <f>_xlfn.XLOOKUP(AllData[[#This Row],[Site Name]],LocationsKey[Site Name],LocationsKey[Town])</f>
        <v>#VALUE!</v>
      </c>
      <c r="J195" t="str">
        <f>_xlfn.XLOOKUP(AllData[[#This Row],[Site Name]],LocationsKey[Site Name], LocationsKey[Waterway])</f>
        <v>Stour</v>
      </c>
      <c r="K195" t="s">
        <v>140</v>
      </c>
      <c r="N195" t="s">
        <v>29</v>
      </c>
      <c r="O195">
        <v>667</v>
      </c>
      <c r="P195">
        <v>12.1</v>
      </c>
      <c r="Q195">
        <v>5</v>
      </c>
      <c r="R195" s="7" t="str">
        <f>IF(AllData[[#This Row],[Nitrate (PPM)]]&gt;2, "Very high", IF(AllData[[#This Row],[Nitrate (PPM)]]&gt;1, "High", IF(AllData[[#This Row],[Nitrate (PPM)]]&gt;0.5, "Some evidence", IF(AllData[[#This Row],[Nitrate (PPM)]]&gt;=0, "No evidence"))))</f>
        <v>Very high</v>
      </c>
      <c r="S195" s="4">
        <v>0.24</v>
      </c>
      <c r="T195" s="7" t="str">
        <f>IF(AllData[[#This Row],[Phosphate (PPM)]]&gt;0.5, "Very high", IF(AllData[[#This Row],[Phosphate (PPM)]]&gt;0.1, "High", IF(AllData[[#This Row],[Phosphate (PPM)]]&gt;0.05, "Some evidence", IF(AllData[[#This Row],[Phosphate (PPM)]]&lt;=0.05, "No Evidence", ""))))</f>
        <v>High</v>
      </c>
      <c r="U195">
        <v>2.5</v>
      </c>
      <c r="V195" t="s">
        <v>340</v>
      </c>
    </row>
    <row r="196" spans="1:22" x14ac:dyDescent="0.25">
      <c r="A196" t="s">
        <v>341</v>
      </c>
      <c r="B196" s="2">
        <v>45246</v>
      </c>
      <c r="C196" s="2" t="str" cm="1">
        <f t="array" ref="C1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6">
        <f>YEAR(AllData[[#This Row],[Date]])</f>
        <v>2023</v>
      </c>
      <c r="E196" s="1">
        <v>0.37708333333333333</v>
      </c>
      <c r="F196" s="2" t="str">
        <f>IF(AND(AllData[[#This Row],[Time]]&lt;0.5, AllData[[#This Row],[Time]]&gt;0.17)=TRUE, "Morning", IF(AND(AllData[[#This Row],[Time]]&lt;0.75, AllData[[#This Row],[Time]]&gt;=0.5)=TRUE, "Afternoon", IF(AND(AllData[[#This Row],[Time]]&lt;1, AllData[[#This Row],[Time]]&gt;=0.75)=TRUE, "Evening", "Night")))</f>
        <v>Morning</v>
      </c>
      <c r="G196" t="str">
        <f>_xlfn.XLOOKUP(AllData[[#This Row],[Location Name]], Locations[Location Name],Locations[Group As])</f>
        <v>Alveston Weir</v>
      </c>
      <c r="H196" t="e" vm="2">
        <f>_xlfn.XLOOKUP(AllData[[#This Row],[Site Name]],LocationsKey[Site Name],LocationsKey[District])</f>
        <v>#VALUE!</v>
      </c>
      <c r="I196" t="e" vm="13">
        <f>_xlfn.XLOOKUP(AllData[[#This Row],[Site Name]],LocationsKey[Site Name],LocationsKey[Town])</f>
        <v>#VALUE!</v>
      </c>
      <c r="J196" t="str">
        <f>_xlfn.XLOOKUP(AllData[[#This Row],[Site Name]],LocationsKey[Site Name], LocationsKey[Waterway])</f>
        <v>Avon</v>
      </c>
      <c r="K196" t="s">
        <v>286</v>
      </c>
      <c r="L196">
        <v>52.207715999999998</v>
      </c>
      <c r="M196">
        <v>-1.6586399999999999</v>
      </c>
      <c r="N196" t="s">
        <v>29</v>
      </c>
      <c r="O196">
        <v>568</v>
      </c>
      <c r="P196">
        <v>16.100000000000001</v>
      </c>
      <c r="Q196">
        <v>5</v>
      </c>
      <c r="R196" s="7" t="str">
        <f>IF(AllData[[#This Row],[Nitrate (PPM)]]&gt;2, "Very high", IF(AllData[[#This Row],[Nitrate (PPM)]]&gt;1, "High", IF(AllData[[#This Row],[Nitrate (PPM)]]&gt;0.5, "Some evidence", IF(AllData[[#This Row],[Nitrate (PPM)]]&gt;=0, "No evidence"))))</f>
        <v>Very high</v>
      </c>
      <c r="S196" s="4">
        <v>0.51</v>
      </c>
      <c r="T196" s="7" t="str">
        <f>IF(AllData[[#This Row],[Phosphate (PPM)]]&gt;0.5, "Very high", IF(AllData[[#This Row],[Phosphate (PPM)]]&gt;0.1, "High", IF(AllData[[#This Row],[Phosphate (PPM)]]&gt;0.05, "Some evidence", IF(AllData[[#This Row],[Phosphate (PPM)]]&lt;=0.05, "No Evidence", ""))))</f>
        <v>Very high</v>
      </c>
      <c r="U196">
        <v>0</v>
      </c>
      <c r="V196" t="s">
        <v>342</v>
      </c>
    </row>
    <row r="197" spans="1:22" x14ac:dyDescent="0.25">
      <c r="A197" t="s">
        <v>343</v>
      </c>
      <c r="B197" s="2">
        <v>45246</v>
      </c>
      <c r="C197" s="2" t="str" cm="1">
        <f t="array" ref="C1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7">
        <f>YEAR(AllData[[#This Row],[Date]])</f>
        <v>2023</v>
      </c>
      <c r="E197" s="1">
        <v>0.44444444444444442</v>
      </c>
      <c r="F197" s="2" t="str">
        <f>IF(AND(AllData[[#This Row],[Time]]&lt;0.5, AllData[[#This Row],[Time]]&gt;0.17)=TRUE, "Morning", IF(AND(AllData[[#This Row],[Time]]&lt;0.75, AllData[[#This Row],[Time]]&gt;=0.5)=TRUE, "Afternoon", IF(AND(AllData[[#This Row],[Time]]&lt;1, AllData[[#This Row],[Time]]&gt;=0.75)=TRUE, "Evening", "Night")))</f>
        <v>Morning</v>
      </c>
      <c r="G197" t="str">
        <f>_xlfn.XLOOKUP(AllData[[#This Row],[Location Name]], Locations[Location Name],Locations[Group As])</f>
        <v>Swiffen Bank</v>
      </c>
      <c r="H197" t="e" vm="2">
        <f>_xlfn.XLOOKUP(AllData[[#This Row],[Site Name]],LocationsKey[Site Name],LocationsKey[District])</f>
        <v>#VALUE!</v>
      </c>
      <c r="I197" t="e" vm="13">
        <f>_xlfn.XLOOKUP(AllData[[#This Row],[Site Name]],LocationsKey[Site Name],LocationsKey[Town])</f>
        <v>#VALUE!</v>
      </c>
      <c r="J197" t="str">
        <f>_xlfn.XLOOKUP(AllData[[#This Row],[Site Name]],LocationsKey[Site Name], LocationsKey[Waterway])</f>
        <v>Avon</v>
      </c>
      <c r="K197" t="s">
        <v>284</v>
      </c>
      <c r="N197" t="s">
        <v>29</v>
      </c>
      <c r="O197">
        <v>584</v>
      </c>
      <c r="P197">
        <v>12.2</v>
      </c>
      <c r="Q197">
        <v>5</v>
      </c>
      <c r="R197" s="7" t="str">
        <f>IF(AllData[[#This Row],[Nitrate (PPM)]]&gt;2, "Very high", IF(AllData[[#This Row],[Nitrate (PPM)]]&gt;1, "High", IF(AllData[[#This Row],[Nitrate (PPM)]]&gt;0.5, "Some evidence", IF(AllData[[#This Row],[Nitrate (PPM)]]&gt;=0, "No evidence"))))</f>
        <v>Very high</v>
      </c>
      <c r="S197" s="4">
        <v>0.59</v>
      </c>
      <c r="T197" s="7" t="str">
        <f>IF(AllData[[#This Row],[Phosphate (PPM)]]&gt;0.5, "Very high", IF(AllData[[#This Row],[Phosphate (PPM)]]&gt;0.1, "High", IF(AllData[[#This Row],[Phosphate (PPM)]]&gt;0.05, "Some evidence", IF(AllData[[#This Row],[Phosphate (PPM)]]&lt;=0.05, "No Evidence", ""))))</f>
        <v>Very high</v>
      </c>
      <c r="U197">
        <v>1</v>
      </c>
      <c r="V197" t="s">
        <v>344</v>
      </c>
    </row>
    <row r="198" spans="1:22" x14ac:dyDescent="0.25">
      <c r="A198" t="s">
        <v>345</v>
      </c>
      <c r="B198" s="2">
        <v>45246</v>
      </c>
      <c r="C198" s="2" t="str" cm="1">
        <f t="array" ref="C1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8">
        <f>YEAR(AllData[[#This Row],[Date]])</f>
        <v>2023</v>
      </c>
      <c r="E198" s="1">
        <v>0.50972222222222219</v>
      </c>
      <c r="F198" s="2" t="str">
        <f>IF(AND(AllData[[#This Row],[Time]]&lt;0.5, AllData[[#This Row],[Time]]&gt;0.17)=TRUE, "Morning", IF(AND(AllData[[#This Row],[Time]]&lt;0.75, AllData[[#This Row],[Time]]&gt;=0.5)=TRUE, "Afternoon", IF(AND(AllData[[#This Row],[Time]]&lt;1, AllData[[#This Row],[Time]]&gt;=0.75)=TRUE, "Evening", "Night")))</f>
        <v>Afternoon</v>
      </c>
      <c r="G198" t="str">
        <f>_xlfn.XLOOKUP(AllData[[#This Row],[Location Name]], Locations[Location Name],Locations[Group As])</f>
        <v>Preston-on-Stour River Bridge</v>
      </c>
      <c r="H198" t="e" vm="2">
        <f>_xlfn.XLOOKUP(AllData[[#This Row],[Site Name]],LocationsKey[Site Name],LocationsKey[District])</f>
        <v>#VALUE!</v>
      </c>
      <c r="I198" t="e" vm="9">
        <f>_xlfn.XLOOKUP(AllData[[#This Row],[Site Name]],LocationsKey[Site Name],LocationsKey[Town])</f>
        <v>#VALUE!</v>
      </c>
      <c r="J198" t="str">
        <f>_xlfn.XLOOKUP(AllData[[#This Row],[Site Name]],LocationsKey[Site Name], LocationsKey[Waterway])</f>
        <v>Stour</v>
      </c>
      <c r="K198" t="s">
        <v>163</v>
      </c>
      <c r="L198">
        <v>52.146557999999999</v>
      </c>
      <c r="M198">
        <v>-1.6991499999999999</v>
      </c>
      <c r="N198" t="s">
        <v>29</v>
      </c>
      <c r="O198">
        <v>609</v>
      </c>
      <c r="P198">
        <v>9.4</v>
      </c>
      <c r="Q198">
        <v>5</v>
      </c>
      <c r="R198" s="7" t="str">
        <f>IF(AllData[[#This Row],[Nitrate (PPM)]]&gt;2, "Very high", IF(AllData[[#This Row],[Nitrate (PPM)]]&gt;1, "High", IF(AllData[[#This Row],[Nitrate (PPM)]]&gt;0.5, "Some evidence", IF(AllData[[#This Row],[Nitrate (PPM)]]&gt;=0, "No evidence"))))</f>
        <v>Very high</v>
      </c>
      <c r="S198" s="4">
        <v>0.2</v>
      </c>
      <c r="T198" s="7" t="str">
        <f>IF(AllData[[#This Row],[Phosphate (PPM)]]&gt;0.5, "Very high", IF(AllData[[#This Row],[Phosphate (PPM)]]&gt;0.1, "High", IF(AllData[[#This Row],[Phosphate (PPM)]]&gt;0.05, "Some evidence", IF(AllData[[#This Row],[Phosphate (PPM)]]&lt;=0.05, "No Evidence", ""))))</f>
        <v>High</v>
      </c>
      <c r="U198">
        <v>1.5</v>
      </c>
      <c r="V198" t="s">
        <v>346</v>
      </c>
    </row>
    <row r="199" spans="1:22" x14ac:dyDescent="0.25">
      <c r="A199" t="s">
        <v>347</v>
      </c>
      <c r="B199" s="2">
        <v>45248</v>
      </c>
      <c r="C199" s="2" t="str" cm="1">
        <f t="array" ref="C1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99">
        <f>YEAR(AllData[[#This Row],[Date]])</f>
        <v>2023</v>
      </c>
      <c r="E199" s="1">
        <v>0.52083333333333337</v>
      </c>
      <c r="F199" s="2" t="str">
        <f>IF(AND(AllData[[#This Row],[Time]]&lt;0.5, AllData[[#This Row],[Time]]&gt;0.17)=TRUE, "Morning", IF(AND(AllData[[#This Row],[Time]]&lt;0.75, AllData[[#This Row],[Time]]&gt;=0.5)=TRUE, "Afternoon", IF(AND(AllData[[#This Row],[Time]]&lt;1, AllData[[#This Row],[Time]]&gt;=0.75)=TRUE, "Evening", "Night")))</f>
        <v>Afternoon</v>
      </c>
      <c r="G199" t="str">
        <f>_xlfn.XLOOKUP(AllData[[#This Row],[Location Name]], Locations[Location Name],Locations[Group As])</f>
        <v>Carrant Bredon Rd</v>
      </c>
      <c r="H199" t="e" vm="1">
        <f>_xlfn.XLOOKUP(AllData[[#This Row],[Site Name]],LocationsKey[Site Name],LocationsKey[District])</f>
        <v>#VALUE!</v>
      </c>
      <c r="I199" t="e" vm="1">
        <f>_xlfn.XLOOKUP(AllData[[#This Row],[Site Name]],LocationsKey[Site Name],LocationsKey[Town])</f>
        <v>#VALUE!</v>
      </c>
      <c r="J199" t="str">
        <f>_xlfn.XLOOKUP(AllData[[#This Row],[Site Name]],LocationsKey[Site Name], LocationsKey[Waterway])</f>
        <v>Carrant</v>
      </c>
      <c r="K199" t="s">
        <v>90</v>
      </c>
      <c r="N199" t="s">
        <v>23</v>
      </c>
      <c r="O199">
        <v>652</v>
      </c>
      <c r="P199">
        <v>12.1</v>
      </c>
      <c r="Q199">
        <v>6</v>
      </c>
      <c r="R199" s="7" t="str">
        <f>IF(AllData[[#This Row],[Nitrate (PPM)]]&gt;2, "Very high", IF(AllData[[#This Row],[Nitrate (PPM)]]&gt;1, "High", IF(AllData[[#This Row],[Nitrate (PPM)]]&gt;0.5, "Some evidence", IF(AllData[[#This Row],[Nitrate (PPM)]]&gt;=0, "No evidence"))))</f>
        <v>Very high</v>
      </c>
      <c r="S199" s="4">
        <v>0.32</v>
      </c>
      <c r="T199" s="7" t="str">
        <f>IF(AllData[[#This Row],[Phosphate (PPM)]]&gt;0.5, "Very high", IF(AllData[[#This Row],[Phosphate (PPM)]]&gt;0.1, "High", IF(AllData[[#This Row],[Phosphate (PPM)]]&gt;0.05, "Some evidence", IF(AllData[[#This Row],[Phosphate (PPM)]]&lt;=0.05, "No Evidence", ""))))</f>
        <v>High</v>
      </c>
      <c r="U199">
        <v>1</v>
      </c>
    </row>
    <row r="200" spans="1:22" x14ac:dyDescent="0.25">
      <c r="A200" t="s">
        <v>348</v>
      </c>
      <c r="B200" s="2">
        <v>45248</v>
      </c>
      <c r="C200" s="2" t="str" cm="1">
        <f t="array" ref="C2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0">
        <f>YEAR(AllData[[#This Row],[Date]])</f>
        <v>2023</v>
      </c>
      <c r="E200" s="1">
        <v>0.67013888888888884</v>
      </c>
      <c r="F200" s="2" t="str">
        <f>IF(AND(AllData[[#This Row],[Time]]&lt;0.5, AllData[[#This Row],[Time]]&gt;0.17)=TRUE, "Morning", IF(AND(AllData[[#This Row],[Time]]&lt;0.75, AllData[[#This Row],[Time]]&gt;=0.5)=TRUE, "Afternoon", IF(AND(AllData[[#This Row],[Time]]&lt;1, AllData[[#This Row],[Time]]&gt;=0.75)=TRUE, "Evening", "Night")))</f>
        <v>Afternoon</v>
      </c>
      <c r="G200" t="str">
        <f>_xlfn.XLOOKUP(AllData[[#This Row],[Location Name]], Locations[Location Name],Locations[Group As])</f>
        <v>Abbey Mill</v>
      </c>
      <c r="H200" t="e" vm="1">
        <f>_xlfn.XLOOKUP(AllData[[#This Row],[Site Name]],LocationsKey[Site Name],LocationsKey[District])</f>
        <v>#VALUE!</v>
      </c>
      <c r="I200" t="e" vm="1">
        <f>_xlfn.XLOOKUP(AllData[[#This Row],[Site Name]],LocationsKey[Site Name],LocationsKey[Town])</f>
        <v>#VALUE!</v>
      </c>
      <c r="J200" t="str">
        <f>_xlfn.XLOOKUP(AllData[[#This Row],[Site Name]],LocationsKey[Site Name], LocationsKey[Waterway])</f>
        <v>Avon</v>
      </c>
      <c r="K200" t="s">
        <v>22</v>
      </c>
      <c r="L200">
        <v>51.991405</v>
      </c>
      <c r="M200">
        <v>-2.16309</v>
      </c>
      <c r="N200" t="s">
        <v>23</v>
      </c>
      <c r="O200">
        <v>701</v>
      </c>
      <c r="P200">
        <v>11.6</v>
      </c>
      <c r="Q200">
        <v>8</v>
      </c>
      <c r="R200" s="7" t="str">
        <f>IF(AllData[[#This Row],[Nitrate (PPM)]]&gt;2, "Very high", IF(AllData[[#This Row],[Nitrate (PPM)]]&gt;1, "High", IF(AllData[[#This Row],[Nitrate (PPM)]]&gt;0.5, "Some evidence", IF(AllData[[#This Row],[Nitrate (PPM)]]&gt;=0, "No evidence"))))</f>
        <v>Very high</v>
      </c>
      <c r="S200" s="4">
        <v>0.81</v>
      </c>
      <c r="T200" s="7" t="str">
        <f>IF(AllData[[#This Row],[Phosphate (PPM)]]&gt;0.5, "Very high", IF(AllData[[#This Row],[Phosphate (PPM)]]&gt;0.1, "High", IF(AllData[[#This Row],[Phosphate (PPM)]]&gt;0.05, "Some evidence", IF(AllData[[#This Row],[Phosphate (PPM)]]&lt;=0.05, "No Evidence", ""))))</f>
        <v>Very high</v>
      </c>
      <c r="U200">
        <v>2</v>
      </c>
    </row>
    <row r="201" spans="1:22" x14ac:dyDescent="0.25">
      <c r="A201" t="s">
        <v>349</v>
      </c>
      <c r="B201" s="2">
        <v>45248</v>
      </c>
      <c r="C201" s="2" t="str" cm="1">
        <f t="array" ref="C2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1">
        <f>YEAR(AllData[[#This Row],[Date]])</f>
        <v>2023</v>
      </c>
      <c r="E201" s="1">
        <v>0.70833333333333337</v>
      </c>
      <c r="F201" s="2" t="str">
        <f>IF(AND(AllData[[#This Row],[Time]]&lt;0.5, AllData[[#This Row],[Time]]&gt;0.17)=TRUE, "Morning", IF(AND(AllData[[#This Row],[Time]]&lt;0.75, AllData[[#This Row],[Time]]&gt;=0.5)=TRUE, "Afternoon", IF(AND(AllData[[#This Row],[Time]]&lt;1, AllData[[#This Row],[Time]]&gt;=0.75)=TRUE, "Evening", "Night")))</f>
        <v>Afternoon</v>
      </c>
      <c r="G201" t="str">
        <f>_xlfn.XLOOKUP(AllData[[#This Row],[Location Name]], Locations[Location Name],Locations[Group As])</f>
        <v>Swilgate</v>
      </c>
      <c r="H201" t="e" vm="1">
        <f>_xlfn.XLOOKUP(AllData[[#This Row],[Site Name]],LocationsKey[Site Name],LocationsKey[District])</f>
        <v>#VALUE!</v>
      </c>
      <c r="I201" t="e" vm="1">
        <f>_xlfn.XLOOKUP(AllData[[#This Row],[Site Name]],LocationsKey[Site Name],LocationsKey[Town])</f>
        <v>#VALUE!</v>
      </c>
      <c r="J201" t="str">
        <f>_xlfn.XLOOKUP(AllData[[#This Row],[Site Name]],LocationsKey[Site Name], LocationsKey[Waterway])</f>
        <v>Swilgate</v>
      </c>
      <c r="K201" t="s">
        <v>84</v>
      </c>
      <c r="N201" t="s">
        <v>23</v>
      </c>
      <c r="O201">
        <v>857</v>
      </c>
      <c r="P201">
        <v>14.6</v>
      </c>
      <c r="Q201">
        <v>5</v>
      </c>
      <c r="R201" s="7" t="str">
        <f>IF(AllData[[#This Row],[Nitrate (PPM)]]&gt;2, "Very high", IF(AllData[[#This Row],[Nitrate (PPM)]]&gt;1, "High", IF(AllData[[#This Row],[Nitrate (PPM)]]&gt;0.5, "Some evidence", IF(AllData[[#This Row],[Nitrate (PPM)]]&gt;=0, "No evidence"))))</f>
        <v>Very high</v>
      </c>
      <c r="S201" s="4">
        <v>0.42</v>
      </c>
      <c r="T201" s="7" t="str">
        <f>IF(AllData[[#This Row],[Phosphate (PPM)]]&gt;0.5, "Very high", IF(AllData[[#This Row],[Phosphate (PPM)]]&gt;0.1, "High", IF(AllData[[#This Row],[Phosphate (PPM)]]&gt;0.05, "Some evidence", IF(AllData[[#This Row],[Phosphate (PPM)]]&lt;=0.05, "No Evidence", ""))))</f>
        <v>High</v>
      </c>
      <c r="U201">
        <v>1</v>
      </c>
    </row>
    <row r="202" spans="1:22" x14ac:dyDescent="0.25">
      <c r="A202" t="s">
        <v>351</v>
      </c>
      <c r="B202" s="2">
        <v>45249</v>
      </c>
      <c r="C202" s="2" t="str" cm="1">
        <f t="array" ref="C2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2">
        <f>YEAR(AllData[[#This Row],[Date]])</f>
        <v>2023</v>
      </c>
      <c r="E202" s="1">
        <v>0.41666666666666669</v>
      </c>
      <c r="F202" s="2" t="str">
        <f>IF(AND(AllData[[#This Row],[Time]]&lt;0.5, AllData[[#This Row],[Time]]&gt;0.17)=TRUE, "Morning", IF(AND(AllData[[#This Row],[Time]]&lt;0.75, AllData[[#This Row],[Time]]&gt;=0.5)=TRUE, "Afternoon", IF(AND(AllData[[#This Row],[Time]]&lt;1, AllData[[#This Row],[Time]]&gt;=0.75)=TRUE, "Evening", "Night")))</f>
        <v>Morning</v>
      </c>
      <c r="G202" t="str">
        <f>_xlfn.XLOOKUP(AllData[[#This Row],[Location Name]], Locations[Location Name],Locations[Group As])</f>
        <v>Avonbank Drive</v>
      </c>
      <c r="H202" t="e" vm="2">
        <f>_xlfn.XLOOKUP(AllData[[#This Row],[Site Name]],LocationsKey[Site Name],LocationsKey[District])</f>
        <v>#VALUE!</v>
      </c>
      <c r="I202" t="e" vm="7">
        <f>_xlfn.XLOOKUP(AllData[[#This Row],[Site Name]],LocationsKey[Site Name],LocationsKey[Town])</f>
        <v>#VALUE!</v>
      </c>
      <c r="J202" t="str">
        <f>_xlfn.XLOOKUP(AllData[[#This Row],[Site Name]],LocationsKey[Site Name], LocationsKey[Waterway])</f>
        <v>Avon</v>
      </c>
      <c r="K202" t="s">
        <v>103</v>
      </c>
      <c r="L202">
        <v>52.177</v>
      </c>
      <c r="M202">
        <v>-1.736</v>
      </c>
      <c r="N202" t="s">
        <v>66</v>
      </c>
      <c r="O202">
        <v>725</v>
      </c>
      <c r="P202">
        <v>16.5</v>
      </c>
      <c r="Q202">
        <v>5</v>
      </c>
      <c r="R202" s="7" t="str">
        <f>IF(AllData[[#This Row],[Nitrate (PPM)]]&gt;2, "Very high", IF(AllData[[#This Row],[Nitrate (PPM)]]&gt;1, "High", IF(AllData[[#This Row],[Nitrate (PPM)]]&gt;0.5, "Some evidence", IF(AllData[[#This Row],[Nitrate (PPM)]]&gt;=0, "No evidence"))))</f>
        <v>Very high</v>
      </c>
      <c r="S202" s="4">
        <v>0.32</v>
      </c>
      <c r="T202" s="7" t="str">
        <f>IF(AllData[[#This Row],[Phosphate (PPM)]]&gt;0.5, "Very high", IF(AllData[[#This Row],[Phosphate (PPM)]]&gt;0.1, "High", IF(AllData[[#This Row],[Phosphate (PPM)]]&gt;0.05, "Some evidence", IF(AllData[[#This Row],[Phosphate (PPM)]]&lt;=0.05, "No Evidence", ""))))</f>
        <v>High</v>
      </c>
      <c r="U202">
        <v>0.8</v>
      </c>
    </row>
    <row r="203" spans="1:22" x14ac:dyDescent="0.25">
      <c r="A203" t="s">
        <v>350</v>
      </c>
      <c r="B203" s="2">
        <v>45249</v>
      </c>
      <c r="C203" s="2" t="str" cm="1">
        <f t="array" ref="C2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3">
        <f>YEAR(AllData[[#This Row],[Date]])</f>
        <v>2023</v>
      </c>
      <c r="E203" s="1">
        <v>0.41666666666666669</v>
      </c>
      <c r="F203" s="2" t="str">
        <f>IF(AND(AllData[[#This Row],[Time]]&lt;0.5, AllData[[#This Row],[Time]]&gt;0.17)=TRUE, "Morning", IF(AND(AllData[[#This Row],[Time]]&lt;0.75, AllData[[#This Row],[Time]]&gt;=0.5)=TRUE, "Afternoon", IF(AND(AllData[[#This Row],[Time]]&lt;1, AllData[[#This Row],[Time]]&gt;=0.75)=TRUE, "Evening", "Night")))</f>
        <v>Morning</v>
      </c>
      <c r="G203" t="str">
        <f>_xlfn.XLOOKUP(AllData[[#This Row],[Location Name]], Locations[Location Name],Locations[Group As])</f>
        <v>Pitch 16</v>
      </c>
      <c r="H203" t="e" vm="2">
        <f>_xlfn.XLOOKUP(AllData[[#This Row],[Site Name]],LocationsKey[Site Name],LocationsKey[District])</f>
        <v>#VALUE!</v>
      </c>
      <c r="I203" t="e" vm="7">
        <f>_xlfn.XLOOKUP(AllData[[#This Row],[Site Name]],LocationsKey[Site Name],LocationsKey[Town])</f>
        <v>#VALUE!</v>
      </c>
      <c r="J203" t="str">
        <f>_xlfn.XLOOKUP(AllData[[#This Row],[Site Name]],LocationsKey[Site Name], LocationsKey[Waterway])</f>
        <v>Avon</v>
      </c>
      <c r="K203" t="s">
        <v>69</v>
      </c>
      <c r="N203" t="s">
        <v>29</v>
      </c>
      <c r="O203">
        <v>681</v>
      </c>
      <c r="P203">
        <v>16.5</v>
      </c>
      <c r="Q203">
        <v>5</v>
      </c>
      <c r="R203" s="7" t="str">
        <f>IF(AllData[[#This Row],[Nitrate (PPM)]]&gt;2, "Very high", IF(AllData[[#This Row],[Nitrate (PPM)]]&gt;1, "High", IF(AllData[[#This Row],[Nitrate (PPM)]]&gt;0.5, "Some evidence", IF(AllData[[#This Row],[Nitrate (PPM)]]&gt;=0, "No evidence"))))</f>
        <v>Very high</v>
      </c>
      <c r="S203" s="4">
        <v>0.42</v>
      </c>
      <c r="T203" s="7" t="str">
        <f>IF(AllData[[#This Row],[Phosphate (PPM)]]&gt;0.5, "Very high", IF(AllData[[#This Row],[Phosphate (PPM)]]&gt;0.1, "High", IF(AllData[[#This Row],[Phosphate (PPM)]]&gt;0.05, "Some evidence", IF(AllData[[#This Row],[Phosphate (PPM)]]&lt;=0.05, "No Evidence", ""))))</f>
        <v>High</v>
      </c>
      <c r="U203">
        <v>0.8</v>
      </c>
    </row>
    <row r="204" spans="1:22" x14ac:dyDescent="0.25">
      <c r="A204" t="s">
        <v>357</v>
      </c>
      <c r="B204" s="2">
        <v>45249</v>
      </c>
      <c r="C204" s="2" t="str" cm="1">
        <f t="array" ref="C2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4">
        <f>YEAR(AllData[[#This Row],[Date]])</f>
        <v>2023</v>
      </c>
      <c r="E204" s="1">
        <v>0.5</v>
      </c>
      <c r="F204" s="2" t="str">
        <f>IF(AND(AllData[[#This Row],[Time]]&lt;0.5, AllData[[#This Row],[Time]]&gt;0.17)=TRUE, "Morning", IF(AND(AllData[[#This Row],[Time]]&lt;0.75, AllData[[#This Row],[Time]]&gt;=0.5)=TRUE, "Afternoon", IF(AND(AllData[[#This Row],[Time]]&lt;1, AllData[[#This Row],[Time]]&gt;=0.75)=TRUE, "Evening", "Night")))</f>
        <v>Afternoon</v>
      </c>
      <c r="G204" t="str">
        <f>_xlfn.XLOOKUP(AllData[[#This Row],[Location Name]], Locations[Location Name],Locations[Group As])</f>
        <v>Lucy's Mill Bridge</v>
      </c>
      <c r="H204" t="e" vm="2">
        <f>_xlfn.XLOOKUP(AllData[[#This Row],[Site Name]],LocationsKey[Site Name],LocationsKey[District])</f>
        <v>#VALUE!</v>
      </c>
      <c r="I204" t="e" vm="7">
        <f>_xlfn.XLOOKUP(AllData[[#This Row],[Site Name]],LocationsKey[Site Name],LocationsKey[Town])</f>
        <v>#VALUE!</v>
      </c>
      <c r="J204" t="str">
        <f>_xlfn.XLOOKUP(AllData[[#This Row],[Site Name]],LocationsKey[Site Name], LocationsKey[Waterway])</f>
        <v>Avon</v>
      </c>
      <c r="K204" t="s">
        <v>216</v>
      </c>
      <c r="L204">
        <v>52.183698999999997</v>
      </c>
      <c r="M204">
        <v>-1.707816</v>
      </c>
      <c r="N204" t="s">
        <v>29</v>
      </c>
      <c r="P204">
        <v>9</v>
      </c>
      <c r="Q204">
        <v>10</v>
      </c>
      <c r="R204" s="7" t="str">
        <f>IF(AllData[[#This Row],[Nitrate (PPM)]]&gt;2, "Very high", IF(AllData[[#This Row],[Nitrate (PPM)]]&gt;1, "High", IF(AllData[[#This Row],[Nitrate (PPM)]]&gt;0.5, "Some evidence", IF(AllData[[#This Row],[Nitrate (PPM)]]&gt;=0, "No evidence"))))</f>
        <v>Very high</v>
      </c>
      <c r="S204" s="4">
        <v>0.49</v>
      </c>
      <c r="T204" s="7" t="str">
        <f>IF(AllData[[#This Row],[Phosphate (PPM)]]&gt;0.5, "Very high", IF(AllData[[#This Row],[Phosphate (PPM)]]&gt;0.1, "High", IF(AllData[[#This Row],[Phosphate (PPM)]]&gt;0.05, "Some evidence", IF(AllData[[#This Row],[Phosphate (PPM)]]&lt;=0.05, "No Evidence", ""))))</f>
        <v>High</v>
      </c>
      <c r="U204">
        <v>0.7</v>
      </c>
    </row>
    <row r="205" spans="1:22" x14ac:dyDescent="0.25">
      <c r="A205" t="s">
        <v>352</v>
      </c>
      <c r="B205" s="2">
        <v>45249</v>
      </c>
      <c r="C205" s="2" t="str" cm="1">
        <f t="array" ref="C2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5">
        <f>YEAR(AllData[[#This Row],[Date]])</f>
        <v>2023</v>
      </c>
      <c r="E205" s="1">
        <v>0.51041666666666663</v>
      </c>
      <c r="F205" s="2" t="str">
        <f>IF(AND(AllData[[#This Row],[Time]]&lt;0.5, AllData[[#This Row],[Time]]&gt;0.17)=TRUE, "Morning", IF(AND(AllData[[#This Row],[Time]]&lt;0.75, AllData[[#This Row],[Time]]&gt;=0.5)=TRUE, "Afternoon", IF(AND(AllData[[#This Row],[Time]]&lt;1, AllData[[#This Row],[Time]]&gt;=0.75)=TRUE, "Evening", "Night")))</f>
        <v>Afternoon</v>
      </c>
      <c r="G205" t="str">
        <f>_xlfn.XLOOKUP(AllData[[#This Row],[Location Name]], Locations[Location Name],Locations[Group As])</f>
        <v>Hampton Wood</v>
      </c>
      <c r="H205" t="e" vm="2">
        <f>_xlfn.XLOOKUP(AllData[[#This Row],[Site Name]],LocationsKey[Site Name],LocationsKey[District])</f>
        <v>#VALUE!</v>
      </c>
      <c r="I205" t="e" vm="3">
        <f>_xlfn.XLOOKUP(AllData[[#This Row],[Site Name]],LocationsKey[Site Name],LocationsKey[Town])</f>
        <v>#VALUE!</v>
      </c>
      <c r="J205" t="str">
        <f>_xlfn.XLOOKUP(AllData[[#This Row],[Site Name]],LocationsKey[Site Name], LocationsKey[Waterway])</f>
        <v>Avon</v>
      </c>
      <c r="K205" t="s">
        <v>34</v>
      </c>
      <c r="L205">
        <v>52.238149999999997</v>
      </c>
      <c r="M205">
        <v>-1.6245799999999999</v>
      </c>
      <c r="N205" t="s">
        <v>29</v>
      </c>
      <c r="P205">
        <v>12.4</v>
      </c>
      <c r="Q205">
        <v>6</v>
      </c>
      <c r="R205" s="7" t="str">
        <f>IF(AllData[[#This Row],[Nitrate (PPM)]]&gt;2, "Very high", IF(AllData[[#This Row],[Nitrate (PPM)]]&gt;1, "High", IF(AllData[[#This Row],[Nitrate (PPM)]]&gt;0.5, "Some evidence", IF(AllData[[#This Row],[Nitrate (PPM)]]&gt;=0, "No evidence"))))</f>
        <v>Very high</v>
      </c>
      <c r="S205" s="4">
        <v>0.44</v>
      </c>
      <c r="T205" s="7" t="str">
        <f>IF(AllData[[#This Row],[Phosphate (PPM)]]&gt;0.5, "Very high", IF(AllData[[#This Row],[Phosphate (PPM)]]&gt;0.1, "High", IF(AllData[[#This Row],[Phosphate (PPM)]]&gt;0.05, "Some evidence", IF(AllData[[#This Row],[Phosphate (PPM)]]&lt;=0.05, "No Evidence", ""))))</f>
        <v>High</v>
      </c>
      <c r="U205">
        <v>0</v>
      </c>
    </row>
    <row r="206" spans="1:22" x14ac:dyDescent="0.25">
      <c r="A206" t="s">
        <v>353</v>
      </c>
      <c r="B206" s="2">
        <v>45249</v>
      </c>
      <c r="C206" s="2" t="str" cm="1">
        <f t="array" ref="C2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6">
        <f>YEAR(AllData[[#This Row],[Date]])</f>
        <v>2023</v>
      </c>
      <c r="E206" s="1">
        <v>0.53125</v>
      </c>
      <c r="F206" s="2" t="str">
        <f>IF(AND(AllData[[#This Row],[Time]]&lt;0.5, AllData[[#This Row],[Time]]&gt;0.17)=TRUE, "Morning", IF(AND(AllData[[#This Row],[Time]]&lt;0.75, AllData[[#This Row],[Time]]&gt;=0.5)=TRUE, "Afternoon", IF(AND(AllData[[#This Row],[Time]]&lt;1, AllData[[#This Row],[Time]]&gt;=0.75)=TRUE, "Evening", "Night")))</f>
        <v>Afternoon</v>
      </c>
      <c r="G206" t="str">
        <f>_xlfn.XLOOKUP(AllData[[#This Row],[Location Name]], Locations[Location Name],Locations[Group As])</f>
        <v>Hampton Lucy</v>
      </c>
      <c r="H206" t="e" vm="2">
        <f>_xlfn.XLOOKUP(AllData[[#This Row],[Site Name]],LocationsKey[Site Name],LocationsKey[District])</f>
        <v>#VALUE!</v>
      </c>
      <c r="I206" t="e" vm="4">
        <f>_xlfn.XLOOKUP(AllData[[#This Row],[Site Name]],LocationsKey[Site Name],LocationsKey[Town])</f>
        <v>#VALUE!</v>
      </c>
      <c r="J206" t="str">
        <f>_xlfn.XLOOKUP(AllData[[#This Row],[Site Name]],LocationsKey[Site Name], LocationsKey[Waterway])</f>
        <v>Avon</v>
      </c>
      <c r="K206" t="s">
        <v>37</v>
      </c>
      <c r="L206">
        <v>52.211680000000001</v>
      </c>
      <c r="M206">
        <v>-1.6244400000000001</v>
      </c>
      <c r="N206" t="s">
        <v>23</v>
      </c>
      <c r="O206" s="219">
        <v>636</v>
      </c>
      <c r="P206">
        <v>12.6</v>
      </c>
      <c r="Q206" s="219">
        <v>7</v>
      </c>
      <c r="R206" s="7" t="str">
        <f>IF(AllData[[#This Row],[Nitrate (PPM)]]&gt;2, "Very high", IF(AllData[[#This Row],[Nitrate (PPM)]]&gt;1, "High", IF(AllData[[#This Row],[Nitrate (PPM)]]&gt;0.5, "Some evidence", IF(AllData[[#This Row],[Nitrate (PPM)]]&gt;=0, "No evidence"))))</f>
        <v>Very high</v>
      </c>
      <c r="S206" s="221">
        <v>0.44</v>
      </c>
      <c r="T206" s="7" t="str">
        <f>IF(AllData[[#This Row],[Phosphate (PPM)]]&gt;0.5, "Very high", IF(AllData[[#This Row],[Phosphate (PPM)]]&gt;0.1, "High", IF(AllData[[#This Row],[Phosphate (PPM)]]&gt;0.05, "Some evidence", IF(AllData[[#This Row],[Phosphate (PPM)]]&lt;=0.05, "No Evidence", ""))))</f>
        <v>High</v>
      </c>
      <c r="U206">
        <v>0</v>
      </c>
    </row>
    <row r="207" spans="1:22" x14ac:dyDescent="0.25">
      <c r="A207" t="s">
        <v>354</v>
      </c>
      <c r="B207" s="2">
        <v>45249</v>
      </c>
      <c r="C207" s="2" t="str" cm="1">
        <f t="array" ref="C2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7">
        <f>YEAR(AllData[[#This Row],[Date]])</f>
        <v>2023</v>
      </c>
      <c r="E207" s="1">
        <v>0.58333333333333337</v>
      </c>
      <c r="F207" s="2" t="str">
        <f>IF(AND(AllData[[#This Row],[Time]]&lt;0.5, AllData[[#This Row],[Time]]&gt;0.17)=TRUE, "Morning", IF(AND(AllData[[#This Row],[Time]]&lt;0.75, AllData[[#This Row],[Time]]&gt;=0.5)=TRUE, "Afternoon", IF(AND(AllData[[#This Row],[Time]]&lt;1, AllData[[#This Row],[Time]]&gt;=0.75)=TRUE, "Evening", "Night")))</f>
        <v>Afternoon</v>
      </c>
      <c r="G207" t="str">
        <f>_xlfn.XLOOKUP(AllData[[#This Row],[Location Name]], Locations[Location Name],Locations[Group As])</f>
        <v>Clifford Chambers Mill Bridge</v>
      </c>
      <c r="H207" t="e" vm="2">
        <f>_xlfn.XLOOKUP(AllData[[#This Row],[Site Name]],LocationsKey[Site Name],LocationsKey[District])</f>
        <v>#VALUE!</v>
      </c>
      <c r="I207" t="e" vm="12">
        <f>_xlfn.XLOOKUP(AllData[[#This Row],[Site Name]],LocationsKey[Site Name],LocationsKey[Town])</f>
        <v>#VALUE!</v>
      </c>
      <c r="J207" t="str">
        <f>_xlfn.XLOOKUP(AllData[[#This Row],[Site Name]],LocationsKey[Site Name], LocationsKey[Waterway])</f>
        <v>Stour</v>
      </c>
      <c r="K207" t="s">
        <v>263</v>
      </c>
      <c r="L207">
        <v>52.166370000000001</v>
      </c>
      <c r="M207">
        <v>-1.708032</v>
      </c>
      <c r="N207" t="s">
        <v>66</v>
      </c>
      <c r="O207" s="219">
        <v>493</v>
      </c>
      <c r="P207">
        <v>13.5</v>
      </c>
      <c r="Q207" s="219">
        <v>5</v>
      </c>
      <c r="R207" s="7" t="str">
        <f>IF(AllData[[#This Row],[Nitrate (PPM)]]&gt;2, "Very high", IF(AllData[[#This Row],[Nitrate (PPM)]]&gt;1, "High", IF(AllData[[#This Row],[Nitrate (PPM)]]&gt;0.5, "Some evidence", IF(AllData[[#This Row],[Nitrate (PPM)]]&gt;=0, "No evidence"))))</f>
        <v>Very high</v>
      </c>
      <c r="S207" s="221">
        <v>0.28000000000000003</v>
      </c>
      <c r="T207" s="7" t="str">
        <f>IF(AllData[[#This Row],[Phosphate (PPM)]]&gt;0.5, "Very high", IF(AllData[[#This Row],[Phosphate (PPM)]]&gt;0.1, "High", IF(AllData[[#This Row],[Phosphate (PPM)]]&gt;0.05, "Some evidence", IF(AllData[[#This Row],[Phosphate (PPM)]]&lt;=0.05, "No Evidence", ""))))</f>
        <v>High</v>
      </c>
      <c r="U207">
        <v>1.3</v>
      </c>
    </row>
    <row r="208" spans="1:22" x14ac:dyDescent="0.25">
      <c r="A208" t="s">
        <v>355</v>
      </c>
      <c r="B208" s="2">
        <v>45249</v>
      </c>
      <c r="C208" s="2" t="str" cm="1">
        <f t="array" ref="C2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8">
        <f>YEAR(AllData[[#This Row],[Date]])</f>
        <v>2023</v>
      </c>
      <c r="E208" s="1">
        <v>0.64583333333333337</v>
      </c>
      <c r="F208" s="2" t="str">
        <f>IF(AND(AllData[[#This Row],[Time]]&lt;0.5, AllData[[#This Row],[Time]]&gt;0.17)=TRUE, "Morning", IF(AND(AllData[[#This Row],[Time]]&lt;0.75, AllData[[#This Row],[Time]]&gt;=0.5)=TRUE, "Afternoon", IF(AND(AllData[[#This Row],[Time]]&lt;1, AllData[[#This Row],[Time]]&gt;=0.75)=TRUE, "Evening", "Night")))</f>
        <v>Afternoon</v>
      </c>
      <c r="G208" t="str">
        <f>_xlfn.XLOOKUP(AllData[[#This Row],[Location Name]], Locations[Location Name],Locations[Group As])</f>
        <v>Welford Boat Station</v>
      </c>
      <c r="H208" t="e" vm="2">
        <f>_xlfn.XLOOKUP(AllData[[#This Row],[Site Name]],LocationsKey[Site Name],LocationsKey[District])</f>
        <v>#VALUE!</v>
      </c>
      <c r="I208" t="e" vm="5">
        <f>_xlfn.XLOOKUP(AllData[[#This Row],[Site Name]],LocationsKey[Site Name],LocationsKey[Town])</f>
        <v>#VALUE!</v>
      </c>
      <c r="J208" t="str">
        <f>_xlfn.XLOOKUP(AllData[[#This Row],[Site Name]],LocationsKey[Site Name], LocationsKey[Waterway])</f>
        <v>Avon</v>
      </c>
      <c r="K208" t="s">
        <v>39</v>
      </c>
      <c r="L208">
        <v>52.175240000000002</v>
      </c>
      <c r="M208">
        <v>-1.7918700000000001</v>
      </c>
      <c r="N208" t="s">
        <v>29</v>
      </c>
      <c r="O208">
        <v>680</v>
      </c>
      <c r="P208">
        <v>11.8</v>
      </c>
      <c r="Q208">
        <v>12</v>
      </c>
      <c r="R208" s="7" t="str">
        <f>IF(AllData[[#This Row],[Nitrate (PPM)]]&gt;2, "Very high", IF(AllData[[#This Row],[Nitrate (PPM)]]&gt;1, "High", IF(AllData[[#This Row],[Nitrate (PPM)]]&gt;0.5, "Some evidence", IF(AllData[[#This Row],[Nitrate (PPM)]]&gt;=0, "No evidence"))))</f>
        <v>Very high</v>
      </c>
      <c r="S208" s="4">
        <v>0.31</v>
      </c>
      <c r="T208" s="7" t="str">
        <f>IF(AllData[[#This Row],[Phosphate (PPM)]]&gt;0.5, "Very high", IF(AllData[[#This Row],[Phosphate (PPM)]]&gt;0.1, "High", IF(AllData[[#This Row],[Phosphate (PPM)]]&gt;0.05, "Some evidence", IF(AllData[[#This Row],[Phosphate (PPM)]]&lt;=0.05, "No Evidence", ""))))</f>
        <v>High</v>
      </c>
      <c r="U208">
        <v>0</v>
      </c>
      <c r="V208" t="s">
        <v>356</v>
      </c>
    </row>
    <row r="209" spans="1:22" x14ac:dyDescent="0.25">
      <c r="A209" t="s">
        <v>358</v>
      </c>
      <c r="B209" s="2">
        <v>45250</v>
      </c>
      <c r="C209" s="2" t="str" cm="1">
        <f t="array" ref="C2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09">
        <f>YEAR(AllData[[#This Row],[Date]])</f>
        <v>2023</v>
      </c>
      <c r="E209" s="1">
        <v>0.39861111111111114</v>
      </c>
      <c r="F209" s="2" t="str">
        <f>IF(AND(AllData[[#This Row],[Time]]&lt;0.5, AllData[[#This Row],[Time]]&gt;0.17)=TRUE, "Morning", IF(AND(AllData[[#This Row],[Time]]&lt;0.75, AllData[[#This Row],[Time]]&gt;=0.5)=TRUE, "Afternoon", IF(AND(AllData[[#This Row],[Time]]&lt;1, AllData[[#This Row],[Time]]&gt;=0.75)=TRUE, "Evening", "Night")))</f>
        <v>Morning</v>
      </c>
      <c r="G209" t="str">
        <f>_xlfn.XLOOKUP(AllData[[#This Row],[Location Name]], Locations[Location Name],Locations[Group As])</f>
        <v>Stour Stretton-on-Fosse Village</v>
      </c>
      <c r="H209" t="e" vm="2">
        <f>_xlfn.XLOOKUP(AllData[[#This Row],[Site Name]],LocationsKey[Site Name],LocationsKey[District])</f>
        <v>#VALUE!</v>
      </c>
      <c r="I209" t="e" vm="14">
        <f>_xlfn.XLOOKUP(AllData[[#This Row],[Site Name]],LocationsKey[Site Name],LocationsKey[Town])</f>
        <v>#VALUE!</v>
      </c>
      <c r="J209" t="str">
        <f>_xlfn.XLOOKUP(AllData[[#This Row],[Site Name]],LocationsKey[Site Name], LocationsKey[Waterway])</f>
        <v>Stour</v>
      </c>
      <c r="K209" t="s">
        <v>337</v>
      </c>
      <c r="L209">
        <v>52.046506999999998</v>
      </c>
      <c r="M209">
        <v>-1.6734880000000001</v>
      </c>
      <c r="N209" t="s">
        <v>66</v>
      </c>
      <c r="O209">
        <v>573</v>
      </c>
      <c r="P209">
        <v>10.199999999999999</v>
      </c>
      <c r="Q209">
        <v>2</v>
      </c>
      <c r="R209" s="7" t="str">
        <f>IF(AllData[[#This Row],[Nitrate (PPM)]]&gt;2, "Very high", IF(AllData[[#This Row],[Nitrate (PPM)]]&gt;1, "High", IF(AllData[[#This Row],[Nitrate (PPM)]]&gt;0.5, "Some evidence", IF(AllData[[#This Row],[Nitrate (PPM)]]&gt;=0, "No evidence"))))</f>
        <v>High</v>
      </c>
      <c r="S209" s="4">
        <v>0.68</v>
      </c>
      <c r="T209" s="7" t="str">
        <f>IF(AllData[[#This Row],[Phosphate (PPM)]]&gt;0.5, "Very high", IF(AllData[[#This Row],[Phosphate (PPM)]]&gt;0.1, "High", IF(AllData[[#This Row],[Phosphate (PPM)]]&gt;0.05, "Some evidence", IF(AllData[[#This Row],[Phosphate (PPM)]]&lt;=0.05, "No Evidence", ""))))</f>
        <v>Very high</v>
      </c>
      <c r="U209">
        <v>0.2</v>
      </c>
    </row>
    <row r="210" spans="1:22" x14ac:dyDescent="0.25">
      <c r="A210" t="s">
        <v>359</v>
      </c>
      <c r="B210" s="2">
        <v>45250</v>
      </c>
      <c r="C210" s="2" t="str" cm="1">
        <f t="array" ref="C2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0">
        <f>YEAR(AllData[[#This Row],[Date]])</f>
        <v>2023</v>
      </c>
      <c r="E210" s="1">
        <v>0.41388888888888886</v>
      </c>
      <c r="F210" s="2" t="str">
        <f>IF(AND(AllData[[#This Row],[Time]]&lt;0.5, AllData[[#This Row],[Time]]&gt;0.17)=TRUE, "Morning", IF(AND(AllData[[#This Row],[Time]]&lt;0.75, AllData[[#This Row],[Time]]&gt;=0.5)=TRUE, "Afternoon", IF(AND(AllData[[#This Row],[Time]]&lt;1, AllData[[#This Row],[Time]]&gt;=0.75)=TRUE, "Evening", "Night")))</f>
        <v>Morning</v>
      </c>
      <c r="G210" t="str">
        <f>_xlfn.XLOOKUP(AllData[[#This Row],[Location Name]], Locations[Location Name],Locations[Group As])</f>
        <v>Stour Stretton-on-Fosse Sewage Works</v>
      </c>
      <c r="H210" t="e" vm="2">
        <f>_xlfn.XLOOKUP(AllData[[#This Row],[Site Name]],LocationsKey[Site Name],LocationsKey[District])</f>
        <v>#VALUE!</v>
      </c>
      <c r="I210" t="e" vm="14">
        <f>_xlfn.XLOOKUP(AllData[[#This Row],[Site Name]],LocationsKey[Site Name],LocationsKey[Town])</f>
        <v>#VALUE!</v>
      </c>
      <c r="J210" t="str">
        <f>_xlfn.XLOOKUP(AllData[[#This Row],[Site Name]],LocationsKey[Site Name], LocationsKey[Waterway])</f>
        <v>Stour</v>
      </c>
      <c r="K210" t="s">
        <v>335</v>
      </c>
      <c r="L210">
        <v>52.045651999999997</v>
      </c>
      <c r="M210">
        <v>-1.6719360000000001</v>
      </c>
      <c r="N210" t="s">
        <v>29</v>
      </c>
      <c r="O210">
        <v>556</v>
      </c>
      <c r="P210">
        <v>10.5</v>
      </c>
      <c r="Q210">
        <v>3.5</v>
      </c>
      <c r="R210" s="7" t="str">
        <f>IF(AllData[[#This Row],[Nitrate (PPM)]]&gt;2, "Very high", IF(AllData[[#This Row],[Nitrate (PPM)]]&gt;1, "High", IF(AllData[[#This Row],[Nitrate (PPM)]]&gt;0.5, "Some evidence", IF(AllData[[#This Row],[Nitrate (PPM)]]&gt;=0, "No evidence"))))</f>
        <v>Very high</v>
      </c>
      <c r="S210" s="4">
        <v>1.1200000000000001</v>
      </c>
      <c r="T210" s="7" t="str">
        <f>IF(AllData[[#This Row],[Phosphate (PPM)]]&gt;0.5, "Very high", IF(AllData[[#This Row],[Phosphate (PPM)]]&gt;0.1, "High", IF(AllData[[#This Row],[Phosphate (PPM)]]&gt;0.05, "Some evidence", IF(AllData[[#This Row],[Phosphate (PPM)]]&lt;=0.05, "No Evidence", ""))))</f>
        <v>Very high</v>
      </c>
      <c r="U210">
        <v>0.3</v>
      </c>
    </row>
    <row r="211" spans="1:22" x14ac:dyDescent="0.25">
      <c r="A211" t="s">
        <v>360</v>
      </c>
      <c r="B211" s="2">
        <v>45250</v>
      </c>
      <c r="C211" s="2" t="str" cm="1">
        <f t="array" ref="C2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1">
        <f>YEAR(AllData[[#This Row],[Date]])</f>
        <v>2023</v>
      </c>
      <c r="E211" s="1">
        <v>0.63194444444444442</v>
      </c>
      <c r="F211" s="2" t="str">
        <f>IF(AND(AllData[[#This Row],[Time]]&lt;0.5, AllData[[#This Row],[Time]]&gt;0.17)=TRUE, "Morning", IF(AND(AllData[[#This Row],[Time]]&lt;0.75, AllData[[#This Row],[Time]]&gt;=0.5)=TRUE, "Afternoon", IF(AND(AllData[[#This Row],[Time]]&lt;1, AllData[[#This Row],[Time]]&gt;=0.75)=TRUE, "Evening", "Night")))</f>
        <v>Afternoon</v>
      </c>
      <c r="G211" t="str">
        <f>_xlfn.XLOOKUP(AllData[[#This Row],[Location Name]], Locations[Location Name],Locations[Group As])</f>
        <v>Weston-on-Avon</v>
      </c>
      <c r="H211" t="e" vm="2">
        <f>_xlfn.XLOOKUP(AllData[[#This Row],[Site Name]],LocationsKey[Site Name],LocationsKey[District])</f>
        <v>#VALUE!</v>
      </c>
      <c r="I211" t="e" vm="6">
        <f>_xlfn.XLOOKUP(AllData[[#This Row],[Site Name]],LocationsKey[Site Name],LocationsKey[Town])</f>
        <v>#VALUE!</v>
      </c>
      <c r="J211" t="str">
        <f>_xlfn.XLOOKUP(AllData[[#This Row],[Site Name]],LocationsKey[Site Name], LocationsKey[Waterway])</f>
        <v>Avon</v>
      </c>
      <c r="K211" t="s">
        <v>41</v>
      </c>
      <c r="L211">
        <v>52.167430000000003</v>
      </c>
      <c r="M211">
        <v>-1.7744800000000001</v>
      </c>
      <c r="N211" t="s">
        <v>29</v>
      </c>
      <c r="O211">
        <v>688</v>
      </c>
      <c r="P211">
        <v>11.5</v>
      </c>
      <c r="Q211">
        <v>8</v>
      </c>
      <c r="R211" s="7" t="str">
        <f>IF(AllData[[#This Row],[Nitrate (PPM)]]&gt;2, "Very high", IF(AllData[[#This Row],[Nitrate (PPM)]]&gt;1, "High", IF(AllData[[#This Row],[Nitrate (PPM)]]&gt;0.5, "Some evidence", IF(AllData[[#This Row],[Nitrate (PPM)]]&gt;=0, "No evidence"))))</f>
        <v>Very high</v>
      </c>
      <c r="S211" s="4">
        <v>0.4</v>
      </c>
      <c r="T211" s="7" t="str">
        <f>IF(AllData[[#This Row],[Phosphate (PPM)]]&gt;0.5, "Very high", IF(AllData[[#This Row],[Phosphate (PPM)]]&gt;0.1, "High", IF(AllData[[#This Row],[Phosphate (PPM)]]&gt;0.05, "Some evidence", IF(AllData[[#This Row],[Phosphate (PPM)]]&lt;=0.05, "No Evidence", ""))))</f>
        <v>High</v>
      </c>
      <c r="U211">
        <v>0</v>
      </c>
    </row>
    <row r="212" spans="1:22" x14ac:dyDescent="0.25">
      <c r="A212" t="s">
        <v>361</v>
      </c>
      <c r="B212" s="2">
        <v>45252</v>
      </c>
      <c r="C212" s="2" t="str" cm="1">
        <f t="array" ref="C2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2">
        <f>YEAR(AllData[[#This Row],[Date]])</f>
        <v>2023</v>
      </c>
      <c r="E212" s="1">
        <v>0.65833333333333333</v>
      </c>
      <c r="F212" s="2" t="str">
        <f>IF(AND(AllData[[#This Row],[Time]]&lt;0.5, AllData[[#This Row],[Time]]&gt;0.17)=TRUE, "Morning", IF(AND(AllData[[#This Row],[Time]]&lt;0.75, AllData[[#This Row],[Time]]&gt;=0.5)=TRUE, "Afternoon", IF(AND(AllData[[#This Row],[Time]]&lt;1, AllData[[#This Row],[Time]]&gt;=0.75)=TRUE, "Evening", "Night")))</f>
        <v>Afternoon</v>
      </c>
      <c r="G212" t="str">
        <f>_xlfn.XLOOKUP(AllData[[#This Row],[Location Name]], Locations[Location Name],Locations[Group As])</f>
        <v>Stour Newbold Mill</v>
      </c>
      <c r="H212" t="e" vm="2">
        <f>_xlfn.XLOOKUP(AllData[[#This Row],[Site Name]],LocationsKey[Site Name],LocationsKey[District])</f>
        <v>#VALUE!</v>
      </c>
      <c r="I212" t="e" vm="8">
        <f>_xlfn.XLOOKUP(AllData[[#This Row],[Site Name]],LocationsKey[Site Name],LocationsKey[Town])</f>
        <v>#VALUE!</v>
      </c>
      <c r="J212" t="str">
        <f>_xlfn.XLOOKUP(AllData[[#This Row],[Site Name]],LocationsKey[Site Name], LocationsKey[Waterway])</f>
        <v>Stour</v>
      </c>
      <c r="K212" t="s">
        <v>362</v>
      </c>
      <c r="L212">
        <v>52.113449000000003</v>
      </c>
      <c r="M212">
        <v>-1.63317</v>
      </c>
      <c r="N212" t="s">
        <v>157</v>
      </c>
      <c r="O212">
        <v>661</v>
      </c>
      <c r="P212">
        <v>10.9</v>
      </c>
      <c r="Q212">
        <v>5</v>
      </c>
      <c r="R212" s="7" t="str">
        <f>IF(AllData[[#This Row],[Nitrate (PPM)]]&gt;2, "Very high", IF(AllData[[#This Row],[Nitrate (PPM)]]&gt;1, "High", IF(AllData[[#This Row],[Nitrate (PPM)]]&gt;0.5, "Some evidence", IF(AllData[[#This Row],[Nitrate (PPM)]]&gt;=0, "No evidence"))))</f>
        <v>Very high</v>
      </c>
      <c r="S212" s="4">
        <v>0.26</v>
      </c>
      <c r="T212" s="7" t="str">
        <f>IF(AllData[[#This Row],[Phosphate (PPM)]]&gt;0.5, "Very high", IF(AllData[[#This Row],[Phosphate (PPM)]]&gt;0.1, "High", IF(AllData[[#This Row],[Phosphate (PPM)]]&gt;0.05, "Some evidence", IF(AllData[[#This Row],[Phosphate (PPM)]]&lt;=0.05, "No Evidence", ""))))</f>
        <v>High</v>
      </c>
      <c r="U212">
        <v>2.5</v>
      </c>
      <c r="V212" t="s">
        <v>363</v>
      </c>
    </row>
    <row r="213" spans="1:22" x14ac:dyDescent="0.25">
      <c r="A213" t="s">
        <v>364</v>
      </c>
      <c r="B213" s="2">
        <v>45252</v>
      </c>
      <c r="C213" s="2" t="str" cm="1">
        <f t="array" ref="C2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
        <f>YEAR(AllData[[#This Row],[Date]])</f>
        <v>2023</v>
      </c>
      <c r="E213" s="1">
        <v>0.66874999999999996</v>
      </c>
      <c r="F213" s="2" t="str">
        <f>IF(AND(AllData[[#This Row],[Time]]&lt;0.5, AllData[[#This Row],[Time]]&gt;0.17)=TRUE, "Morning", IF(AND(AllData[[#This Row],[Time]]&lt;0.75, AllData[[#This Row],[Time]]&gt;=0.5)=TRUE, "Afternoon", IF(AND(AllData[[#This Row],[Time]]&lt;1, AllData[[#This Row],[Time]]&gt;=0.75)=TRUE, "Evening", "Night")))</f>
        <v>Afternoon</v>
      </c>
      <c r="G213" t="str">
        <f>_xlfn.XLOOKUP(AllData[[#This Row],[Location Name]], Locations[Location Name],Locations[Group As])</f>
        <v>Stour Newbold Mill</v>
      </c>
      <c r="H213" t="e" vm="2">
        <f>_xlfn.XLOOKUP(AllData[[#This Row],[Site Name]],LocationsKey[Site Name],LocationsKey[District])</f>
        <v>#VALUE!</v>
      </c>
      <c r="I213" t="e" vm="8">
        <f>_xlfn.XLOOKUP(AllData[[#This Row],[Site Name]],LocationsKey[Site Name],LocationsKey[Town])</f>
        <v>#VALUE!</v>
      </c>
      <c r="J213" t="str">
        <f>_xlfn.XLOOKUP(AllData[[#This Row],[Site Name]],LocationsKey[Site Name], LocationsKey[Waterway])</f>
        <v>Stour</v>
      </c>
      <c r="K213" t="s">
        <v>365</v>
      </c>
      <c r="L213">
        <v>52.113517999999999</v>
      </c>
      <c r="M213">
        <v>-1.633165</v>
      </c>
      <c r="N213" t="s">
        <v>366</v>
      </c>
      <c r="O213">
        <v>670</v>
      </c>
      <c r="P213">
        <v>10.3</v>
      </c>
      <c r="Q213">
        <v>5</v>
      </c>
      <c r="R213" s="7" t="str">
        <f>IF(AllData[[#This Row],[Nitrate (PPM)]]&gt;2, "Very high", IF(AllData[[#This Row],[Nitrate (PPM)]]&gt;1, "High", IF(AllData[[#This Row],[Nitrate (PPM)]]&gt;0.5, "Some evidence", IF(AllData[[#This Row],[Nitrate (PPM)]]&gt;=0, "No evidence"))))</f>
        <v>Very high</v>
      </c>
      <c r="S213" s="4">
        <v>0.27</v>
      </c>
      <c r="T213" s="7" t="str">
        <f>IF(AllData[[#This Row],[Phosphate (PPM)]]&gt;0.5, "Very high", IF(AllData[[#This Row],[Phosphate (PPM)]]&gt;0.1, "High", IF(AllData[[#This Row],[Phosphate (PPM)]]&gt;0.05, "Some evidence", IF(AllData[[#This Row],[Phosphate (PPM)]]&lt;=0.05, "No Evidence", ""))))</f>
        <v>High</v>
      </c>
      <c r="U213">
        <v>2.5</v>
      </c>
      <c r="V213" t="s">
        <v>367</v>
      </c>
    </row>
    <row r="214" spans="1:22" x14ac:dyDescent="0.25">
      <c r="A214" t="s">
        <v>368</v>
      </c>
      <c r="B214" s="2">
        <v>45253</v>
      </c>
      <c r="C214" s="2" t="str" cm="1">
        <f t="array" ref="C2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
        <f>YEAR(AllData[[#This Row],[Date]])</f>
        <v>2023</v>
      </c>
      <c r="E214" s="1">
        <v>0.41666666666666669</v>
      </c>
      <c r="F214" s="2" t="str">
        <f>IF(AND(AllData[[#This Row],[Time]]&lt;0.5, AllData[[#This Row],[Time]]&gt;0.17)=TRUE, "Morning", IF(AND(AllData[[#This Row],[Time]]&lt;0.75, AllData[[#This Row],[Time]]&gt;=0.5)=TRUE, "Afternoon", IF(AND(AllData[[#This Row],[Time]]&lt;1, AllData[[#This Row],[Time]]&gt;=0.75)=TRUE, "Evening", "Night")))</f>
        <v>Morning</v>
      </c>
      <c r="G214" t="str">
        <f>_xlfn.XLOOKUP(AllData[[#This Row],[Location Name]], Locations[Location Name],Locations[Group As])</f>
        <v>Swilgate</v>
      </c>
      <c r="H214" t="e" vm="1">
        <f>_xlfn.XLOOKUP(AllData[[#This Row],[Site Name]],LocationsKey[Site Name],LocationsKey[District])</f>
        <v>#VALUE!</v>
      </c>
      <c r="I214" t="e" vm="1">
        <f>_xlfn.XLOOKUP(AllData[[#This Row],[Site Name]],LocationsKey[Site Name],LocationsKey[Town])</f>
        <v>#VALUE!</v>
      </c>
      <c r="J214" t="str">
        <f>_xlfn.XLOOKUP(AllData[[#This Row],[Site Name]],LocationsKey[Site Name], LocationsKey[Waterway])</f>
        <v>Swilgate</v>
      </c>
      <c r="K214" t="s">
        <v>84</v>
      </c>
      <c r="N214" t="s">
        <v>23</v>
      </c>
      <c r="O214">
        <v>879</v>
      </c>
      <c r="P214">
        <v>12.4</v>
      </c>
      <c r="Q214">
        <v>3</v>
      </c>
      <c r="R214" s="7" t="str">
        <f>IF(AllData[[#This Row],[Nitrate (PPM)]]&gt;2, "Very high", IF(AllData[[#This Row],[Nitrate (PPM)]]&gt;1, "High", IF(AllData[[#This Row],[Nitrate (PPM)]]&gt;0.5, "Some evidence", IF(AllData[[#This Row],[Nitrate (PPM)]]&gt;=0, "No evidence"))))</f>
        <v>Very high</v>
      </c>
      <c r="S214" s="4">
        <v>0.5</v>
      </c>
      <c r="T214" s="7" t="str">
        <f>IF(AllData[[#This Row],[Phosphate (PPM)]]&gt;0.5, "Very high", IF(AllData[[#This Row],[Phosphate (PPM)]]&gt;0.1, "High", IF(AllData[[#This Row],[Phosphate (PPM)]]&gt;0.05, "Some evidence", IF(AllData[[#This Row],[Phosphate (PPM)]]&lt;=0.05, "No Evidence", ""))))</f>
        <v>High</v>
      </c>
      <c r="U214">
        <v>1</v>
      </c>
    </row>
    <row r="215" spans="1:22" x14ac:dyDescent="0.25">
      <c r="A215" t="s">
        <v>369</v>
      </c>
      <c r="B215" s="2">
        <v>45253</v>
      </c>
      <c r="C215" s="2" t="str" cm="1">
        <f t="array" ref="C2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
        <f>YEAR(AllData[[#This Row],[Date]])</f>
        <v>2023</v>
      </c>
      <c r="E215" s="1">
        <v>0.42708333333333331</v>
      </c>
      <c r="F215" s="2" t="str">
        <f>IF(AND(AllData[[#This Row],[Time]]&lt;0.5, AllData[[#This Row],[Time]]&gt;0.17)=TRUE, "Morning", IF(AND(AllData[[#This Row],[Time]]&lt;0.75, AllData[[#This Row],[Time]]&gt;=0.5)=TRUE, "Afternoon", IF(AND(AllData[[#This Row],[Time]]&lt;1, AllData[[#This Row],[Time]]&gt;=0.75)=TRUE, "Evening", "Night")))</f>
        <v>Morning</v>
      </c>
      <c r="G215" t="str">
        <f>_xlfn.XLOOKUP(AllData[[#This Row],[Location Name]], Locations[Location Name],Locations[Group As])</f>
        <v>Swiffen Bank</v>
      </c>
      <c r="H215" t="e" vm="2">
        <f>_xlfn.XLOOKUP(AllData[[#This Row],[Site Name]],LocationsKey[Site Name],LocationsKey[District])</f>
        <v>#VALUE!</v>
      </c>
      <c r="I215" t="e" vm="13">
        <f>_xlfn.XLOOKUP(AllData[[#This Row],[Site Name]],LocationsKey[Site Name],LocationsKey[Town])</f>
        <v>#VALUE!</v>
      </c>
      <c r="J215" t="str">
        <f>_xlfn.XLOOKUP(AllData[[#This Row],[Site Name]],LocationsKey[Site Name], LocationsKey[Waterway])</f>
        <v>Avon</v>
      </c>
      <c r="K215" t="s">
        <v>284</v>
      </c>
      <c r="L215">
        <v>52.207673</v>
      </c>
      <c r="M215">
        <v>-1.6584449999999999</v>
      </c>
      <c r="N215" t="s">
        <v>29</v>
      </c>
      <c r="O215">
        <v>635</v>
      </c>
      <c r="P215">
        <v>13</v>
      </c>
      <c r="Q215">
        <v>5</v>
      </c>
      <c r="R215" s="7" t="str">
        <f>IF(AllData[[#This Row],[Nitrate (PPM)]]&gt;2, "Very high", IF(AllData[[#This Row],[Nitrate (PPM)]]&gt;1, "High", IF(AllData[[#This Row],[Nitrate (PPM)]]&gt;0.5, "Some evidence", IF(AllData[[#This Row],[Nitrate (PPM)]]&gt;=0, "No evidence"))))</f>
        <v>Very high</v>
      </c>
      <c r="S215" s="4">
        <v>0.49</v>
      </c>
      <c r="T215" s="7" t="str">
        <f>IF(AllData[[#This Row],[Phosphate (PPM)]]&gt;0.5, "Very high", IF(AllData[[#This Row],[Phosphate (PPM)]]&gt;0.1, "High", IF(AllData[[#This Row],[Phosphate (PPM)]]&gt;0.05, "Some evidence", IF(AllData[[#This Row],[Phosphate (PPM)]]&lt;=0.05, "No Evidence", ""))))</f>
        <v>High</v>
      </c>
      <c r="U215">
        <v>-1</v>
      </c>
    </row>
    <row r="216" spans="1:22" x14ac:dyDescent="0.25">
      <c r="A216" t="s">
        <v>370</v>
      </c>
      <c r="B216" s="2">
        <v>45253</v>
      </c>
      <c r="C216" s="2" t="str" cm="1">
        <f t="array" ref="C2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
        <f>YEAR(AllData[[#This Row],[Date]])</f>
        <v>2023</v>
      </c>
      <c r="E216" s="1">
        <v>0.44583333333333336</v>
      </c>
      <c r="F216" s="2" t="str">
        <f>IF(AND(AllData[[#This Row],[Time]]&lt;0.5, AllData[[#This Row],[Time]]&gt;0.17)=TRUE, "Morning", IF(AND(AllData[[#This Row],[Time]]&lt;0.75, AllData[[#This Row],[Time]]&gt;=0.5)=TRUE, "Afternoon", IF(AND(AllData[[#This Row],[Time]]&lt;1, AllData[[#This Row],[Time]]&gt;=0.75)=TRUE, "Evening", "Night")))</f>
        <v>Morning</v>
      </c>
      <c r="G216" t="str">
        <f>_xlfn.XLOOKUP(AllData[[#This Row],[Location Name]], Locations[Location Name],Locations[Group As])</f>
        <v>Alveston Weir</v>
      </c>
      <c r="H216" t="e" vm="2">
        <f>_xlfn.XLOOKUP(AllData[[#This Row],[Site Name]],LocationsKey[Site Name],LocationsKey[District])</f>
        <v>#VALUE!</v>
      </c>
      <c r="I216" t="e" vm="13">
        <f>_xlfn.XLOOKUP(AllData[[#This Row],[Site Name]],LocationsKey[Site Name],LocationsKey[Town])</f>
        <v>#VALUE!</v>
      </c>
      <c r="J216" t="str">
        <f>_xlfn.XLOOKUP(AllData[[#This Row],[Site Name]],LocationsKey[Site Name], LocationsKey[Waterway])</f>
        <v>Avon</v>
      </c>
      <c r="K216" t="s">
        <v>286</v>
      </c>
      <c r="L216">
        <v>52.214275999999998</v>
      </c>
      <c r="M216">
        <v>-1.6601459999999999</v>
      </c>
      <c r="N216" t="s">
        <v>29</v>
      </c>
      <c r="O216">
        <v>653</v>
      </c>
      <c r="P216">
        <v>15.6</v>
      </c>
      <c r="Q216">
        <v>5</v>
      </c>
      <c r="R216" s="7" t="str">
        <f>IF(AllData[[#This Row],[Nitrate (PPM)]]&gt;2, "Very high", IF(AllData[[#This Row],[Nitrate (PPM)]]&gt;1, "High", IF(AllData[[#This Row],[Nitrate (PPM)]]&gt;0.5, "Some evidence", IF(AllData[[#This Row],[Nitrate (PPM)]]&gt;=0, "No evidence"))))</f>
        <v>Very high</v>
      </c>
      <c r="S216" s="4">
        <v>0.38</v>
      </c>
      <c r="T216" s="7" t="str">
        <f>IF(AllData[[#This Row],[Phosphate (PPM)]]&gt;0.5, "Very high", IF(AllData[[#This Row],[Phosphate (PPM)]]&gt;0.1, "High", IF(AllData[[#This Row],[Phosphate (PPM)]]&gt;0.05, "Some evidence", IF(AllData[[#This Row],[Phosphate (PPM)]]&lt;=0.05, "No Evidence", ""))))</f>
        <v>High</v>
      </c>
      <c r="U216">
        <v>0</v>
      </c>
      <c r="V216" t="s">
        <v>371</v>
      </c>
    </row>
    <row r="217" spans="1:22" x14ac:dyDescent="0.25">
      <c r="A217" t="s">
        <v>372</v>
      </c>
      <c r="B217" s="2">
        <v>45255</v>
      </c>
      <c r="C217" s="2" t="str" cm="1">
        <f t="array" ref="C2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
        <f>YEAR(AllData[[#This Row],[Date]])</f>
        <v>2023</v>
      </c>
      <c r="E217" s="1">
        <v>7.9861111111111105E-2</v>
      </c>
      <c r="F217" s="2" t="str">
        <f>IF(AND(AllData[[#This Row],[Time]]&lt;0.5, AllData[[#This Row],[Time]]&gt;0.17)=TRUE, "Morning", IF(AND(AllData[[#This Row],[Time]]&lt;0.75, AllData[[#This Row],[Time]]&gt;=0.5)=TRUE, "Afternoon", IF(AND(AllData[[#This Row],[Time]]&lt;1, AllData[[#This Row],[Time]]&gt;=0.75)=TRUE, "Evening", "Night")))</f>
        <v>Night</v>
      </c>
      <c r="G217" t="str">
        <f>_xlfn.XLOOKUP(AllData[[#This Row],[Location Name]], Locations[Location Name],Locations[Group As])</f>
        <v>Pitch 16</v>
      </c>
      <c r="H217" t="e" vm="2">
        <f>_xlfn.XLOOKUP(AllData[[#This Row],[Site Name]],LocationsKey[Site Name],LocationsKey[District])</f>
        <v>#VALUE!</v>
      </c>
      <c r="I217" t="e" vm="7">
        <f>_xlfn.XLOOKUP(AllData[[#This Row],[Site Name]],LocationsKey[Site Name],LocationsKey[Town])</f>
        <v>#VALUE!</v>
      </c>
      <c r="J217" t="str">
        <f>_xlfn.XLOOKUP(AllData[[#This Row],[Site Name]],LocationsKey[Site Name], LocationsKey[Waterway])</f>
        <v>Avon</v>
      </c>
      <c r="K217" t="s">
        <v>69</v>
      </c>
      <c r="N217" t="s">
        <v>29</v>
      </c>
      <c r="O217">
        <v>894</v>
      </c>
      <c r="P217">
        <v>9.3000000000000007</v>
      </c>
      <c r="Q217">
        <v>10</v>
      </c>
      <c r="R217" s="7" t="str">
        <f>IF(AllData[[#This Row],[Nitrate (PPM)]]&gt;2, "Very high", IF(AllData[[#This Row],[Nitrate (PPM)]]&gt;1, "High", IF(AllData[[#This Row],[Nitrate (PPM)]]&gt;0.5, "Some evidence", IF(AllData[[#This Row],[Nitrate (PPM)]]&gt;=0, "No evidence"))))</f>
        <v>Very high</v>
      </c>
      <c r="S217" s="4">
        <v>0.46</v>
      </c>
      <c r="T217" s="7" t="str">
        <f>IF(AllData[[#This Row],[Phosphate (PPM)]]&gt;0.5, "Very high", IF(AllData[[#This Row],[Phosphate (PPM)]]&gt;0.1, "High", IF(AllData[[#This Row],[Phosphate (PPM)]]&gt;0.05, "Some evidence", IF(AllData[[#This Row],[Phosphate (PPM)]]&lt;=0.05, "No Evidence", ""))))</f>
        <v>High</v>
      </c>
      <c r="U217">
        <v>1</v>
      </c>
    </row>
    <row r="218" spans="1:22" x14ac:dyDescent="0.25">
      <c r="A218" t="s">
        <v>373</v>
      </c>
      <c r="B218" s="2">
        <v>45255</v>
      </c>
      <c r="C218" s="2" t="str" cm="1">
        <f t="array" ref="C2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
        <f>YEAR(AllData[[#This Row],[Date]])</f>
        <v>2023</v>
      </c>
      <c r="E218" s="1">
        <v>0.48541666666666666</v>
      </c>
      <c r="F218" s="2" t="str">
        <f>IF(AND(AllData[[#This Row],[Time]]&lt;0.5, AllData[[#This Row],[Time]]&gt;0.17)=TRUE, "Morning", IF(AND(AllData[[#This Row],[Time]]&lt;0.75, AllData[[#This Row],[Time]]&gt;=0.5)=TRUE, "Afternoon", IF(AND(AllData[[#This Row],[Time]]&lt;1, AllData[[#This Row],[Time]]&gt;=0.75)=TRUE, "Evening", "Night")))</f>
        <v>Morning</v>
      </c>
      <c r="G218" t="str">
        <f>_xlfn.XLOOKUP(AllData[[#This Row],[Location Name]], Locations[Location Name],Locations[Group As])</f>
        <v>Abbey Mill</v>
      </c>
      <c r="H218" t="e" vm="1">
        <f>_xlfn.XLOOKUP(AllData[[#This Row],[Site Name]],LocationsKey[Site Name],LocationsKey[District])</f>
        <v>#VALUE!</v>
      </c>
      <c r="I218" t="e" vm="1">
        <f>_xlfn.XLOOKUP(AllData[[#This Row],[Site Name]],LocationsKey[Site Name],LocationsKey[Town])</f>
        <v>#VALUE!</v>
      </c>
      <c r="J218" t="str">
        <f>_xlfn.XLOOKUP(AllData[[#This Row],[Site Name]],LocationsKey[Site Name], LocationsKey[Waterway])</f>
        <v>Avon</v>
      </c>
      <c r="K218" t="s">
        <v>22</v>
      </c>
      <c r="L218">
        <v>51.991453</v>
      </c>
      <c r="M218">
        <v>-2.1629679999999998</v>
      </c>
      <c r="N218" t="s">
        <v>23</v>
      </c>
      <c r="O218">
        <v>773</v>
      </c>
      <c r="P218">
        <v>9.6999999999999993</v>
      </c>
      <c r="Q218">
        <v>4</v>
      </c>
      <c r="R218" s="7" t="str">
        <f>IF(AllData[[#This Row],[Nitrate (PPM)]]&gt;2, "Very high", IF(AllData[[#This Row],[Nitrate (PPM)]]&gt;1, "High", IF(AllData[[#This Row],[Nitrate (PPM)]]&gt;0.5, "Some evidence", IF(AllData[[#This Row],[Nitrate (PPM)]]&gt;=0, "No evidence"))))</f>
        <v>Very high</v>
      </c>
      <c r="S218" s="4">
        <v>0.7</v>
      </c>
      <c r="T218" s="7" t="str">
        <f>IF(AllData[[#This Row],[Phosphate (PPM)]]&gt;0.5, "Very high", IF(AllData[[#This Row],[Phosphate (PPM)]]&gt;0.1, "High", IF(AllData[[#This Row],[Phosphate (PPM)]]&gt;0.05, "Some evidence", IF(AllData[[#This Row],[Phosphate (PPM)]]&lt;=0.05, "No Evidence", ""))))</f>
        <v>Very high</v>
      </c>
      <c r="U218">
        <v>0</v>
      </c>
    </row>
    <row r="219" spans="1:22" x14ac:dyDescent="0.25">
      <c r="A219" t="s">
        <v>374</v>
      </c>
      <c r="B219" s="2">
        <v>45255</v>
      </c>
      <c r="C219" s="2" t="str" cm="1">
        <f t="array" ref="C2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
        <f>YEAR(AllData[[#This Row],[Date]])</f>
        <v>2023</v>
      </c>
      <c r="E219" s="1">
        <v>0.5</v>
      </c>
      <c r="F219" s="2" t="str">
        <f>IF(AND(AllData[[#This Row],[Time]]&lt;0.5, AllData[[#This Row],[Time]]&gt;0.17)=TRUE, "Morning", IF(AND(AllData[[#This Row],[Time]]&lt;0.75, AllData[[#This Row],[Time]]&gt;=0.5)=TRUE, "Afternoon", IF(AND(AllData[[#This Row],[Time]]&lt;1, AllData[[#This Row],[Time]]&gt;=0.75)=TRUE, "Evening", "Night")))</f>
        <v>Afternoon</v>
      </c>
      <c r="G219" t="str">
        <f>_xlfn.XLOOKUP(AllData[[#This Row],[Location Name]], Locations[Location Name],Locations[Group As])</f>
        <v>Carrant Bredon Rd</v>
      </c>
      <c r="H219" t="e" vm="1">
        <f>_xlfn.XLOOKUP(AllData[[#This Row],[Site Name]],LocationsKey[Site Name],LocationsKey[District])</f>
        <v>#VALUE!</v>
      </c>
      <c r="I219" t="e" vm="1">
        <f>_xlfn.XLOOKUP(AllData[[#This Row],[Site Name]],LocationsKey[Site Name],LocationsKey[Town])</f>
        <v>#VALUE!</v>
      </c>
      <c r="J219" t="str">
        <f>_xlfn.XLOOKUP(AllData[[#This Row],[Site Name]],LocationsKey[Site Name], LocationsKey[Waterway])</f>
        <v>Carrant</v>
      </c>
      <c r="K219" t="s">
        <v>90</v>
      </c>
      <c r="N219" t="s">
        <v>23</v>
      </c>
      <c r="O219">
        <v>709</v>
      </c>
      <c r="P219">
        <v>8.5</v>
      </c>
      <c r="Q219">
        <v>5</v>
      </c>
      <c r="R219" s="7" t="str">
        <f>IF(AllData[[#This Row],[Nitrate (PPM)]]&gt;2, "Very high", IF(AllData[[#This Row],[Nitrate (PPM)]]&gt;1, "High", IF(AllData[[#This Row],[Nitrate (PPM)]]&gt;0.5, "Some evidence", IF(AllData[[#This Row],[Nitrate (PPM)]]&gt;=0, "No evidence"))))</f>
        <v>Very high</v>
      </c>
      <c r="S219" s="4">
        <v>0.35</v>
      </c>
      <c r="T219" s="7" t="str">
        <f>IF(AllData[[#This Row],[Phosphate (PPM)]]&gt;0.5, "Very high", IF(AllData[[#This Row],[Phosphate (PPM)]]&gt;0.1, "High", IF(AllData[[#This Row],[Phosphate (PPM)]]&gt;0.05, "Some evidence", IF(AllData[[#This Row],[Phosphate (PPM)]]&lt;=0.05, "No Evidence", ""))))</f>
        <v>High</v>
      </c>
      <c r="U219">
        <v>0</v>
      </c>
    </row>
    <row r="220" spans="1:22" x14ac:dyDescent="0.25">
      <c r="A220" t="s">
        <v>375</v>
      </c>
      <c r="B220" s="2">
        <v>45256</v>
      </c>
      <c r="C220" s="2" t="str" cm="1">
        <f t="array" ref="C2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
        <f>YEAR(AllData[[#This Row],[Date]])</f>
        <v>2023</v>
      </c>
      <c r="E220" s="1">
        <v>4.1666666666666664E-2</v>
      </c>
      <c r="F220" s="2" t="str">
        <f>IF(AND(AllData[[#This Row],[Time]]&lt;0.5, AllData[[#This Row],[Time]]&gt;0.17)=TRUE, "Morning", IF(AND(AllData[[#This Row],[Time]]&lt;0.75, AllData[[#This Row],[Time]]&gt;=0.5)=TRUE, "Afternoon", IF(AND(AllData[[#This Row],[Time]]&lt;1, AllData[[#This Row],[Time]]&gt;=0.75)=TRUE, "Evening", "Night")))</f>
        <v>Night</v>
      </c>
      <c r="G220" t="str">
        <f>_xlfn.XLOOKUP(AllData[[#This Row],[Location Name]], Locations[Location Name],Locations[Group As])</f>
        <v>Hampton Lucy</v>
      </c>
      <c r="H220" t="e" vm="2">
        <f>_xlfn.XLOOKUP(AllData[[#This Row],[Site Name]],LocationsKey[Site Name],LocationsKey[District])</f>
        <v>#VALUE!</v>
      </c>
      <c r="I220" t="e" vm="4">
        <f>_xlfn.XLOOKUP(AllData[[#This Row],[Site Name]],LocationsKey[Site Name],LocationsKey[Town])</f>
        <v>#VALUE!</v>
      </c>
      <c r="J220" t="str">
        <f>_xlfn.XLOOKUP(AllData[[#This Row],[Site Name]],LocationsKey[Site Name], LocationsKey[Waterway])</f>
        <v>Avon</v>
      </c>
      <c r="K220" t="s">
        <v>37</v>
      </c>
      <c r="L220">
        <v>52.211680000000001</v>
      </c>
      <c r="M220">
        <v>-1.6244400000000001</v>
      </c>
      <c r="N220" t="s">
        <v>23</v>
      </c>
      <c r="O220">
        <v>880</v>
      </c>
      <c r="P220">
        <v>7.7</v>
      </c>
      <c r="Q220">
        <v>5</v>
      </c>
      <c r="R220" s="7" t="str">
        <f>IF(AllData[[#This Row],[Nitrate (PPM)]]&gt;2, "Very high", IF(AllData[[#This Row],[Nitrate (PPM)]]&gt;1, "High", IF(AllData[[#This Row],[Nitrate (PPM)]]&gt;0.5, "Some evidence", IF(AllData[[#This Row],[Nitrate (PPM)]]&gt;=0, "No evidence"))))</f>
        <v>Very high</v>
      </c>
      <c r="S220" s="4">
        <v>0.54</v>
      </c>
      <c r="T220" s="7" t="str">
        <f>IF(AllData[[#This Row],[Phosphate (PPM)]]&gt;0.5, "Very high", IF(AllData[[#This Row],[Phosphate (PPM)]]&gt;0.1, "High", IF(AllData[[#This Row],[Phosphate (PPM)]]&gt;0.05, "Some evidence", IF(AllData[[#This Row],[Phosphate (PPM)]]&lt;=0.05, "No Evidence", ""))))</f>
        <v>Very high</v>
      </c>
      <c r="U220">
        <v>0</v>
      </c>
    </row>
    <row r="221" spans="1:22" x14ac:dyDescent="0.25">
      <c r="A221" t="s">
        <v>376</v>
      </c>
      <c r="B221" s="2">
        <v>45256</v>
      </c>
      <c r="C221" s="2" t="str" cm="1">
        <f t="array" ref="C2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
        <f>YEAR(AllData[[#This Row],[Date]])</f>
        <v>2023</v>
      </c>
      <c r="E221" s="1">
        <v>0.5</v>
      </c>
      <c r="F221" s="2" t="str">
        <f>IF(AND(AllData[[#This Row],[Time]]&lt;0.5, AllData[[#This Row],[Time]]&gt;0.17)=TRUE, "Morning", IF(AND(AllData[[#This Row],[Time]]&lt;0.75, AllData[[#This Row],[Time]]&gt;=0.5)=TRUE, "Afternoon", IF(AND(AllData[[#This Row],[Time]]&lt;1, AllData[[#This Row],[Time]]&gt;=0.75)=TRUE, "Evening", "Night")))</f>
        <v>Afternoon</v>
      </c>
      <c r="G221" t="str">
        <f>_xlfn.XLOOKUP(AllData[[#This Row],[Location Name]], Locations[Location Name],Locations[Group As])</f>
        <v>Hampton Wood</v>
      </c>
      <c r="H221" t="e" vm="2">
        <f>_xlfn.XLOOKUP(AllData[[#This Row],[Site Name]],LocationsKey[Site Name],LocationsKey[District])</f>
        <v>#VALUE!</v>
      </c>
      <c r="I221" t="e" vm="3">
        <f>_xlfn.XLOOKUP(AllData[[#This Row],[Site Name]],LocationsKey[Site Name],LocationsKey[Town])</f>
        <v>#VALUE!</v>
      </c>
      <c r="J221" t="str">
        <f>_xlfn.XLOOKUP(AllData[[#This Row],[Site Name]],LocationsKey[Site Name], LocationsKey[Waterway])</f>
        <v>Avon</v>
      </c>
      <c r="K221" t="s">
        <v>34</v>
      </c>
      <c r="L221">
        <v>52.238149999999997</v>
      </c>
      <c r="M221">
        <v>-1.6245799999999999</v>
      </c>
      <c r="N221" t="s">
        <v>29</v>
      </c>
      <c r="O221">
        <v>870</v>
      </c>
      <c r="P221">
        <v>7.6</v>
      </c>
      <c r="Q221">
        <v>8</v>
      </c>
      <c r="R221" s="7" t="str">
        <f>IF(AllData[[#This Row],[Nitrate (PPM)]]&gt;2, "Very high", IF(AllData[[#This Row],[Nitrate (PPM)]]&gt;1, "High", IF(AllData[[#This Row],[Nitrate (PPM)]]&gt;0.5, "Some evidence", IF(AllData[[#This Row],[Nitrate (PPM)]]&gt;=0, "No evidence"))))</f>
        <v>Very high</v>
      </c>
      <c r="S221" s="4">
        <v>0.81</v>
      </c>
      <c r="T221" s="7" t="str">
        <f>IF(AllData[[#This Row],[Phosphate (PPM)]]&gt;0.5, "Very high", IF(AllData[[#This Row],[Phosphate (PPM)]]&gt;0.1, "High", IF(AllData[[#This Row],[Phosphate (PPM)]]&gt;0.05, "Some evidence", IF(AllData[[#This Row],[Phosphate (PPM)]]&lt;=0.05, "No Evidence", ""))))</f>
        <v>Very high</v>
      </c>
      <c r="U221">
        <v>0</v>
      </c>
    </row>
    <row r="222" spans="1:22" x14ac:dyDescent="0.25">
      <c r="A222" t="s">
        <v>381</v>
      </c>
      <c r="B222" s="2">
        <v>45256</v>
      </c>
      <c r="C222" s="2" t="str" cm="1">
        <f t="array" ref="C2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
        <f>YEAR(AllData[[#This Row],[Date]])</f>
        <v>2023</v>
      </c>
      <c r="E222" s="1">
        <v>0.52083333333333337</v>
      </c>
      <c r="F222" s="2" t="str">
        <f>IF(AND(AllData[[#This Row],[Time]]&lt;0.5, AllData[[#This Row],[Time]]&gt;0.17)=TRUE, "Morning", IF(AND(AllData[[#This Row],[Time]]&lt;0.75, AllData[[#This Row],[Time]]&gt;=0.5)=TRUE, "Afternoon", IF(AND(AllData[[#This Row],[Time]]&lt;1, AllData[[#This Row],[Time]]&gt;=0.75)=TRUE, "Evening", "Night")))</f>
        <v>Afternoon</v>
      </c>
      <c r="G222" t="str">
        <f>_xlfn.XLOOKUP(AllData[[#This Row],[Location Name]], Locations[Location Name],Locations[Group As])</f>
        <v>Lucy's Mill Bridge</v>
      </c>
      <c r="H222" t="e" vm="2">
        <f>_xlfn.XLOOKUP(AllData[[#This Row],[Site Name]],LocationsKey[Site Name],LocationsKey[District])</f>
        <v>#VALUE!</v>
      </c>
      <c r="I222" t="e" vm="7">
        <f>_xlfn.XLOOKUP(AllData[[#This Row],[Site Name]],LocationsKey[Site Name],LocationsKey[Town])</f>
        <v>#VALUE!</v>
      </c>
      <c r="J222" t="str">
        <f>_xlfn.XLOOKUP(AllData[[#This Row],[Site Name]],LocationsKey[Site Name], LocationsKey[Waterway])</f>
        <v>Avon</v>
      </c>
      <c r="K222" t="s">
        <v>216</v>
      </c>
      <c r="L222">
        <v>52.183698999999997</v>
      </c>
      <c r="M222">
        <v>-1.707816</v>
      </c>
      <c r="N222" t="s">
        <v>29</v>
      </c>
      <c r="P222">
        <v>9</v>
      </c>
      <c r="Q222">
        <v>10</v>
      </c>
      <c r="R222" s="7" t="str">
        <f>IF(AllData[[#This Row],[Nitrate (PPM)]]&gt;2, "Very high", IF(AllData[[#This Row],[Nitrate (PPM)]]&gt;1, "High", IF(AllData[[#This Row],[Nitrate (PPM)]]&gt;0.5, "Some evidence", IF(AllData[[#This Row],[Nitrate (PPM)]]&gt;=0, "No evidence"))))</f>
        <v>Very high</v>
      </c>
      <c r="S222" s="4">
        <v>0.37</v>
      </c>
      <c r="T222" s="7" t="str">
        <f>IF(AllData[[#This Row],[Phosphate (PPM)]]&gt;0.5, "Very high", IF(AllData[[#This Row],[Phosphate (PPM)]]&gt;0.1, "High", IF(AllData[[#This Row],[Phosphate (PPM)]]&gt;0.05, "Some evidence", IF(AllData[[#This Row],[Phosphate (PPM)]]&lt;=0.05, "No Evidence", ""))))</f>
        <v>High</v>
      </c>
      <c r="U222">
        <v>0.7</v>
      </c>
    </row>
    <row r="223" spans="1:22" x14ac:dyDescent="0.25">
      <c r="A223" t="s">
        <v>377</v>
      </c>
      <c r="B223" s="2">
        <v>45256</v>
      </c>
      <c r="C223" s="2" t="str" cm="1">
        <f t="array" ref="C2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
        <f>YEAR(AllData[[#This Row],[Date]])</f>
        <v>2023</v>
      </c>
      <c r="E223" s="1">
        <v>0.54166666666666663</v>
      </c>
      <c r="F223" s="2" t="str">
        <f>IF(AND(AllData[[#This Row],[Time]]&lt;0.5, AllData[[#This Row],[Time]]&gt;0.17)=TRUE, "Morning", IF(AND(AllData[[#This Row],[Time]]&lt;0.75, AllData[[#This Row],[Time]]&gt;=0.5)=TRUE, "Afternoon", IF(AND(AllData[[#This Row],[Time]]&lt;1, AllData[[#This Row],[Time]]&gt;=0.75)=TRUE, "Evening", "Night")))</f>
        <v>Afternoon</v>
      </c>
      <c r="G223" t="str">
        <f>_xlfn.XLOOKUP(AllData[[#This Row],[Location Name]], Locations[Location Name],Locations[Group As])</f>
        <v>Clifford Chambers Mill Bridge</v>
      </c>
      <c r="H223" t="e" vm="2">
        <f>_xlfn.XLOOKUP(AllData[[#This Row],[Site Name]],LocationsKey[Site Name],LocationsKey[District])</f>
        <v>#VALUE!</v>
      </c>
      <c r="I223" t="e" vm="12">
        <f>_xlfn.XLOOKUP(AllData[[#This Row],[Site Name]],LocationsKey[Site Name],LocationsKey[Town])</f>
        <v>#VALUE!</v>
      </c>
      <c r="J223" t="str">
        <f>_xlfn.XLOOKUP(AllData[[#This Row],[Site Name]],LocationsKey[Site Name], LocationsKey[Waterway])</f>
        <v>Stour</v>
      </c>
      <c r="K223" t="s">
        <v>263</v>
      </c>
      <c r="L223">
        <v>52.166370000000001</v>
      </c>
      <c r="M223">
        <v>-1.708032</v>
      </c>
      <c r="N223" t="s">
        <v>66</v>
      </c>
      <c r="O223" s="219">
        <v>704</v>
      </c>
      <c r="P223">
        <v>6.2</v>
      </c>
      <c r="Q223" s="219">
        <v>7</v>
      </c>
      <c r="R223" s="7" t="str">
        <f>IF(AllData[[#This Row],[Nitrate (PPM)]]&gt;2, "Very high", IF(AllData[[#This Row],[Nitrate (PPM)]]&gt;1, "High", IF(AllData[[#This Row],[Nitrate (PPM)]]&gt;0.5, "Some evidence", IF(AllData[[#This Row],[Nitrate (PPM)]]&gt;=0, "No evidence"))))</f>
        <v>Very high</v>
      </c>
      <c r="S223" s="221">
        <v>0.27</v>
      </c>
      <c r="T223" s="7" t="str">
        <f>IF(AllData[[#This Row],[Phosphate (PPM)]]&gt;0.5, "Very high", IF(AllData[[#This Row],[Phosphate (PPM)]]&gt;0.1, "High", IF(AllData[[#This Row],[Phosphate (PPM)]]&gt;0.05, "Some evidence", IF(AllData[[#This Row],[Phosphate (PPM)]]&lt;=0.05, "No Evidence", ""))))</f>
        <v>High</v>
      </c>
      <c r="U223">
        <v>0.7</v>
      </c>
    </row>
    <row r="224" spans="1:22" x14ac:dyDescent="0.25">
      <c r="A224" t="s">
        <v>378</v>
      </c>
      <c r="B224" s="2">
        <v>45256</v>
      </c>
      <c r="C224" s="2" t="str" cm="1">
        <f t="array" ref="C2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
        <f>YEAR(AllData[[#This Row],[Date]])</f>
        <v>2023</v>
      </c>
      <c r="E224" s="1">
        <v>0.63541666666666663</v>
      </c>
      <c r="F224" s="2" t="str">
        <f>IF(AND(AllData[[#This Row],[Time]]&lt;0.5, AllData[[#This Row],[Time]]&gt;0.17)=TRUE, "Morning", IF(AND(AllData[[#This Row],[Time]]&lt;0.75, AllData[[#This Row],[Time]]&gt;=0.5)=TRUE, "Afternoon", IF(AND(AllData[[#This Row],[Time]]&lt;1, AllData[[#This Row],[Time]]&gt;=0.75)=TRUE, "Evening", "Night")))</f>
        <v>Afternoon</v>
      </c>
      <c r="G224" t="str">
        <f>_xlfn.XLOOKUP(AllData[[#This Row],[Location Name]], Locations[Location Name],Locations[Group As])</f>
        <v>Barton</v>
      </c>
      <c r="H224" t="e" vm="2">
        <f>_xlfn.XLOOKUP(AllData[[#This Row],[Site Name]],LocationsKey[Site Name],LocationsKey[District])</f>
        <v>#VALUE!</v>
      </c>
      <c r="I224" t="str">
        <f>_xlfn.XLOOKUP(AllData[[#This Row],[Site Name]],LocationsKey[Site Name],LocationsKey[Town])</f>
        <v>Barton</v>
      </c>
      <c r="J224" t="str">
        <f>_xlfn.XLOOKUP(AllData[[#This Row],[Site Name]],LocationsKey[Site Name], LocationsKey[Waterway])</f>
        <v>Avon</v>
      </c>
      <c r="K224" t="s">
        <v>49</v>
      </c>
      <c r="L224">
        <v>52.161209999999997</v>
      </c>
      <c r="M224">
        <v>-1.8301499999999999</v>
      </c>
      <c r="N224" t="s">
        <v>29</v>
      </c>
      <c r="O224">
        <v>868</v>
      </c>
      <c r="P224">
        <v>7.1</v>
      </c>
      <c r="Q224">
        <v>7</v>
      </c>
      <c r="R224" s="7" t="str">
        <f>IF(AllData[[#This Row],[Nitrate (PPM)]]&gt;2, "Very high", IF(AllData[[#This Row],[Nitrate (PPM)]]&gt;1, "High", IF(AllData[[#This Row],[Nitrate (PPM)]]&gt;0.5, "Some evidence", IF(AllData[[#This Row],[Nitrate (PPM)]]&gt;=0, "No evidence"))))</f>
        <v>Very high</v>
      </c>
      <c r="S224" s="4">
        <v>0.67</v>
      </c>
      <c r="T224" s="7" t="str">
        <f>IF(AllData[[#This Row],[Phosphate (PPM)]]&gt;0.5, "Very high", IF(AllData[[#This Row],[Phosphate (PPM)]]&gt;0.1, "High", IF(AllData[[#This Row],[Phosphate (PPM)]]&gt;0.05, "Some evidence", IF(AllData[[#This Row],[Phosphate (PPM)]]&lt;=0.05, "No Evidence", ""))))</f>
        <v>Very high</v>
      </c>
      <c r="U224">
        <v>0</v>
      </c>
    </row>
    <row r="225" spans="1:22" x14ac:dyDescent="0.25">
      <c r="A225" t="s">
        <v>379</v>
      </c>
      <c r="B225" s="2">
        <v>45256</v>
      </c>
      <c r="C225" s="2" t="str" cm="1">
        <f t="array" ref="C2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
        <f>YEAR(AllData[[#This Row],[Date]])</f>
        <v>2023</v>
      </c>
      <c r="E225" s="1">
        <v>0.6875</v>
      </c>
      <c r="F225" s="2" t="str">
        <f>IF(AND(AllData[[#This Row],[Time]]&lt;0.5, AllData[[#This Row],[Time]]&gt;0.17)=TRUE, "Morning", IF(AND(AllData[[#This Row],[Time]]&lt;0.75, AllData[[#This Row],[Time]]&gt;=0.5)=TRUE, "Afternoon", IF(AND(AllData[[#This Row],[Time]]&lt;1, AllData[[#This Row],[Time]]&gt;=0.75)=TRUE, "Evening", "Night")))</f>
        <v>Afternoon</v>
      </c>
      <c r="G225" t="str">
        <f>_xlfn.XLOOKUP(AllData[[#This Row],[Location Name]], Locations[Location Name],Locations[Group As])</f>
        <v>Welford Boat Station</v>
      </c>
      <c r="H225" t="e" vm="2">
        <f>_xlfn.XLOOKUP(AllData[[#This Row],[Site Name]],LocationsKey[Site Name],LocationsKey[District])</f>
        <v>#VALUE!</v>
      </c>
      <c r="I225" t="e" vm="5">
        <f>_xlfn.XLOOKUP(AllData[[#This Row],[Site Name]],LocationsKey[Site Name],LocationsKey[Town])</f>
        <v>#VALUE!</v>
      </c>
      <c r="J225" t="str">
        <f>_xlfn.XLOOKUP(AllData[[#This Row],[Site Name]],LocationsKey[Site Name], LocationsKey[Waterway])</f>
        <v>Avon</v>
      </c>
      <c r="K225" t="s">
        <v>39</v>
      </c>
      <c r="L225">
        <v>52.175240000000002</v>
      </c>
      <c r="M225">
        <v>-1.7918700000000001</v>
      </c>
      <c r="N225" t="s">
        <v>29</v>
      </c>
      <c r="O225">
        <v>876</v>
      </c>
      <c r="P225">
        <v>8.3000000000000007</v>
      </c>
      <c r="Q225">
        <v>20</v>
      </c>
      <c r="R225" s="7" t="str">
        <f>IF(AllData[[#This Row],[Nitrate (PPM)]]&gt;2, "Very high", IF(AllData[[#This Row],[Nitrate (PPM)]]&gt;1, "High", IF(AllData[[#This Row],[Nitrate (PPM)]]&gt;0.5, "Some evidence", IF(AllData[[#This Row],[Nitrate (PPM)]]&gt;=0, "No evidence"))))</f>
        <v>Very high</v>
      </c>
      <c r="S225" s="4">
        <v>0.5</v>
      </c>
      <c r="T225" s="7" t="str">
        <f>IF(AllData[[#This Row],[Phosphate (PPM)]]&gt;0.5, "Very high", IF(AllData[[#This Row],[Phosphate (PPM)]]&gt;0.1, "High", IF(AllData[[#This Row],[Phosphate (PPM)]]&gt;0.05, "Some evidence", IF(AllData[[#This Row],[Phosphate (PPM)]]&lt;=0.05, "No Evidence", ""))))</f>
        <v>High</v>
      </c>
      <c r="U225">
        <v>0</v>
      </c>
      <c r="V225" t="s">
        <v>380</v>
      </c>
    </row>
    <row r="226" spans="1:22" x14ac:dyDescent="0.25">
      <c r="A226" t="s">
        <v>382</v>
      </c>
      <c r="B226" s="2">
        <v>45257</v>
      </c>
      <c r="C226" s="2" t="str" cm="1">
        <f t="array" ref="C2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
        <f>YEAR(AllData[[#This Row],[Date]])</f>
        <v>2023</v>
      </c>
      <c r="E226" s="1">
        <v>0.40833333333333333</v>
      </c>
      <c r="F226" s="2" t="str">
        <f>IF(AND(AllData[[#This Row],[Time]]&lt;0.5, AllData[[#This Row],[Time]]&gt;0.17)=TRUE, "Morning", IF(AND(AllData[[#This Row],[Time]]&lt;0.75, AllData[[#This Row],[Time]]&gt;=0.5)=TRUE, "Afternoon", IF(AND(AllData[[#This Row],[Time]]&lt;1, AllData[[#This Row],[Time]]&gt;=0.75)=TRUE, "Evening", "Night")))</f>
        <v>Morning</v>
      </c>
      <c r="G226" t="str">
        <f>_xlfn.XLOOKUP(AllData[[#This Row],[Location Name]], Locations[Location Name],Locations[Group As])</f>
        <v>Stour Stretton-on-Fosse Village</v>
      </c>
      <c r="H226" t="e" vm="2">
        <f>_xlfn.XLOOKUP(AllData[[#This Row],[Site Name]],LocationsKey[Site Name],LocationsKey[District])</f>
        <v>#VALUE!</v>
      </c>
      <c r="I226" t="e" vm="14">
        <f>_xlfn.XLOOKUP(AllData[[#This Row],[Site Name]],LocationsKey[Site Name],LocationsKey[Town])</f>
        <v>#VALUE!</v>
      </c>
      <c r="J226" t="str">
        <f>_xlfn.XLOOKUP(AllData[[#This Row],[Site Name]],LocationsKey[Site Name], LocationsKey[Waterway])</f>
        <v>Stour</v>
      </c>
      <c r="K226" t="s">
        <v>383</v>
      </c>
      <c r="L226">
        <v>52.046472000000001</v>
      </c>
      <c r="M226">
        <v>-1.673438</v>
      </c>
      <c r="N226" t="s">
        <v>66</v>
      </c>
      <c r="O226">
        <v>668</v>
      </c>
      <c r="P226">
        <v>9.3000000000000007</v>
      </c>
      <c r="Q226">
        <v>2</v>
      </c>
      <c r="R226" s="7" t="str">
        <f>IF(AllData[[#This Row],[Nitrate (PPM)]]&gt;2, "Very high", IF(AllData[[#This Row],[Nitrate (PPM)]]&gt;1, "High", IF(AllData[[#This Row],[Nitrate (PPM)]]&gt;0.5, "Some evidence", IF(AllData[[#This Row],[Nitrate (PPM)]]&gt;=0, "No evidence"))))</f>
        <v>High</v>
      </c>
      <c r="S226" s="4">
        <v>0.93</v>
      </c>
      <c r="T226" s="7" t="str">
        <f>IF(AllData[[#This Row],[Phosphate (PPM)]]&gt;0.5, "Very high", IF(AllData[[#This Row],[Phosphate (PPM)]]&gt;0.1, "High", IF(AllData[[#This Row],[Phosphate (PPM)]]&gt;0.05, "Some evidence", IF(AllData[[#This Row],[Phosphate (PPM)]]&lt;=0.05, "No Evidence", ""))))</f>
        <v>Very high</v>
      </c>
      <c r="U226">
        <v>0.2</v>
      </c>
    </row>
    <row r="227" spans="1:22" x14ac:dyDescent="0.25">
      <c r="A227" t="s">
        <v>384</v>
      </c>
      <c r="B227" s="2">
        <v>45257</v>
      </c>
      <c r="C227" s="2" t="str" cm="1">
        <f t="array" ref="C2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
        <f>YEAR(AllData[[#This Row],[Date]])</f>
        <v>2023</v>
      </c>
      <c r="E227" s="1">
        <v>0.4201388888888889</v>
      </c>
      <c r="F227" s="2" t="str">
        <f>IF(AND(AllData[[#This Row],[Time]]&lt;0.5, AllData[[#This Row],[Time]]&gt;0.17)=TRUE, "Morning", IF(AND(AllData[[#This Row],[Time]]&lt;0.75, AllData[[#This Row],[Time]]&gt;=0.5)=TRUE, "Afternoon", IF(AND(AllData[[#This Row],[Time]]&lt;1, AllData[[#This Row],[Time]]&gt;=0.75)=TRUE, "Evening", "Night")))</f>
        <v>Morning</v>
      </c>
      <c r="G227" t="str">
        <f>_xlfn.XLOOKUP(AllData[[#This Row],[Location Name]], Locations[Location Name],Locations[Group As])</f>
        <v>Stour Stretton-on-Fosse Sewage Works</v>
      </c>
      <c r="H227" t="e" vm="2">
        <f>_xlfn.XLOOKUP(AllData[[#This Row],[Site Name]],LocationsKey[Site Name],LocationsKey[District])</f>
        <v>#VALUE!</v>
      </c>
      <c r="I227" t="e" vm="14">
        <f>_xlfn.XLOOKUP(AllData[[#This Row],[Site Name]],LocationsKey[Site Name],LocationsKey[Town])</f>
        <v>#VALUE!</v>
      </c>
      <c r="J227" t="str">
        <f>_xlfn.XLOOKUP(AllData[[#This Row],[Site Name]],LocationsKey[Site Name], LocationsKey[Waterway])</f>
        <v>Stour</v>
      </c>
      <c r="K227" t="s">
        <v>335</v>
      </c>
      <c r="L227">
        <v>52.045659999999998</v>
      </c>
      <c r="M227">
        <v>-1.671924</v>
      </c>
      <c r="N227" t="s">
        <v>29</v>
      </c>
      <c r="O227">
        <v>703</v>
      </c>
      <c r="P227">
        <v>8.6</v>
      </c>
      <c r="Q227">
        <v>4</v>
      </c>
      <c r="R227" s="7" t="str">
        <f>IF(AllData[[#This Row],[Nitrate (PPM)]]&gt;2, "Very high", IF(AllData[[#This Row],[Nitrate (PPM)]]&gt;1, "High", IF(AllData[[#This Row],[Nitrate (PPM)]]&gt;0.5, "Some evidence", IF(AllData[[#This Row],[Nitrate (PPM)]]&gt;=0, "No evidence"))))</f>
        <v>Very high</v>
      </c>
      <c r="S227" s="4">
        <v>2.5</v>
      </c>
      <c r="T227" s="7" t="str">
        <f>IF(AllData[[#This Row],[Phosphate (PPM)]]&gt;0.5, "Very high", IF(AllData[[#This Row],[Phosphate (PPM)]]&gt;0.1, "High", IF(AllData[[#This Row],[Phosphate (PPM)]]&gt;0.05, "Some evidence", IF(AllData[[#This Row],[Phosphate (PPM)]]&lt;=0.05, "No Evidence", ""))))</f>
        <v>Very high</v>
      </c>
      <c r="U227">
        <v>0.3</v>
      </c>
    </row>
    <row r="228" spans="1:22" x14ac:dyDescent="0.25">
      <c r="A228" t="s">
        <v>385</v>
      </c>
      <c r="B228" s="2">
        <v>45257</v>
      </c>
      <c r="C228" s="2" t="str" cm="1">
        <f t="array" ref="C2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
        <f>YEAR(AllData[[#This Row],[Date]])</f>
        <v>2023</v>
      </c>
      <c r="E228" s="1">
        <v>0.61319444444444449</v>
      </c>
      <c r="F228" s="2" t="str">
        <f>IF(AND(AllData[[#This Row],[Time]]&lt;0.5, AllData[[#This Row],[Time]]&gt;0.17)=TRUE, "Morning", IF(AND(AllData[[#This Row],[Time]]&lt;0.75, AllData[[#This Row],[Time]]&gt;=0.5)=TRUE, "Afternoon", IF(AND(AllData[[#This Row],[Time]]&lt;1, AllData[[#This Row],[Time]]&gt;=0.75)=TRUE, "Evening", "Night")))</f>
        <v>Afternoon</v>
      </c>
      <c r="G228" t="str">
        <f>_xlfn.XLOOKUP(AllData[[#This Row],[Location Name]], Locations[Location Name],Locations[Group As])</f>
        <v>Preston-on-Stour River Bridge</v>
      </c>
      <c r="H228" t="e" vm="2">
        <f>_xlfn.XLOOKUP(AllData[[#This Row],[Site Name]],LocationsKey[Site Name],LocationsKey[District])</f>
        <v>#VALUE!</v>
      </c>
      <c r="I228" t="e" vm="9">
        <f>_xlfn.XLOOKUP(AllData[[#This Row],[Site Name]],LocationsKey[Site Name],LocationsKey[Town])</f>
        <v>#VALUE!</v>
      </c>
      <c r="J228" t="str">
        <f>_xlfn.XLOOKUP(AllData[[#This Row],[Site Name]],LocationsKey[Site Name], LocationsKey[Waterway])</f>
        <v>Stour</v>
      </c>
      <c r="K228" t="s">
        <v>163</v>
      </c>
      <c r="N228" t="s">
        <v>29</v>
      </c>
      <c r="O228">
        <v>659</v>
      </c>
      <c r="P228">
        <v>11.1</v>
      </c>
      <c r="Q228">
        <v>5</v>
      </c>
      <c r="R228" s="7" t="str">
        <f>IF(AllData[[#This Row],[Nitrate (PPM)]]&gt;2, "Very high", IF(AllData[[#This Row],[Nitrate (PPM)]]&gt;1, "High", IF(AllData[[#This Row],[Nitrate (PPM)]]&gt;0.5, "Some evidence", IF(AllData[[#This Row],[Nitrate (PPM)]]&gt;=0, "No evidence"))))</f>
        <v>Very high</v>
      </c>
      <c r="S228" s="4">
        <v>0.28999999999999998</v>
      </c>
      <c r="T228" s="7" t="str">
        <f>IF(AllData[[#This Row],[Phosphate (PPM)]]&gt;0.5, "Very high", IF(AllData[[#This Row],[Phosphate (PPM)]]&gt;0.1, "High", IF(AllData[[#This Row],[Phosphate (PPM)]]&gt;0.05, "Some evidence", IF(AllData[[#This Row],[Phosphate (PPM)]]&lt;=0.05, "No Evidence", ""))))</f>
        <v>High</v>
      </c>
      <c r="U228">
        <v>1.5</v>
      </c>
    </row>
    <row r="229" spans="1:22" x14ac:dyDescent="0.25">
      <c r="A229" t="s">
        <v>386</v>
      </c>
      <c r="B229" s="2">
        <v>45258</v>
      </c>
      <c r="C229" s="2" t="str" cm="1">
        <f t="array" ref="C2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
        <f>YEAR(AllData[[#This Row],[Date]])</f>
        <v>2023</v>
      </c>
      <c r="E229" s="1">
        <v>0.64583333333333337</v>
      </c>
      <c r="F229" s="2" t="str">
        <f>IF(AND(AllData[[#This Row],[Time]]&lt;0.5, AllData[[#This Row],[Time]]&gt;0.17)=TRUE, "Morning", IF(AND(AllData[[#This Row],[Time]]&lt;0.75, AllData[[#This Row],[Time]]&gt;=0.5)=TRUE, "Afternoon", IF(AND(AllData[[#This Row],[Time]]&lt;1, AllData[[#This Row],[Time]]&gt;=0.75)=TRUE, "Evening", "Night")))</f>
        <v>Afternoon</v>
      </c>
      <c r="G229" t="str">
        <f>_xlfn.XLOOKUP(AllData[[#This Row],[Location Name]], Locations[Location Name],Locations[Group As])</f>
        <v>Weston-on-Avon</v>
      </c>
      <c r="H229" t="e" vm="2">
        <f>_xlfn.XLOOKUP(AllData[[#This Row],[Site Name]],LocationsKey[Site Name],LocationsKey[District])</f>
        <v>#VALUE!</v>
      </c>
      <c r="I229" t="e" vm="6">
        <f>_xlfn.XLOOKUP(AllData[[#This Row],[Site Name]],LocationsKey[Site Name],LocationsKey[Town])</f>
        <v>#VALUE!</v>
      </c>
      <c r="J229" t="str">
        <f>_xlfn.XLOOKUP(AllData[[#This Row],[Site Name]],LocationsKey[Site Name], LocationsKey[Waterway])</f>
        <v>Avon</v>
      </c>
      <c r="K229" t="s">
        <v>41</v>
      </c>
      <c r="L229">
        <v>52.167430000000003</v>
      </c>
      <c r="M229">
        <v>-1.7744800000000001</v>
      </c>
      <c r="N229" t="s">
        <v>29</v>
      </c>
      <c r="O229">
        <v>900</v>
      </c>
      <c r="P229">
        <v>7.4</v>
      </c>
      <c r="Q229">
        <v>12</v>
      </c>
      <c r="R229" s="7" t="str">
        <f>IF(AllData[[#This Row],[Nitrate (PPM)]]&gt;2, "Very high", IF(AllData[[#This Row],[Nitrate (PPM)]]&gt;1, "High", IF(AllData[[#This Row],[Nitrate (PPM)]]&gt;0.5, "Some evidence", IF(AllData[[#This Row],[Nitrate (PPM)]]&gt;=0, "No evidence"))))</f>
        <v>Very high</v>
      </c>
      <c r="S229" s="4">
        <v>0.53</v>
      </c>
      <c r="T229" s="7" t="str">
        <f>IF(AllData[[#This Row],[Phosphate (PPM)]]&gt;0.5, "Very high", IF(AllData[[#This Row],[Phosphate (PPM)]]&gt;0.1, "High", IF(AllData[[#This Row],[Phosphate (PPM)]]&gt;0.05, "Some evidence", IF(AllData[[#This Row],[Phosphate (PPM)]]&lt;=0.05, "No Evidence", ""))))</f>
        <v>Very high</v>
      </c>
      <c r="U229">
        <v>0</v>
      </c>
    </row>
    <row r="230" spans="1:22" x14ac:dyDescent="0.25">
      <c r="A230" t="s">
        <v>387</v>
      </c>
      <c r="B230" s="2">
        <v>45259</v>
      </c>
      <c r="C230" s="2" t="str" cm="1">
        <f t="array" ref="C2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30">
        <f>YEAR(AllData[[#This Row],[Date]])</f>
        <v>2023</v>
      </c>
      <c r="E230" s="1">
        <v>0.66666666666666663</v>
      </c>
      <c r="F230" s="2" t="str">
        <f>IF(AND(AllData[[#This Row],[Time]]&lt;0.5, AllData[[#This Row],[Time]]&gt;0.17)=TRUE, "Morning", IF(AND(AllData[[#This Row],[Time]]&lt;0.75, AllData[[#This Row],[Time]]&gt;=0.5)=TRUE, "Afternoon", IF(AND(AllData[[#This Row],[Time]]&lt;1, AllData[[#This Row],[Time]]&gt;=0.75)=TRUE, "Evening", "Night")))</f>
        <v>Afternoon</v>
      </c>
      <c r="G230" t="str">
        <f>_xlfn.XLOOKUP(AllData[[#This Row],[Location Name]], Locations[Location Name],Locations[Group As])</f>
        <v>Stour Newbold Mill</v>
      </c>
      <c r="H230" t="e" vm="2">
        <f>_xlfn.XLOOKUP(AllData[[#This Row],[Site Name]],LocationsKey[Site Name],LocationsKey[District])</f>
        <v>#VALUE!</v>
      </c>
      <c r="I230" t="e" vm="8">
        <f>_xlfn.XLOOKUP(AllData[[#This Row],[Site Name]],LocationsKey[Site Name],LocationsKey[Town])</f>
        <v>#VALUE!</v>
      </c>
      <c r="J230" t="str">
        <f>_xlfn.XLOOKUP(AllData[[#This Row],[Site Name]],LocationsKey[Site Name], LocationsKey[Waterway])</f>
        <v>Stour</v>
      </c>
      <c r="K230" t="s">
        <v>140</v>
      </c>
      <c r="L230">
        <v>52.112850999999999</v>
      </c>
      <c r="M230">
        <v>-1.633435</v>
      </c>
      <c r="N230" t="s">
        <v>29</v>
      </c>
      <c r="O230">
        <v>667</v>
      </c>
      <c r="P230">
        <v>12</v>
      </c>
      <c r="Q230">
        <v>5</v>
      </c>
      <c r="R230" s="7" t="str">
        <f>IF(AllData[[#This Row],[Nitrate (PPM)]]&gt;2, "Very high", IF(AllData[[#This Row],[Nitrate (PPM)]]&gt;1, "High", IF(AllData[[#This Row],[Nitrate (PPM)]]&gt;0.5, "Some evidence", IF(AllData[[#This Row],[Nitrate (PPM)]]&gt;=0, "No evidence"))))</f>
        <v>Very high</v>
      </c>
      <c r="S230" s="4">
        <v>0.2</v>
      </c>
      <c r="T230" s="7" t="str">
        <f>IF(AllData[[#This Row],[Phosphate (PPM)]]&gt;0.5, "Very high", IF(AllData[[#This Row],[Phosphate (PPM)]]&gt;0.1, "High", IF(AllData[[#This Row],[Phosphate (PPM)]]&gt;0.05, "Some evidence", IF(AllData[[#This Row],[Phosphate (PPM)]]&lt;=0.05, "No Evidence", ""))))</f>
        <v>High</v>
      </c>
      <c r="U230">
        <v>2.5</v>
      </c>
      <c r="V230" t="s">
        <v>388</v>
      </c>
    </row>
    <row r="231" spans="1:22" x14ac:dyDescent="0.25">
      <c r="A231" t="s">
        <v>389</v>
      </c>
      <c r="B231" s="2">
        <v>45260</v>
      </c>
      <c r="C231" s="2" t="str" cm="1">
        <f t="array" ref="C2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31">
        <f>YEAR(AllData[[#This Row],[Date]])</f>
        <v>2023</v>
      </c>
      <c r="E231" s="1">
        <v>0.54722222222222228</v>
      </c>
      <c r="F231" s="2" t="str">
        <f>IF(AND(AllData[[#This Row],[Time]]&lt;0.5, AllData[[#This Row],[Time]]&gt;0.17)=TRUE, "Morning", IF(AND(AllData[[#This Row],[Time]]&lt;0.75, AllData[[#This Row],[Time]]&gt;=0.5)=TRUE, "Afternoon", IF(AND(AllData[[#This Row],[Time]]&lt;1, AllData[[#This Row],[Time]]&gt;=0.75)=TRUE, "Evening", "Night")))</f>
        <v>Afternoon</v>
      </c>
      <c r="G231" t="str">
        <f>_xlfn.XLOOKUP(AllData[[#This Row],[Location Name]], Locations[Location Name],Locations[Group As])</f>
        <v>Stour Shipston Mill Bridge</v>
      </c>
      <c r="H231" t="e" vm="2">
        <f>_xlfn.XLOOKUP(AllData[[#This Row],[Site Name]],LocationsKey[Site Name],LocationsKey[District])</f>
        <v>#VALUE!</v>
      </c>
      <c r="I231" t="e" vm="10">
        <f>_xlfn.XLOOKUP(AllData[[#This Row],[Site Name]],LocationsKey[Site Name],LocationsKey[Town])</f>
        <v>#VALUE!</v>
      </c>
      <c r="J231" t="str">
        <f>_xlfn.XLOOKUP(AllData[[#This Row],[Site Name]],LocationsKey[Site Name], LocationsKey[Waterway])</f>
        <v>Stour</v>
      </c>
      <c r="K231" t="s">
        <v>319</v>
      </c>
      <c r="L231">
        <v>52.061971999999997</v>
      </c>
      <c r="M231">
        <v>-1.6216520000000001</v>
      </c>
      <c r="N231" t="s">
        <v>23</v>
      </c>
      <c r="O231" s="219">
        <v>623</v>
      </c>
      <c r="P231">
        <v>6.1</v>
      </c>
      <c r="Q231" s="219">
        <v>5</v>
      </c>
      <c r="R231" s="7" t="str">
        <f>IF(AllData[[#This Row],[Nitrate (PPM)]]&gt;2, "Very high", IF(AllData[[#This Row],[Nitrate (PPM)]]&gt;1, "High", IF(AllData[[#This Row],[Nitrate (PPM)]]&gt;0.5, "Some evidence", IF(AllData[[#This Row],[Nitrate (PPM)]]&gt;=0, "No evidence"))))</f>
        <v>Very high</v>
      </c>
      <c r="S231" s="221">
        <v>0.24</v>
      </c>
      <c r="T231" s="7" t="str">
        <f>IF(AllData[[#This Row],[Phosphate (PPM)]]&gt;0.5, "Very high", IF(AllData[[#This Row],[Phosphate (PPM)]]&gt;0.1, "High", IF(AllData[[#This Row],[Phosphate (PPM)]]&gt;0.05, "Some evidence", IF(AllData[[#This Row],[Phosphate (PPM)]]&lt;=0.05, "No Evidence", ""))))</f>
        <v>High</v>
      </c>
      <c r="U231">
        <v>1</v>
      </c>
    </row>
    <row r="232" spans="1:22" x14ac:dyDescent="0.25">
      <c r="A232" t="s">
        <v>390</v>
      </c>
      <c r="B232" s="2">
        <v>45260</v>
      </c>
      <c r="C232" s="2" t="str" cm="1">
        <f t="array" ref="C2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32">
        <f>YEAR(AllData[[#This Row],[Date]])</f>
        <v>2023</v>
      </c>
      <c r="E232" s="1">
        <v>0.63541666666666663</v>
      </c>
      <c r="F232" s="2" t="str">
        <f>IF(AND(AllData[[#This Row],[Time]]&lt;0.5, AllData[[#This Row],[Time]]&gt;0.17)=TRUE, "Morning", IF(AND(AllData[[#This Row],[Time]]&lt;0.75, AllData[[#This Row],[Time]]&gt;=0.5)=TRUE, "Afternoon", IF(AND(AllData[[#This Row],[Time]]&lt;1, AllData[[#This Row],[Time]]&gt;=0.75)=TRUE, "Evening", "Night")))</f>
        <v>Afternoon</v>
      </c>
      <c r="G232" t="str">
        <f>_xlfn.XLOOKUP(AllData[[#This Row],[Location Name]], Locations[Location Name],Locations[Group As])</f>
        <v>Swilgate</v>
      </c>
      <c r="H232" t="e" vm="1">
        <f>_xlfn.XLOOKUP(AllData[[#This Row],[Site Name]],LocationsKey[Site Name],LocationsKey[District])</f>
        <v>#VALUE!</v>
      </c>
      <c r="I232" t="e" vm="1">
        <f>_xlfn.XLOOKUP(AllData[[#This Row],[Site Name]],LocationsKey[Site Name],LocationsKey[Town])</f>
        <v>#VALUE!</v>
      </c>
      <c r="J232" t="str">
        <f>_xlfn.XLOOKUP(AllData[[#This Row],[Site Name]],LocationsKey[Site Name], LocationsKey[Waterway])</f>
        <v>Swilgate</v>
      </c>
      <c r="K232" t="s">
        <v>84</v>
      </c>
      <c r="N232" t="s">
        <v>23</v>
      </c>
      <c r="O232">
        <v>1006</v>
      </c>
      <c r="P232">
        <v>7.4</v>
      </c>
      <c r="Q232">
        <v>3</v>
      </c>
      <c r="R232" s="7" t="str">
        <f>IF(AllData[[#This Row],[Nitrate (PPM)]]&gt;2, "Very high", IF(AllData[[#This Row],[Nitrate (PPM)]]&gt;1, "High", IF(AllData[[#This Row],[Nitrate (PPM)]]&gt;0.5, "Some evidence", IF(AllData[[#This Row],[Nitrate (PPM)]]&gt;=0, "No evidence"))))</f>
        <v>Very high</v>
      </c>
      <c r="S232" s="4">
        <v>0.55000000000000004</v>
      </c>
      <c r="T232" s="7" t="str">
        <f>IF(AllData[[#This Row],[Phosphate (PPM)]]&gt;0.5, "Very high", IF(AllData[[#This Row],[Phosphate (PPM)]]&gt;0.1, "High", IF(AllData[[#This Row],[Phosphate (PPM)]]&gt;0.05, "Some evidence", IF(AllData[[#This Row],[Phosphate (PPM)]]&lt;=0.05, "No Evidence", ""))))</f>
        <v>Very high</v>
      </c>
      <c r="U232">
        <v>0</v>
      </c>
    </row>
    <row r="233" spans="1:22" x14ac:dyDescent="0.25">
      <c r="A233" t="s">
        <v>392</v>
      </c>
      <c r="B233" s="2">
        <v>45262</v>
      </c>
      <c r="C233" s="2" t="str" cm="1">
        <f t="array" ref="C2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3">
        <f>YEAR(AllData[[#This Row],[Date]])</f>
        <v>2023</v>
      </c>
      <c r="E233" s="1">
        <v>0.45833333333333331</v>
      </c>
      <c r="F233" s="2" t="str">
        <f>IF(AND(AllData[[#This Row],[Time]]&lt;0.5, AllData[[#This Row],[Time]]&gt;0.17)=TRUE, "Morning", IF(AND(AllData[[#This Row],[Time]]&lt;0.75, AllData[[#This Row],[Time]]&gt;=0.5)=TRUE, "Afternoon", IF(AND(AllData[[#This Row],[Time]]&lt;1, AllData[[#This Row],[Time]]&gt;=0.75)=TRUE, "Evening", "Night")))</f>
        <v>Morning</v>
      </c>
      <c r="G233" t="str">
        <f>_xlfn.XLOOKUP(AllData[[#This Row],[Location Name]], Locations[Location Name],Locations[Group As])</f>
        <v>Avonbank Drive</v>
      </c>
      <c r="H233" t="e" vm="2">
        <f>_xlfn.XLOOKUP(AllData[[#This Row],[Site Name]],LocationsKey[Site Name],LocationsKey[District])</f>
        <v>#VALUE!</v>
      </c>
      <c r="I233" t="e" vm="7">
        <f>_xlfn.XLOOKUP(AllData[[#This Row],[Site Name]],LocationsKey[Site Name],LocationsKey[Town])</f>
        <v>#VALUE!</v>
      </c>
      <c r="J233" t="str">
        <f>_xlfn.XLOOKUP(AllData[[#This Row],[Site Name]],LocationsKey[Site Name], LocationsKey[Waterway])</f>
        <v>Avon</v>
      </c>
      <c r="K233" t="s">
        <v>103</v>
      </c>
      <c r="L233">
        <v>52.177</v>
      </c>
      <c r="M233">
        <v>-1.736</v>
      </c>
      <c r="N233" t="s">
        <v>66</v>
      </c>
      <c r="O233">
        <v>902</v>
      </c>
      <c r="P233">
        <v>10.3</v>
      </c>
      <c r="Q233">
        <v>5</v>
      </c>
      <c r="R233" s="7" t="str">
        <f>IF(AllData[[#This Row],[Nitrate (PPM)]]&gt;2, "Very high", IF(AllData[[#This Row],[Nitrate (PPM)]]&gt;1, "High", IF(AllData[[#This Row],[Nitrate (PPM)]]&gt;0.5, "Some evidence", IF(AllData[[#This Row],[Nitrate (PPM)]]&gt;=0, "No evidence"))))</f>
        <v>Very high</v>
      </c>
      <c r="S233" s="4">
        <v>0.57999999999999996</v>
      </c>
      <c r="T233" s="7" t="str">
        <f>IF(AllData[[#This Row],[Phosphate (PPM)]]&gt;0.5, "Very high", IF(AllData[[#This Row],[Phosphate (PPM)]]&gt;0.1, "High", IF(AllData[[#This Row],[Phosphate (PPM)]]&gt;0.05, "Some evidence", IF(AllData[[#This Row],[Phosphate (PPM)]]&lt;=0.05, "No Evidence", ""))))</f>
        <v>Very high</v>
      </c>
      <c r="U233">
        <v>0.71</v>
      </c>
    </row>
    <row r="234" spans="1:22" x14ac:dyDescent="0.25">
      <c r="A234" t="s">
        <v>391</v>
      </c>
      <c r="B234" s="2">
        <v>45262</v>
      </c>
      <c r="C234" s="2" t="str" cm="1">
        <f t="array" ref="C2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4">
        <f>YEAR(AllData[[#This Row],[Date]])</f>
        <v>2023</v>
      </c>
      <c r="E234" s="1">
        <v>0.45833333333333331</v>
      </c>
      <c r="F234" s="2" t="str">
        <f>IF(AND(AllData[[#This Row],[Time]]&lt;0.5, AllData[[#This Row],[Time]]&gt;0.17)=TRUE, "Morning", IF(AND(AllData[[#This Row],[Time]]&lt;0.75, AllData[[#This Row],[Time]]&gt;=0.5)=TRUE, "Afternoon", IF(AND(AllData[[#This Row],[Time]]&lt;1, AllData[[#This Row],[Time]]&gt;=0.75)=TRUE, "Evening", "Night")))</f>
        <v>Morning</v>
      </c>
      <c r="G234" t="str">
        <f>_xlfn.XLOOKUP(AllData[[#This Row],[Location Name]], Locations[Location Name],Locations[Group As])</f>
        <v>Pitch 16</v>
      </c>
      <c r="H234" t="e" vm="2">
        <f>_xlfn.XLOOKUP(AllData[[#This Row],[Site Name]],LocationsKey[Site Name],LocationsKey[District])</f>
        <v>#VALUE!</v>
      </c>
      <c r="I234" t="e" vm="7">
        <f>_xlfn.XLOOKUP(AllData[[#This Row],[Site Name]],LocationsKey[Site Name],LocationsKey[Town])</f>
        <v>#VALUE!</v>
      </c>
      <c r="J234" t="str">
        <f>_xlfn.XLOOKUP(AllData[[#This Row],[Site Name]],LocationsKey[Site Name], LocationsKey[Waterway])</f>
        <v>Avon</v>
      </c>
      <c r="K234" t="s">
        <v>69</v>
      </c>
      <c r="N234" t="s">
        <v>29</v>
      </c>
      <c r="O234">
        <v>702</v>
      </c>
      <c r="P234">
        <v>9.3000000000000007</v>
      </c>
      <c r="Q234">
        <v>5</v>
      </c>
      <c r="R234" s="7" t="str">
        <f>IF(AllData[[#This Row],[Nitrate (PPM)]]&gt;2, "Very high", IF(AllData[[#This Row],[Nitrate (PPM)]]&gt;1, "High", IF(AllData[[#This Row],[Nitrate (PPM)]]&gt;0.5, "Some evidence", IF(AllData[[#This Row],[Nitrate (PPM)]]&gt;=0, "No evidence"))))</f>
        <v>Very high</v>
      </c>
      <c r="S234" s="4">
        <v>0.54</v>
      </c>
      <c r="T234" s="7" t="str">
        <f>IF(AllData[[#This Row],[Phosphate (PPM)]]&gt;0.5, "Very high", IF(AllData[[#This Row],[Phosphate (PPM)]]&gt;0.1, "High", IF(AllData[[#This Row],[Phosphate (PPM)]]&gt;0.05, "Some evidence", IF(AllData[[#This Row],[Phosphate (PPM)]]&lt;=0.05, "No Evidence", ""))))</f>
        <v>Very high</v>
      </c>
      <c r="U234">
        <v>0.71</v>
      </c>
    </row>
    <row r="235" spans="1:22" x14ac:dyDescent="0.25">
      <c r="A235" t="s">
        <v>393</v>
      </c>
      <c r="B235" s="2">
        <v>45262</v>
      </c>
      <c r="C235" s="2" t="str" cm="1">
        <f t="array" ref="C2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5">
        <f>YEAR(AllData[[#This Row],[Date]])</f>
        <v>2023</v>
      </c>
      <c r="E235" s="1">
        <v>0.52083333333333337</v>
      </c>
      <c r="F235" s="2" t="str">
        <f>IF(AND(AllData[[#This Row],[Time]]&lt;0.5, AllData[[#This Row],[Time]]&gt;0.17)=TRUE, "Morning", IF(AND(AllData[[#This Row],[Time]]&lt;0.75, AllData[[#This Row],[Time]]&gt;=0.5)=TRUE, "Afternoon", IF(AND(AllData[[#This Row],[Time]]&lt;1, AllData[[#This Row],[Time]]&gt;=0.75)=TRUE, "Evening", "Night")))</f>
        <v>Afternoon</v>
      </c>
      <c r="G235" t="str">
        <f>_xlfn.XLOOKUP(AllData[[#This Row],[Location Name]], Locations[Location Name],Locations[Group As])</f>
        <v>Carrant Bredon Rd</v>
      </c>
      <c r="H235" t="e" vm="1">
        <f>_xlfn.XLOOKUP(AllData[[#This Row],[Site Name]],LocationsKey[Site Name],LocationsKey[District])</f>
        <v>#VALUE!</v>
      </c>
      <c r="I235" t="e" vm="1">
        <f>_xlfn.XLOOKUP(AllData[[#This Row],[Site Name]],LocationsKey[Site Name],LocationsKey[Town])</f>
        <v>#VALUE!</v>
      </c>
      <c r="J235" t="str">
        <f>_xlfn.XLOOKUP(AllData[[#This Row],[Site Name]],LocationsKey[Site Name], LocationsKey[Waterway])</f>
        <v>Carrant</v>
      </c>
      <c r="K235" t="s">
        <v>90</v>
      </c>
      <c r="N235" t="s">
        <v>23</v>
      </c>
      <c r="O235">
        <v>802</v>
      </c>
      <c r="P235">
        <v>5.0999999999999996</v>
      </c>
      <c r="Q235">
        <v>5</v>
      </c>
      <c r="R235" s="7" t="str">
        <f>IF(AllData[[#This Row],[Nitrate (PPM)]]&gt;2, "Very high", IF(AllData[[#This Row],[Nitrate (PPM)]]&gt;1, "High", IF(AllData[[#This Row],[Nitrate (PPM)]]&gt;0.5, "Some evidence", IF(AllData[[#This Row],[Nitrate (PPM)]]&gt;=0, "No evidence"))))</f>
        <v>Very high</v>
      </c>
      <c r="S235" s="4">
        <v>0.28000000000000003</v>
      </c>
      <c r="T235" s="7" t="str">
        <f>IF(AllData[[#This Row],[Phosphate (PPM)]]&gt;0.5, "Very high", IF(AllData[[#This Row],[Phosphate (PPM)]]&gt;0.1, "High", IF(AllData[[#This Row],[Phosphate (PPM)]]&gt;0.05, "Some evidence", IF(AllData[[#This Row],[Phosphate (PPM)]]&lt;=0.05, "No Evidence", ""))))</f>
        <v>High</v>
      </c>
      <c r="U235">
        <v>0</v>
      </c>
    </row>
    <row r="236" spans="1:22" x14ac:dyDescent="0.25">
      <c r="A236" t="s">
        <v>394</v>
      </c>
      <c r="B236" s="2">
        <v>45263</v>
      </c>
      <c r="C236" s="2" t="str" cm="1">
        <f t="array" ref="C2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6">
        <f>YEAR(AllData[[#This Row],[Date]])</f>
        <v>2023</v>
      </c>
      <c r="E236" s="1">
        <v>0.38194444444444442</v>
      </c>
      <c r="F236" s="2" t="str">
        <f>IF(AND(AllData[[#This Row],[Time]]&lt;0.5, AllData[[#This Row],[Time]]&gt;0.17)=TRUE, "Morning", IF(AND(AllData[[#This Row],[Time]]&lt;0.75, AllData[[#This Row],[Time]]&gt;=0.5)=TRUE, "Afternoon", IF(AND(AllData[[#This Row],[Time]]&lt;1, AllData[[#This Row],[Time]]&gt;=0.75)=TRUE, "Evening", "Night")))</f>
        <v>Morning</v>
      </c>
      <c r="G236" t="str">
        <f>_xlfn.XLOOKUP(AllData[[#This Row],[Location Name]], Locations[Location Name],Locations[Group As])</f>
        <v>Abbey Mill</v>
      </c>
      <c r="H236" t="e" vm="1">
        <f>_xlfn.XLOOKUP(AllData[[#This Row],[Site Name]],LocationsKey[Site Name],LocationsKey[District])</f>
        <v>#VALUE!</v>
      </c>
      <c r="I236" t="e" vm="1">
        <f>_xlfn.XLOOKUP(AllData[[#This Row],[Site Name]],LocationsKey[Site Name],LocationsKey[Town])</f>
        <v>#VALUE!</v>
      </c>
      <c r="J236" t="str">
        <f>_xlfn.XLOOKUP(AllData[[#This Row],[Site Name]],LocationsKey[Site Name], LocationsKey[Waterway])</f>
        <v>Avon</v>
      </c>
      <c r="K236" t="s">
        <v>22</v>
      </c>
      <c r="L236">
        <v>51.991371000000001</v>
      </c>
      <c r="M236">
        <v>-2.1628440000000002</v>
      </c>
      <c r="N236" t="s">
        <v>23</v>
      </c>
      <c r="O236">
        <v>804</v>
      </c>
      <c r="P236">
        <v>6.7</v>
      </c>
      <c r="Q236">
        <v>5</v>
      </c>
      <c r="R236" s="7" t="str">
        <f>IF(AllData[[#This Row],[Nitrate (PPM)]]&gt;2, "Very high", IF(AllData[[#This Row],[Nitrate (PPM)]]&gt;1, "High", IF(AllData[[#This Row],[Nitrate (PPM)]]&gt;0.5, "Some evidence", IF(AllData[[#This Row],[Nitrate (PPM)]]&gt;=0, "No evidence"))))</f>
        <v>Very high</v>
      </c>
      <c r="S236" s="4">
        <v>0.7</v>
      </c>
      <c r="T236" s="7" t="str">
        <f>IF(AllData[[#This Row],[Phosphate (PPM)]]&gt;0.5, "Very high", IF(AllData[[#This Row],[Phosphate (PPM)]]&gt;0.1, "High", IF(AllData[[#This Row],[Phosphate (PPM)]]&gt;0.05, "Some evidence", IF(AllData[[#This Row],[Phosphate (PPM)]]&lt;=0.05, "No Evidence", ""))))</f>
        <v>Very high</v>
      </c>
      <c r="U236">
        <v>0</v>
      </c>
    </row>
    <row r="237" spans="1:22" x14ac:dyDescent="0.25">
      <c r="A237" t="s">
        <v>395</v>
      </c>
      <c r="B237" s="2">
        <v>45263</v>
      </c>
      <c r="C237" s="2" t="str" cm="1">
        <f t="array" ref="C2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7">
        <f>YEAR(AllData[[#This Row],[Date]])</f>
        <v>2023</v>
      </c>
      <c r="E237" s="1">
        <v>0.41666666666666669</v>
      </c>
      <c r="F237" s="2" t="str">
        <f>IF(AND(AllData[[#This Row],[Time]]&lt;0.5, AllData[[#This Row],[Time]]&gt;0.17)=TRUE, "Morning", IF(AND(AllData[[#This Row],[Time]]&lt;0.75, AllData[[#This Row],[Time]]&gt;=0.5)=TRUE, "Afternoon", IF(AND(AllData[[#This Row],[Time]]&lt;1, AllData[[#This Row],[Time]]&gt;=0.75)=TRUE, "Evening", "Night")))</f>
        <v>Morning</v>
      </c>
      <c r="G237" t="str">
        <f>_xlfn.XLOOKUP(AllData[[#This Row],[Location Name]], Locations[Location Name],Locations[Group As])</f>
        <v>Barton</v>
      </c>
      <c r="H237" t="e" vm="2">
        <f>_xlfn.XLOOKUP(AllData[[#This Row],[Site Name]],LocationsKey[Site Name],LocationsKey[District])</f>
        <v>#VALUE!</v>
      </c>
      <c r="I237" t="str">
        <f>_xlfn.XLOOKUP(AllData[[#This Row],[Site Name]],LocationsKey[Site Name],LocationsKey[Town])</f>
        <v>Barton</v>
      </c>
      <c r="J237" t="str">
        <f>_xlfn.XLOOKUP(AllData[[#This Row],[Site Name]],LocationsKey[Site Name], LocationsKey[Waterway])</f>
        <v>Avon</v>
      </c>
      <c r="K237" t="s">
        <v>49</v>
      </c>
      <c r="L237">
        <v>52.161209999999997</v>
      </c>
      <c r="M237">
        <v>-1.8301499999999999</v>
      </c>
      <c r="N237" t="s">
        <v>29</v>
      </c>
      <c r="O237">
        <v>754</v>
      </c>
      <c r="P237">
        <v>7.1</v>
      </c>
      <c r="Q237">
        <v>7</v>
      </c>
      <c r="R237" s="7" t="str">
        <f>IF(AllData[[#This Row],[Nitrate (PPM)]]&gt;2, "Very high", IF(AllData[[#This Row],[Nitrate (PPM)]]&gt;1, "High", IF(AllData[[#This Row],[Nitrate (PPM)]]&gt;0.5, "Some evidence", IF(AllData[[#This Row],[Nitrate (PPM)]]&gt;=0, "No evidence"))))</f>
        <v>Very high</v>
      </c>
      <c r="S237" s="4">
        <v>0.52</v>
      </c>
      <c r="T237" s="7" t="str">
        <f>IF(AllData[[#This Row],[Phosphate (PPM)]]&gt;0.5, "Very high", IF(AllData[[#This Row],[Phosphate (PPM)]]&gt;0.1, "High", IF(AllData[[#This Row],[Phosphate (PPM)]]&gt;0.05, "Some evidence", IF(AllData[[#This Row],[Phosphate (PPM)]]&lt;=0.05, "No Evidence", ""))))</f>
        <v>Very high</v>
      </c>
      <c r="U237">
        <v>0</v>
      </c>
    </row>
    <row r="238" spans="1:22" x14ac:dyDescent="0.25">
      <c r="A238" t="s">
        <v>396</v>
      </c>
      <c r="B238" s="2">
        <v>45263</v>
      </c>
      <c r="C238" s="2" t="str" cm="1">
        <f t="array" ref="C2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8">
        <f>YEAR(AllData[[#This Row],[Date]])</f>
        <v>2023</v>
      </c>
      <c r="E238" s="1">
        <v>0.45833333333333331</v>
      </c>
      <c r="F238" s="2" t="str">
        <f>IF(AND(AllData[[#This Row],[Time]]&lt;0.5, AllData[[#This Row],[Time]]&gt;0.17)=TRUE, "Morning", IF(AND(AllData[[#This Row],[Time]]&lt;0.75, AllData[[#This Row],[Time]]&gt;=0.5)=TRUE, "Afternoon", IF(AND(AllData[[#This Row],[Time]]&lt;1, AllData[[#This Row],[Time]]&gt;=0.75)=TRUE, "Evening", "Night")))</f>
        <v>Morning</v>
      </c>
      <c r="G238" t="str">
        <f>_xlfn.XLOOKUP(AllData[[#This Row],[Location Name]], Locations[Location Name],Locations[Group As])</f>
        <v>Alveston Weir</v>
      </c>
      <c r="H238" t="e" vm="2">
        <f>_xlfn.XLOOKUP(AllData[[#This Row],[Site Name]],LocationsKey[Site Name],LocationsKey[District])</f>
        <v>#VALUE!</v>
      </c>
      <c r="I238" t="e" vm="13">
        <f>_xlfn.XLOOKUP(AllData[[#This Row],[Site Name]],LocationsKey[Site Name],LocationsKey[Town])</f>
        <v>#VALUE!</v>
      </c>
      <c r="J238" t="str">
        <f>_xlfn.XLOOKUP(AllData[[#This Row],[Site Name]],LocationsKey[Site Name], LocationsKey[Waterway])</f>
        <v>Avon</v>
      </c>
      <c r="K238" t="s">
        <v>286</v>
      </c>
      <c r="L238">
        <v>52.206477999999997</v>
      </c>
      <c r="M238">
        <v>-1.6584700000000001</v>
      </c>
      <c r="N238" t="s">
        <v>29</v>
      </c>
      <c r="O238">
        <v>7</v>
      </c>
      <c r="P238">
        <v>7.6</v>
      </c>
      <c r="Q238">
        <v>5</v>
      </c>
      <c r="R238" s="7" t="str">
        <f>IF(AllData[[#This Row],[Nitrate (PPM)]]&gt;2, "Very high", IF(AllData[[#This Row],[Nitrate (PPM)]]&gt;1, "High", IF(AllData[[#This Row],[Nitrate (PPM)]]&gt;0.5, "Some evidence", IF(AllData[[#This Row],[Nitrate (PPM)]]&gt;=0, "No evidence"))))</f>
        <v>Very high</v>
      </c>
      <c r="S238" s="4">
        <v>0.52</v>
      </c>
      <c r="T238" s="7" t="str">
        <f>IF(AllData[[#This Row],[Phosphate (PPM)]]&gt;0.5, "Very high", IF(AllData[[#This Row],[Phosphate (PPM)]]&gt;0.1, "High", IF(AllData[[#This Row],[Phosphate (PPM)]]&gt;0.05, "Some evidence", IF(AllData[[#This Row],[Phosphate (PPM)]]&lt;=0.05, "No Evidence", ""))))</f>
        <v>Very high</v>
      </c>
      <c r="U238">
        <v>1</v>
      </c>
      <c r="V238" t="s">
        <v>397</v>
      </c>
    </row>
    <row r="239" spans="1:22" x14ac:dyDescent="0.25">
      <c r="A239" t="s">
        <v>398</v>
      </c>
      <c r="B239" s="2">
        <v>45263</v>
      </c>
      <c r="C239" s="2" t="str" cm="1">
        <f t="array" ref="C2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39">
        <f>YEAR(AllData[[#This Row],[Date]])</f>
        <v>2023</v>
      </c>
      <c r="E239" s="1">
        <v>0.45833333333333331</v>
      </c>
      <c r="F239" s="2" t="str">
        <f>IF(AND(AllData[[#This Row],[Time]]&lt;0.5, AllData[[#This Row],[Time]]&gt;0.17)=TRUE, "Morning", IF(AND(AllData[[#This Row],[Time]]&lt;0.75, AllData[[#This Row],[Time]]&gt;=0.5)=TRUE, "Afternoon", IF(AND(AllData[[#This Row],[Time]]&lt;1, AllData[[#This Row],[Time]]&gt;=0.75)=TRUE, "Evening", "Night")))</f>
        <v>Morning</v>
      </c>
      <c r="G239" t="str">
        <f>_xlfn.XLOOKUP(AllData[[#This Row],[Location Name]], Locations[Location Name],Locations[Group As])</f>
        <v>Swiffen Bank</v>
      </c>
      <c r="H239" t="e" vm="2">
        <f>_xlfn.XLOOKUP(AllData[[#This Row],[Site Name]],LocationsKey[Site Name],LocationsKey[District])</f>
        <v>#VALUE!</v>
      </c>
      <c r="I239" t="e" vm="13">
        <f>_xlfn.XLOOKUP(AllData[[#This Row],[Site Name]],LocationsKey[Site Name],LocationsKey[Town])</f>
        <v>#VALUE!</v>
      </c>
      <c r="J239" t="str">
        <f>_xlfn.XLOOKUP(AllData[[#This Row],[Site Name]],LocationsKey[Site Name], LocationsKey[Waterway])</f>
        <v>Avon</v>
      </c>
      <c r="K239" t="s">
        <v>284</v>
      </c>
      <c r="L239">
        <v>52.206477999999997</v>
      </c>
      <c r="M239">
        <v>-1.653894</v>
      </c>
      <c r="N239" t="s">
        <v>29</v>
      </c>
      <c r="O239">
        <v>731</v>
      </c>
      <c r="P239">
        <v>7.2</v>
      </c>
      <c r="Q239">
        <v>5</v>
      </c>
      <c r="R239" s="7" t="str">
        <f>IF(AllData[[#This Row],[Nitrate (PPM)]]&gt;2, "Very high", IF(AllData[[#This Row],[Nitrate (PPM)]]&gt;1, "High", IF(AllData[[#This Row],[Nitrate (PPM)]]&gt;0.5, "Some evidence", IF(AllData[[#This Row],[Nitrate (PPM)]]&gt;=0, "No evidence"))))</f>
        <v>Very high</v>
      </c>
      <c r="S239" s="4">
        <v>0.55000000000000004</v>
      </c>
      <c r="T239" s="7" t="str">
        <f>IF(AllData[[#This Row],[Phosphate (PPM)]]&gt;0.5, "Very high", IF(AllData[[#This Row],[Phosphate (PPM)]]&gt;0.1, "High", IF(AllData[[#This Row],[Phosphate (PPM)]]&gt;0.05, "Some evidence", IF(AllData[[#This Row],[Phosphate (PPM)]]&lt;=0.05, "No Evidence", ""))))</f>
        <v>Very high</v>
      </c>
      <c r="U239">
        <v>0</v>
      </c>
    </row>
    <row r="240" spans="1:22" x14ac:dyDescent="0.25">
      <c r="A240" t="s">
        <v>399</v>
      </c>
      <c r="B240" s="2">
        <v>45263</v>
      </c>
      <c r="C240" s="2" t="str" cm="1">
        <f t="array" ref="C2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0">
        <f>YEAR(AllData[[#This Row],[Date]])</f>
        <v>2023</v>
      </c>
      <c r="E240" s="1">
        <v>0.47916666666666669</v>
      </c>
      <c r="F240" s="2" t="str">
        <f>IF(AND(AllData[[#This Row],[Time]]&lt;0.5, AllData[[#This Row],[Time]]&gt;0.17)=TRUE, "Morning", IF(AND(AllData[[#This Row],[Time]]&lt;0.75, AllData[[#This Row],[Time]]&gt;=0.5)=TRUE, "Afternoon", IF(AND(AllData[[#This Row],[Time]]&lt;1, AllData[[#This Row],[Time]]&gt;=0.75)=TRUE, "Evening", "Night")))</f>
        <v>Morning</v>
      </c>
      <c r="G240" t="str">
        <f>_xlfn.XLOOKUP(AllData[[#This Row],[Location Name]], Locations[Location Name],Locations[Group As])</f>
        <v>Hampton Wood</v>
      </c>
      <c r="H240" t="e" vm="2">
        <f>_xlfn.XLOOKUP(AllData[[#This Row],[Site Name]],LocationsKey[Site Name],LocationsKey[District])</f>
        <v>#VALUE!</v>
      </c>
      <c r="I240" t="e" vm="3">
        <f>_xlfn.XLOOKUP(AllData[[#This Row],[Site Name]],LocationsKey[Site Name],LocationsKey[Town])</f>
        <v>#VALUE!</v>
      </c>
      <c r="J240" t="str">
        <f>_xlfn.XLOOKUP(AllData[[#This Row],[Site Name]],LocationsKey[Site Name], LocationsKey[Waterway])</f>
        <v>Avon</v>
      </c>
      <c r="K240" t="s">
        <v>34</v>
      </c>
      <c r="L240">
        <v>52.238149999999997</v>
      </c>
      <c r="M240">
        <v>-1.6245799999999999</v>
      </c>
      <c r="N240" t="s">
        <v>29</v>
      </c>
      <c r="O240">
        <v>920</v>
      </c>
      <c r="P240">
        <v>6.1</v>
      </c>
      <c r="Q240">
        <v>15</v>
      </c>
      <c r="R240" s="7" t="str">
        <f>IF(AllData[[#This Row],[Nitrate (PPM)]]&gt;2, "Very high", IF(AllData[[#This Row],[Nitrate (PPM)]]&gt;1, "High", IF(AllData[[#This Row],[Nitrate (PPM)]]&gt;0.5, "Some evidence", IF(AllData[[#This Row],[Nitrate (PPM)]]&gt;=0, "No evidence"))))</f>
        <v>Very high</v>
      </c>
      <c r="S240" s="4">
        <v>0.8</v>
      </c>
      <c r="T240" s="7" t="str">
        <f>IF(AllData[[#This Row],[Phosphate (PPM)]]&gt;0.5, "Very high", IF(AllData[[#This Row],[Phosphate (PPM)]]&gt;0.1, "High", IF(AllData[[#This Row],[Phosphate (PPM)]]&gt;0.05, "Some evidence", IF(AllData[[#This Row],[Phosphate (PPM)]]&lt;=0.05, "No Evidence", ""))))</f>
        <v>Very high</v>
      </c>
      <c r="U240">
        <v>0</v>
      </c>
    </row>
    <row r="241" spans="1:22" x14ac:dyDescent="0.25">
      <c r="A241" t="s">
        <v>400</v>
      </c>
      <c r="B241" s="2">
        <v>45263</v>
      </c>
      <c r="C241" s="2" t="str" cm="1">
        <f t="array" ref="C2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1">
        <f>YEAR(AllData[[#This Row],[Date]])</f>
        <v>2023</v>
      </c>
      <c r="E241" s="1">
        <v>0.54166666666666663</v>
      </c>
      <c r="F241" s="2" t="str">
        <f>IF(AND(AllData[[#This Row],[Time]]&lt;0.5, AllData[[#This Row],[Time]]&gt;0.17)=TRUE, "Morning", IF(AND(AllData[[#This Row],[Time]]&lt;0.75, AllData[[#This Row],[Time]]&gt;=0.5)=TRUE, "Afternoon", IF(AND(AllData[[#This Row],[Time]]&lt;1, AllData[[#This Row],[Time]]&gt;=0.75)=TRUE, "Evening", "Night")))</f>
        <v>Afternoon</v>
      </c>
      <c r="G241" t="str">
        <f>_xlfn.XLOOKUP(AllData[[#This Row],[Location Name]], Locations[Location Name],Locations[Group As])</f>
        <v>Hampton Lucy</v>
      </c>
      <c r="H241" t="e" vm="2">
        <f>_xlfn.XLOOKUP(AllData[[#This Row],[Site Name]],LocationsKey[Site Name],LocationsKey[District])</f>
        <v>#VALUE!</v>
      </c>
      <c r="I241" t="e" vm="4">
        <f>_xlfn.XLOOKUP(AllData[[#This Row],[Site Name]],LocationsKey[Site Name],LocationsKey[Town])</f>
        <v>#VALUE!</v>
      </c>
      <c r="J241" t="str">
        <f>_xlfn.XLOOKUP(AllData[[#This Row],[Site Name]],LocationsKey[Site Name], LocationsKey[Waterway])</f>
        <v>Avon</v>
      </c>
      <c r="K241" t="s">
        <v>37</v>
      </c>
      <c r="L241">
        <v>52.211680000000001</v>
      </c>
      <c r="M241">
        <v>-1.6244400000000001</v>
      </c>
      <c r="N241" t="s">
        <v>23</v>
      </c>
      <c r="O241" s="219">
        <v>870</v>
      </c>
      <c r="P241">
        <v>6.3</v>
      </c>
      <c r="Q241" s="219">
        <v>13</v>
      </c>
      <c r="R241" s="7" t="str">
        <f>IF(AllData[[#This Row],[Nitrate (PPM)]]&gt;2, "Very high", IF(AllData[[#This Row],[Nitrate (PPM)]]&gt;1, "High", IF(AllData[[#This Row],[Nitrate (PPM)]]&gt;0.5, "Some evidence", IF(AllData[[#This Row],[Nitrate (PPM)]]&gt;=0, "No evidence"))))</f>
        <v>Very high</v>
      </c>
      <c r="S241" s="221">
        <v>0.67</v>
      </c>
      <c r="T241" s="7" t="str">
        <f>IF(AllData[[#This Row],[Phosphate (PPM)]]&gt;0.5, "Very high", IF(AllData[[#This Row],[Phosphate (PPM)]]&gt;0.1, "High", IF(AllData[[#This Row],[Phosphate (PPM)]]&gt;0.05, "Some evidence", IF(AllData[[#This Row],[Phosphate (PPM)]]&lt;=0.05, "No Evidence", ""))))</f>
        <v>Very high</v>
      </c>
      <c r="U241">
        <v>0</v>
      </c>
    </row>
    <row r="242" spans="1:22" x14ac:dyDescent="0.25">
      <c r="A242" t="s">
        <v>401</v>
      </c>
      <c r="B242" s="2">
        <v>45263</v>
      </c>
      <c r="C242" s="2" t="str" cm="1">
        <f t="array" ref="C2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2">
        <f>YEAR(AllData[[#This Row],[Date]])</f>
        <v>2023</v>
      </c>
      <c r="E242" s="1">
        <v>0.58333333333333337</v>
      </c>
      <c r="F242" s="2" t="str">
        <f>IF(AND(AllData[[#This Row],[Time]]&lt;0.5, AllData[[#This Row],[Time]]&gt;0.17)=TRUE, "Morning", IF(AND(AllData[[#This Row],[Time]]&lt;0.75, AllData[[#This Row],[Time]]&gt;=0.5)=TRUE, "Afternoon", IF(AND(AllData[[#This Row],[Time]]&lt;1, AllData[[#This Row],[Time]]&gt;=0.75)=TRUE, "Evening", "Night")))</f>
        <v>Afternoon</v>
      </c>
      <c r="G242" t="str">
        <f>_xlfn.XLOOKUP(AllData[[#This Row],[Location Name]], Locations[Location Name],Locations[Group As])</f>
        <v>Clifford Chambers Mill Bridge</v>
      </c>
      <c r="H242" t="e" vm="2">
        <f>_xlfn.XLOOKUP(AllData[[#This Row],[Site Name]],LocationsKey[Site Name],LocationsKey[District])</f>
        <v>#VALUE!</v>
      </c>
      <c r="I242" t="e" vm="12">
        <f>_xlfn.XLOOKUP(AllData[[#This Row],[Site Name]],LocationsKey[Site Name],LocationsKey[Town])</f>
        <v>#VALUE!</v>
      </c>
      <c r="J242" t="str">
        <f>_xlfn.XLOOKUP(AllData[[#This Row],[Site Name]],LocationsKey[Site Name], LocationsKey[Waterway])</f>
        <v>Stour</v>
      </c>
      <c r="K242" t="s">
        <v>263</v>
      </c>
      <c r="L242">
        <v>52.166370000000001</v>
      </c>
      <c r="M242">
        <v>-1.708032</v>
      </c>
      <c r="N242" t="s">
        <v>66</v>
      </c>
      <c r="O242" s="219">
        <v>711</v>
      </c>
      <c r="P242">
        <v>4.7</v>
      </c>
      <c r="Q242" s="219">
        <v>9</v>
      </c>
      <c r="R242" s="7" t="str">
        <f>IF(AllData[[#This Row],[Nitrate (PPM)]]&gt;2, "Very high", IF(AllData[[#This Row],[Nitrate (PPM)]]&gt;1, "High", IF(AllData[[#This Row],[Nitrate (PPM)]]&gt;0.5, "Some evidence", IF(AllData[[#This Row],[Nitrate (PPM)]]&gt;=0, "No evidence"))))</f>
        <v>Very high</v>
      </c>
      <c r="S242" s="221">
        <v>0.26</v>
      </c>
      <c r="T242" s="7" t="str">
        <f>IF(AllData[[#This Row],[Phosphate (PPM)]]&gt;0.5, "Very high", IF(AllData[[#This Row],[Phosphate (PPM)]]&gt;0.1, "High", IF(AllData[[#This Row],[Phosphate (PPM)]]&gt;0.05, "Some evidence", IF(AllData[[#This Row],[Phosphate (PPM)]]&lt;=0.05, "No Evidence", ""))))</f>
        <v>High</v>
      </c>
      <c r="U242">
        <v>0.8</v>
      </c>
    </row>
    <row r="243" spans="1:22" x14ac:dyDescent="0.25">
      <c r="A243" t="s">
        <v>402</v>
      </c>
      <c r="B243" s="2">
        <v>45263</v>
      </c>
      <c r="C243" s="2" t="str" cm="1">
        <f t="array" ref="C2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3">
        <f>YEAR(AllData[[#This Row],[Date]])</f>
        <v>2023</v>
      </c>
      <c r="E243" s="1">
        <v>0.65625</v>
      </c>
      <c r="F243" s="2" t="str">
        <f>IF(AND(AllData[[#This Row],[Time]]&lt;0.5, AllData[[#This Row],[Time]]&gt;0.17)=TRUE, "Morning", IF(AND(AllData[[#This Row],[Time]]&lt;0.75, AllData[[#This Row],[Time]]&gt;=0.5)=TRUE, "Afternoon", IF(AND(AllData[[#This Row],[Time]]&lt;1, AllData[[#This Row],[Time]]&gt;=0.75)=TRUE, "Evening", "Night")))</f>
        <v>Afternoon</v>
      </c>
      <c r="G243" t="str">
        <f>_xlfn.XLOOKUP(AllData[[#This Row],[Location Name]], Locations[Location Name],Locations[Group As])</f>
        <v>Welford Boat Station</v>
      </c>
      <c r="H243" t="e" vm="2">
        <f>_xlfn.XLOOKUP(AllData[[#This Row],[Site Name]],LocationsKey[Site Name],LocationsKey[District])</f>
        <v>#VALUE!</v>
      </c>
      <c r="I243" t="e" vm="5">
        <f>_xlfn.XLOOKUP(AllData[[#This Row],[Site Name]],LocationsKey[Site Name],LocationsKey[Town])</f>
        <v>#VALUE!</v>
      </c>
      <c r="J243" t="str">
        <f>_xlfn.XLOOKUP(AllData[[#This Row],[Site Name]],LocationsKey[Site Name], LocationsKey[Waterway])</f>
        <v>Avon</v>
      </c>
      <c r="K243" t="s">
        <v>39</v>
      </c>
      <c r="L243">
        <v>52.175240000000002</v>
      </c>
      <c r="M243">
        <v>-1.7918700000000001</v>
      </c>
      <c r="N243" t="s">
        <v>29</v>
      </c>
      <c r="O243">
        <v>888</v>
      </c>
      <c r="P243">
        <v>5.8</v>
      </c>
      <c r="Q243">
        <v>20</v>
      </c>
      <c r="R243" s="7" t="str">
        <f>IF(AllData[[#This Row],[Nitrate (PPM)]]&gt;2, "Very high", IF(AllData[[#This Row],[Nitrate (PPM)]]&gt;1, "High", IF(AllData[[#This Row],[Nitrate (PPM)]]&gt;0.5, "Some evidence", IF(AllData[[#This Row],[Nitrate (PPM)]]&gt;=0, "No evidence"))))</f>
        <v>Very high</v>
      </c>
      <c r="S243" s="4">
        <v>0.34</v>
      </c>
      <c r="T243" s="7" t="str">
        <f>IF(AllData[[#This Row],[Phosphate (PPM)]]&gt;0.5, "Very high", IF(AllData[[#This Row],[Phosphate (PPM)]]&gt;0.1, "High", IF(AllData[[#This Row],[Phosphate (PPM)]]&gt;0.05, "Some evidence", IF(AllData[[#This Row],[Phosphate (PPM)]]&lt;=0.05, "No Evidence", ""))))</f>
        <v>High</v>
      </c>
      <c r="U243">
        <v>0</v>
      </c>
      <c r="V243" t="s">
        <v>403</v>
      </c>
    </row>
    <row r="244" spans="1:22" x14ac:dyDescent="0.25">
      <c r="A244" t="s">
        <v>404</v>
      </c>
      <c r="B244" s="2">
        <v>45264</v>
      </c>
      <c r="C244" s="2" t="str" cm="1">
        <f t="array" ref="C2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4">
        <f>YEAR(AllData[[#This Row],[Date]])</f>
        <v>2023</v>
      </c>
      <c r="E244" s="1">
        <v>0.38958333333333334</v>
      </c>
      <c r="F244" s="2" t="str">
        <f>IF(AND(AllData[[#This Row],[Time]]&lt;0.5, AllData[[#This Row],[Time]]&gt;0.17)=TRUE, "Morning", IF(AND(AllData[[#This Row],[Time]]&lt;0.75, AllData[[#This Row],[Time]]&gt;=0.5)=TRUE, "Afternoon", IF(AND(AllData[[#This Row],[Time]]&lt;1, AllData[[#This Row],[Time]]&gt;=0.75)=TRUE, "Evening", "Night")))</f>
        <v>Morning</v>
      </c>
      <c r="G244" t="str">
        <f>_xlfn.XLOOKUP(AllData[[#This Row],[Location Name]], Locations[Location Name],Locations[Group As])</f>
        <v>Stour Stretton-on-Fosse Village</v>
      </c>
      <c r="H244" t="e" vm="2">
        <f>_xlfn.XLOOKUP(AllData[[#This Row],[Site Name]],LocationsKey[Site Name],LocationsKey[District])</f>
        <v>#VALUE!</v>
      </c>
      <c r="I244" t="e" vm="14">
        <f>_xlfn.XLOOKUP(AllData[[#This Row],[Site Name]],LocationsKey[Site Name],LocationsKey[Town])</f>
        <v>#VALUE!</v>
      </c>
      <c r="J244" t="str">
        <f>_xlfn.XLOOKUP(AllData[[#This Row],[Site Name]],LocationsKey[Site Name], LocationsKey[Waterway])</f>
        <v>Stour</v>
      </c>
      <c r="K244" t="s">
        <v>383</v>
      </c>
      <c r="L244">
        <v>52.046492999999998</v>
      </c>
      <c r="M244">
        <v>-1.6733830000000001</v>
      </c>
      <c r="N244" t="s">
        <v>66</v>
      </c>
      <c r="O244">
        <v>319</v>
      </c>
      <c r="P244">
        <v>7.1</v>
      </c>
      <c r="Q244">
        <v>2</v>
      </c>
      <c r="R244" s="7" t="str">
        <f>IF(AllData[[#This Row],[Nitrate (PPM)]]&gt;2, "Very high", IF(AllData[[#This Row],[Nitrate (PPM)]]&gt;1, "High", IF(AllData[[#This Row],[Nitrate (PPM)]]&gt;0.5, "Some evidence", IF(AllData[[#This Row],[Nitrate (PPM)]]&gt;=0, "No evidence"))))</f>
        <v>High</v>
      </c>
      <c r="S244" s="4">
        <v>0.62</v>
      </c>
      <c r="T244" s="7" t="str">
        <f>IF(AllData[[#This Row],[Phosphate (PPM)]]&gt;0.5, "Very high", IF(AllData[[#This Row],[Phosphate (PPM)]]&gt;0.1, "High", IF(AllData[[#This Row],[Phosphate (PPM)]]&gt;0.05, "Some evidence", IF(AllData[[#This Row],[Phosphate (PPM)]]&lt;=0.05, "No Evidence", ""))))</f>
        <v>Very high</v>
      </c>
      <c r="U244">
        <v>0.35</v>
      </c>
    </row>
    <row r="245" spans="1:22" x14ac:dyDescent="0.25">
      <c r="A245" t="s">
        <v>405</v>
      </c>
      <c r="B245" s="2">
        <v>45264</v>
      </c>
      <c r="C245" s="2" t="str" cm="1">
        <f t="array" ref="C2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5">
        <f>YEAR(AllData[[#This Row],[Date]])</f>
        <v>2023</v>
      </c>
      <c r="E245" s="1">
        <v>0.40138888888888891</v>
      </c>
      <c r="F245" s="2" t="str">
        <f>IF(AND(AllData[[#This Row],[Time]]&lt;0.5, AllData[[#This Row],[Time]]&gt;0.17)=TRUE, "Morning", IF(AND(AllData[[#This Row],[Time]]&lt;0.75, AllData[[#This Row],[Time]]&gt;=0.5)=TRUE, "Afternoon", IF(AND(AllData[[#This Row],[Time]]&lt;1, AllData[[#This Row],[Time]]&gt;=0.75)=TRUE, "Evening", "Night")))</f>
        <v>Morning</v>
      </c>
      <c r="G245" t="str">
        <f>_xlfn.XLOOKUP(AllData[[#This Row],[Location Name]], Locations[Location Name],Locations[Group As])</f>
        <v>Stour Stretton-on-Fosse Sewage Works</v>
      </c>
      <c r="H245" t="e" vm="2">
        <f>_xlfn.XLOOKUP(AllData[[#This Row],[Site Name]],LocationsKey[Site Name],LocationsKey[District])</f>
        <v>#VALUE!</v>
      </c>
      <c r="I245" t="e" vm="14">
        <f>_xlfn.XLOOKUP(AllData[[#This Row],[Site Name]],LocationsKey[Site Name],LocationsKey[Town])</f>
        <v>#VALUE!</v>
      </c>
      <c r="J245" t="str">
        <f>_xlfn.XLOOKUP(AllData[[#This Row],[Site Name]],LocationsKey[Site Name], LocationsKey[Waterway])</f>
        <v>Stour</v>
      </c>
      <c r="K245" t="s">
        <v>335</v>
      </c>
      <c r="L245">
        <v>52.045656999999999</v>
      </c>
      <c r="M245">
        <v>-1.671899</v>
      </c>
      <c r="N245" t="s">
        <v>29</v>
      </c>
      <c r="O245">
        <v>298</v>
      </c>
      <c r="P245">
        <v>7</v>
      </c>
      <c r="Q245">
        <v>2</v>
      </c>
      <c r="R245" s="7" t="str">
        <f>IF(AllData[[#This Row],[Nitrate (PPM)]]&gt;2, "Very high", IF(AllData[[#This Row],[Nitrate (PPM)]]&gt;1, "High", IF(AllData[[#This Row],[Nitrate (PPM)]]&gt;0.5, "Some evidence", IF(AllData[[#This Row],[Nitrate (PPM)]]&gt;=0, "No evidence"))))</f>
        <v>High</v>
      </c>
      <c r="S245" s="4">
        <v>0.21</v>
      </c>
      <c r="T245" s="7" t="str">
        <f>IF(AllData[[#This Row],[Phosphate (PPM)]]&gt;0.5, "Very high", IF(AllData[[#This Row],[Phosphate (PPM)]]&gt;0.1, "High", IF(AllData[[#This Row],[Phosphate (PPM)]]&gt;0.05, "Some evidence", IF(AllData[[#This Row],[Phosphate (PPM)]]&lt;=0.05, "No Evidence", ""))))</f>
        <v>High</v>
      </c>
      <c r="U245">
        <v>0.6</v>
      </c>
    </row>
    <row r="246" spans="1:22" x14ac:dyDescent="0.25">
      <c r="A246" t="s">
        <v>406</v>
      </c>
      <c r="B246" s="2">
        <v>45266</v>
      </c>
      <c r="C246" s="2" t="str" cm="1">
        <f t="array" ref="C2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6">
        <f>YEAR(AllData[[#This Row],[Date]])</f>
        <v>2023</v>
      </c>
      <c r="E246" s="1">
        <v>0.50138888888888888</v>
      </c>
      <c r="F246" s="2" t="str">
        <f>IF(AND(AllData[[#This Row],[Time]]&lt;0.5, AllData[[#This Row],[Time]]&gt;0.17)=TRUE, "Morning", IF(AND(AllData[[#This Row],[Time]]&lt;0.75, AllData[[#This Row],[Time]]&gt;=0.5)=TRUE, "Afternoon", IF(AND(AllData[[#This Row],[Time]]&lt;1, AllData[[#This Row],[Time]]&gt;=0.75)=TRUE, "Evening", "Night")))</f>
        <v>Afternoon</v>
      </c>
      <c r="G246" t="str">
        <f>_xlfn.XLOOKUP(AllData[[#This Row],[Location Name]], Locations[Location Name],Locations[Group As])</f>
        <v>Alveston Weir</v>
      </c>
      <c r="H246" t="e" vm="2">
        <f>_xlfn.XLOOKUP(AllData[[#This Row],[Site Name]],LocationsKey[Site Name],LocationsKey[District])</f>
        <v>#VALUE!</v>
      </c>
      <c r="I246" t="e" vm="13">
        <f>_xlfn.XLOOKUP(AllData[[#This Row],[Site Name]],LocationsKey[Site Name],LocationsKey[Town])</f>
        <v>#VALUE!</v>
      </c>
      <c r="J246" t="str">
        <f>_xlfn.XLOOKUP(AllData[[#This Row],[Site Name]],LocationsKey[Site Name], LocationsKey[Waterway])</f>
        <v>Avon</v>
      </c>
      <c r="K246" t="s">
        <v>286</v>
      </c>
      <c r="L246">
        <v>52.212288999999998</v>
      </c>
      <c r="M246">
        <v>-1.660452</v>
      </c>
      <c r="N246" t="s">
        <v>29</v>
      </c>
      <c r="O246">
        <v>46.6</v>
      </c>
      <c r="P246">
        <v>6.4</v>
      </c>
      <c r="Q246">
        <v>2</v>
      </c>
      <c r="R246" s="7" t="str">
        <f>IF(AllData[[#This Row],[Nitrate (PPM)]]&gt;2, "Very high", IF(AllData[[#This Row],[Nitrate (PPM)]]&gt;1, "High", IF(AllData[[#This Row],[Nitrate (PPM)]]&gt;0.5, "Some evidence", IF(AllData[[#This Row],[Nitrate (PPM)]]&gt;=0, "No evidence"))))</f>
        <v>High</v>
      </c>
      <c r="S246" s="4">
        <v>0.62</v>
      </c>
      <c r="T246" s="7" t="str">
        <f>IF(AllData[[#This Row],[Phosphate (PPM)]]&gt;0.5, "Very high", IF(AllData[[#This Row],[Phosphate (PPM)]]&gt;0.1, "High", IF(AllData[[#This Row],[Phosphate (PPM)]]&gt;0.05, "Some evidence", IF(AllData[[#This Row],[Phosphate (PPM)]]&lt;=0.05, "No Evidence", ""))))</f>
        <v>Very high</v>
      </c>
      <c r="U246">
        <v>2</v>
      </c>
      <c r="V246" t="s">
        <v>407</v>
      </c>
    </row>
    <row r="247" spans="1:22" x14ac:dyDescent="0.25">
      <c r="A247" t="s">
        <v>408</v>
      </c>
      <c r="B247" s="2">
        <v>45266</v>
      </c>
      <c r="C247" s="2" t="str" cm="1">
        <f t="array" ref="C2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7">
        <f>YEAR(AllData[[#This Row],[Date]])</f>
        <v>2023</v>
      </c>
      <c r="E247" s="1">
        <v>0.59583333333333333</v>
      </c>
      <c r="F247" s="2" t="str">
        <f>IF(AND(AllData[[#This Row],[Time]]&lt;0.5, AllData[[#This Row],[Time]]&gt;0.17)=TRUE, "Morning", IF(AND(AllData[[#This Row],[Time]]&lt;0.75, AllData[[#This Row],[Time]]&gt;=0.5)=TRUE, "Afternoon", IF(AND(AllData[[#This Row],[Time]]&lt;1, AllData[[#This Row],[Time]]&gt;=0.75)=TRUE, "Evening", "Night")))</f>
        <v>Afternoon</v>
      </c>
      <c r="G247" t="str">
        <f>_xlfn.XLOOKUP(AllData[[#This Row],[Location Name]], Locations[Location Name],Locations[Group As])</f>
        <v>Swiffen Bank</v>
      </c>
      <c r="H247" t="e" vm="2">
        <f>_xlfn.XLOOKUP(AllData[[#This Row],[Site Name]],LocationsKey[Site Name],LocationsKey[District])</f>
        <v>#VALUE!</v>
      </c>
      <c r="I247" t="e" vm="13">
        <f>_xlfn.XLOOKUP(AllData[[#This Row],[Site Name]],LocationsKey[Site Name],LocationsKey[Town])</f>
        <v>#VALUE!</v>
      </c>
      <c r="J247" t="str">
        <f>_xlfn.XLOOKUP(AllData[[#This Row],[Site Name]],LocationsKey[Site Name], LocationsKey[Waterway])</f>
        <v>Avon</v>
      </c>
      <c r="K247" t="s">
        <v>284</v>
      </c>
      <c r="L247">
        <v>52.206339</v>
      </c>
      <c r="M247">
        <v>-1.6550020000000001</v>
      </c>
      <c r="N247" t="s">
        <v>29</v>
      </c>
      <c r="O247" s="219">
        <v>47.5</v>
      </c>
      <c r="P247">
        <v>6.1</v>
      </c>
      <c r="Q247" s="219">
        <v>2</v>
      </c>
      <c r="R247" s="7" t="str">
        <f>IF(AllData[[#This Row],[Nitrate (PPM)]]&gt;2, "Very high", IF(AllData[[#This Row],[Nitrate (PPM)]]&gt;1, "High", IF(AllData[[#This Row],[Nitrate (PPM)]]&gt;0.5, "Some evidence", IF(AllData[[#This Row],[Nitrate (PPM)]]&gt;=0, "No evidence"))))</f>
        <v>High</v>
      </c>
      <c r="S247" s="221">
        <v>0.71</v>
      </c>
      <c r="T247" s="7" t="str">
        <f>IF(AllData[[#This Row],[Phosphate (PPM)]]&gt;0.5, "Very high", IF(AllData[[#This Row],[Phosphate (PPM)]]&gt;0.1, "High", IF(AllData[[#This Row],[Phosphate (PPM)]]&gt;0.05, "Some evidence", IF(AllData[[#This Row],[Phosphate (PPM)]]&lt;=0.05, "No Evidence", ""))))</f>
        <v>Very high</v>
      </c>
      <c r="U247">
        <v>1</v>
      </c>
      <c r="V247" t="s">
        <v>409</v>
      </c>
    </row>
    <row r="248" spans="1:22" x14ac:dyDescent="0.25">
      <c r="A248" t="s">
        <v>410</v>
      </c>
      <c r="B248" s="2">
        <v>45266</v>
      </c>
      <c r="C248" s="2" t="str" cm="1">
        <f t="array" ref="C2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8">
        <f>YEAR(AllData[[#This Row],[Date]])</f>
        <v>2023</v>
      </c>
      <c r="E248" s="1">
        <v>0.66666666666666663</v>
      </c>
      <c r="F248" s="2" t="str">
        <f>IF(AND(AllData[[#This Row],[Time]]&lt;0.5, AllData[[#This Row],[Time]]&gt;0.17)=TRUE, "Morning", IF(AND(AllData[[#This Row],[Time]]&lt;0.75, AllData[[#This Row],[Time]]&gt;=0.5)=TRUE, "Afternoon", IF(AND(AllData[[#This Row],[Time]]&lt;1, AllData[[#This Row],[Time]]&gt;=0.75)=TRUE, "Evening", "Night")))</f>
        <v>Afternoon</v>
      </c>
      <c r="G248" t="str">
        <f>_xlfn.XLOOKUP(AllData[[#This Row],[Location Name]], Locations[Location Name],Locations[Group As])</f>
        <v>Stour Newbold Mill</v>
      </c>
      <c r="H248" t="e" vm="2">
        <f>_xlfn.XLOOKUP(AllData[[#This Row],[Site Name]],LocationsKey[Site Name],LocationsKey[District])</f>
        <v>#VALUE!</v>
      </c>
      <c r="I248" t="e" vm="8">
        <f>_xlfn.XLOOKUP(AllData[[#This Row],[Site Name]],LocationsKey[Site Name],LocationsKey[Town])</f>
        <v>#VALUE!</v>
      </c>
      <c r="J248" t="str">
        <f>_xlfn.XLOOKUP(AllData[[#This Row],[Site Name]],LocationsKey[Site Name], LocationsKey[Waterway])</f>
        <v>Stour</v>
      </c>
      <c r="K248" t="s">
        <v>140</v>
      </c>
      <c r="L248">
        <v>52.112848</v>
      </c>
      <c r="M248">
        <v>-1.633432</v>
      </c>
      <c r="N248" t="s">
        <v>66</v>
      </c>
      <c r="O248">
        <v>537</v>
      </c>
      <c r="P248">
        <v>8.4</v>
      </c>
      <c r="Q248">
        <v>5</v>
      </c>
      <c r="R248" s="7" t="str">
        <f>IF(AllData[[#This Row],[Nitrate (PPM)]]&gt;2, "Very high", IF(AllData[[#This Row],[Nitrate (PPM)]]&gt;1, "High", IF(AllData[[#This Row],[Nitrate (PPM)]]&gt;0.5, "Some evidence", IF(AllData[[#This Row],[Nitrate (PPM)]]&gt;=0, "No evidence"))))</f>
        <v>Very high</v>
      </c>
      <c r="S248" s="4">
        <v>0.12</v>
      </c>
      <c r="T248" s="7" t="str">
        <f>IF(AllData[[#This Row],[Phosphate (PPM)]]&gt;0.5, "Very high", IF(AllData[[#This Row],[Phosphate (PPM)]]&gt;0.1, "High", IF(AllData[[#This Row],[Phosphate (PPM)]]&gt;0.05, "Some evidence", IF(AllData[[#This Row],[Phosphate (PPM)]]&lt;=0.05, "No Evidence", ""))))</f>
        <v>High</v>
      </c>
      <c r="U248">
        <v>3</v>
      </c>
      <c r="V248" t="s">
        <v>411</v>
      </c>
    </row>
    <row r="249" spans="1:22" x14ac:dyDescent="0.25">
      <c r="A249" t="s">
        <v>412</v>
      </c>
      <c r="B249" s="2">
        <v>45268</v>
      </c>
      <c r="C249" s="2" t="str" cm="1">
        <f t="array" ref="C2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49">
        <f>YEAR(AllData[[#This Row],[Date]])</f>
        <v>2023</v>
      </c>
      <c r="E249" s="1">
        <v>0.4375</v>
      </c>
      <c r="F249" s="2" t="str">
        <f>IF(AND(AllData[[#This Row],[Time]]&lt;0.5, AllData[[#This Row],[Time]]&gt;0.17)=TRUE, "Morning", IF(AND(AllData[[#This Row],[Time]]&lt;0.75, AllData[[#This Row],[Time]]&gt;=0.5)=TRUE, "Afternoon", IF(AND(AllData[[#This Row],[Time]]&lt;1, AllData[[#This Row],[Time]]&gt;=0.75)=TRUE, "Evening", "Night")))</f>
        <v>Morning</v>
      </c>
      <c r="G249" t="str">
        <f>_xlfn.XLOOKUP(AllData[[#This Row],[Location Name]], Locations[Location Name],Locations[Group As])</f>
        <v>Swilgate</v>
      </c>
      <c r="H249" t="e" vm="1">
        <f>_xlfn.XLOOKUP(AllData[[#This Row],[Site Name]],LocationsKey[Site Name],LocationsKey[District])</f>
        <v>#VALUE!</v>
      </c>
      <c r="I249" t="e" vm="1">
        <f>_xlfn.XLOOKUP(AllData[[#This Row],[Site Name]],LocationsKey[Site Name],LocationsKey[Town])</f>
        <v>#VALUE!</v>
      </c>
      <c r="J249" t="str">
        <f>_xlfn.XLOOKUP(AllData[[#This Row],[Site Name]],LocationsKey[Site Name], LocationsKey[Waterway])</f>
        <v>Swilgate</v>
      </c>
      <c r="K249" t="s">
        <v>413</v>
      </c>
      <c r="N249" t="s">
        <v>23</v>
      </c>
      <c r="O249">
        <v>769</v>
      </c>
      <c r="P249">
        <v>8</v>
      </c>
      <c r="Q249">
        <v>4</v>
      </c>
      <c r="R249" s="7" t="str">
        <f>IF(AllData[[#This Row],[Nitrate (PPM)]]&gt;2, "Very high", IF(AllData[[#This Row],[Nitrate (PPM)]]&gt;1, "High", IF(AllData[[#This Row],[Nitrate (PPM)]]&gt;0.5, "Some evidence", IF(AllData[[#This Row],[Nitrate (PPM)]]&gt;=0, "No evidence"))))</f>
        <v>Very high</v>
      </c>
      <c r="S249" s="4">
        <v>0.45</v>
      </c>
      <c r="T249" s="7" t="str">
        <f>IF(AllData[[#This Row],[Phosphate (PPM)]]&gt;0.5, "Very high", IF(AllData[[#This Row],[Phosphate (PPM)]]&gt;0.1, "High", IF(AllData[[#This Row],[Phosphate (PPM)]]&gt;0.05, "Some evidence", IF(AllData[[#This Row],[Phosphate (PPM)]]&lt;=0.05, "No Evidence", ""))))</f>
        <v>High</v>
      </c>
      <c r="U249">
        <v>2</v>
      </c>
      <c r="V249" t="s">
        <v>414</v>
      </c>
    </row>
    <row r="250" spans="1:22" x14ac:dyDescent="0.25">
      <c r="A250" t="s">
        <v>415</v>
      </c>
      <c r="B250" s="2">
        <v>45269</v>
      </c>
      <c r="C250" s="2" t="str" cm="1">
        <f t="array" ref="C2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0">
        <f>YEAR(AllData[[#This Row],[Date]])</f>
        <v>2023</v>
      </c>
      <c r="E250" s="1">
        <v>0.46527777777777779</v>
      </c>
      <c r="F250" s="2" t="str">
        <f>IF(AND(AllData[[#This Row],[Time]]&lt;0.5, AllData[[#This Row],[Time]]&gt;0.17)=TRUE, "Morning", IF(AND(AllData[[#This Row],[Time]]&lt;0.75, AllData[[#This Row],[Time]]&gt;=0.5)=TRUE, "Afternoon", IF(AND(AllData[[#This Row],[Time]]&lt;1, AllData[[#This Row],[Time]]&gt;=0.75)=TRUE, "Evening", "Night")))</f>
        <v>Morning</v>
      </c>
      <c r="G250" t="str">
        <f>_xlfn.XLOOKUP(AllData[[#This Row],[Location Name]], Locations[Location Name],Locations[Group As])</f>
        <v>Pitch 16</v>
      </c>
      <c r="H250" t="e" vm="2">
        <f>_xlfn.XLOOKUP(AllData[[#This Row],[Site Name]],LocationsKey[Site Name],LocationsKey[District])</f>
        <v>#VALUE!</v>
      </c>
      <c r="I250" t="e" vm="7">
        <f>_xlfn.XLOOKUP(AllData[[#This Row],[Site Name]],LocationsKey[Site Name],LocationsKey[Town])</f>
        <v>#VALUE!</v>
      </c>
      <c r="J250" t="str">
        <f>_xlfn.XLOOKUP(AllData[[#This Row],[Site Name]],LocationsKey[Site Name], LocationsKey[Waterway])</f>
        <v>Avon</v>
      </c>
      <c r="K250" t="s">
        <v>69</v>
      </c>
      <c r="L250">
        <v>52.172606999999999</v>
      </c>
      <c r="M250">
        <v>-1.745406</v>
      </c>
      <c r="N250" t="s">
        <v>29</v>
      </c>
      <c r="O250">
        <v>605</v>
      </c>
      <c r="P250">
        <v>10.3</v>
      </c>
      <c r="Q250">
        <v>5</v>
      </c>
      <c r="R250" s="7" t="str">
        <f>IF(AllData[[#This Row],[Nitrate (PPM)]]&gt;2, "Very high", IF(AllData[[#This Row],[Nitrate (PPM)]]&gt;1, "High", IF(AllData[[#This Row],[Nitrate (PPM)]]&gt;0.5, "Some evidence", IF(AllData[[#This Row],[Nitrate (PPM)]]&gt;=0, "No evidence"))))</f>
        <v>Very high</v>
      </c>
      <c r="S250" s="4">
        <v>0.57999999999999996</v>
      </c>
      <c r="T250" s="7" t="str">
        <f>IF(AllData[[#This Row],[Phosphate (PPM)]]&gt;0.5, "Very high", IF(AllData[[#This Row],[Phosphate (PPM)]]&gt;0.1, "High", IF(AllData[[#This Row],[Phosphate (PPM)]]&gt;0.05, "Some evidence", IF(AllData[[#This Row],[Phosphate (PPM)]]&lt;=0.05, "No Evidence", ""))))</f>
        <v>Very high</v>
      </c>
      <c r="U250">
        <v>1.2</v>
      </c>
      <c r="V250" t="s">
        <v>416</v>
      </c>
    </row>
    <row r="251" spans="1:22" x14ac:dyDescent="0.25">
      <c r="A251" t="s">
        <v>417</v>
      </c>
      <c r="B251" s="2">
        <v>45269</v>
      </c>
      <c r="C251" s="2" t="str" cm="1">
        <f t="array" ref="C2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1">
        <f>YEAR(AllData[[#This Row],[Date]])</f>
        <v>2023</v>
      </c>
      <c r="E251" s="1">
        <v>0.48472222222222222</v>
      </c>
      <c r="F251" s="2" t="str">
        <f>IF(AND(AllData[[#This Row],[Time]]&lt;0.5, AllData[[#This Row],[Time]]&gt;0.17)=TRUE, "Morning", IF(AND(AllData[[#This Row],[Time]]&lt;0.75, AllData[[#This Row],[Time]]&gt;=0.5)=TRUE, "Afternoon", IF(AND(AllData[[#This Row],[Time]]&lt;1, AllData[[#This Row],[Time]]&gt;=0.75)=TRUE, "Evening", "Night")))</f>
        <v>Morning</v>
      </c>
      <c r="G251" t="str">
        <f>_xlfn.XLOOKUP(AllData[[#This Row],[Location Name]], Locations[Location Name],Locations[Group As])</f>
        <v>Avonbank Drive</v>
      </c>
      <c r="H251" t="e" vm="2">
        <f>_xlfn.XLOOKUP(AllData[[#This Row],[Site Name]],LocationsKey[Site Name],LocationsKey[District])</f>
        <v>#VALUE!</v>
      </c>
      <c r="I251" t="e" vm="7">
        <f>_xlfn.XLOOKUP(AllData[[#This Row],[Site Name]],LocationsKey[Site Name],LocationsKey[Town])</f>
        <v>#VALUE!</v>
      </c>
      <c r="J251" t="str">
        <f>_xlfn.XLOOKUP(AllData[[#This Row],[Site Name]],LocationsKey[Site Name], LocationsKey[Waterway])</f>
        <v>Avon</v>
      </c>
      <c r="K251" t="s">
        <v>65</v>
      </c>
      <c r="L251">
        <v>52.177146</v>
      </c>
      <c r="M251">
        <v>-1.735806</v>
      </c>
      <c r="N251" t="s">
        <v>66</v>
      </c>
      <c r="O251">
        <v>615</v>
      </c>
      <c r="P251">
        <v>9.3000000000000007</v>
      </c>
      <c r="Q251">
        <v>5</v>
      </c>
      <c r="R251" s="7" t="str">
        <f>IF(AllData[[#This Row],[Nitrate (PPM)]]&gt;2, "Very high", IF(AllData[[#This Row],[Nitrate (PPM)]]&gt;1, "High", IF(AllData[[#This Row],[Nitrate (PPM)]]&gt;0.5, "Some evidence", IF(AllData[[#This Row],[Nitrate (PPM)]]&gt;=0, "No evidence"))))</f>
        <v>Very high</v>
      </c>
      <c r="S251" s="4">
        <v>0.65</v>
      </c>
      <c r="T251" s="7" t="str">
        <f>IF(AllData[[#This Row],[Phosphate (PPM)]]&gt;0.5, "Very high", IF(AllData[[#This Row],[Phosphate (PPM)]]&gt;0.1, "High", IF(AllData[[#This Row],[Phosphate (PPM)]]&gt;0.05, "Some evidence", IF(AllData[[#This Row],[Phosphate (PPM)]]&lt;=0.05, "No Evidence", ""))))</f>
        <v>Very high</v>
      </c>
      <c r="U251">
        <v>1.2</v>
      </c>
    </row>
    <row r="252" spans="1:22" x14ac:dyDescent="0.25">
      <c r="A252" t="s">
        <v>418</v>
      </c>
      <c r="B252" s="2">
        <v>45269</v>
      </c>
      <c r="C252" s="2" t="str" cm="1">
        <f t="array" ref="C2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2">
        <f>YEAR(AllData[[#This Row],[Date]])</f>
        <v>2023</v>
      </c>
      <c r="E252" s="1">
        <v>0.54166666666666663</v>
      </c>
      <c r="F252" s="2" t="str">
        <f>IF(AND(AllData[[#This Row],[Time]]&lt;0.5, AllData[[#This Row],[Time]]&gt;0.17)=TRUE, "Morning", IF(AND(AllData[[#This Row],[Time]]&lt;0.75, AllData[[#This Row],[Time]]&gt;=0.5)=TRUE, "Afternoon", IF(AND(AllData[[#This Row],[Time]]&lt;1, AllData[[#This Row],[Time]]&gt;=0.75)=TRUE, "Evening", "Night")))</f>
        <v>Afternoon</v>
      </c>
      <c r="G252" t="str">
        <f>_xlfn.XLOOKUP(AllData[[#This Row],[Location Name]], Locations[Location Name],Locations[Group As])</f>
        <v>Hampton Lucy</v>
      </c>
      <c r="H252" t="e" vm="2">
        <f>_xlfn.XLOOKUP(AllData[[#This Row],[Site Name]],LocationsKey[Site Name],LocationsKey[District])</f>
        <v>#VALUE!</v>
      </c>
      <c r="I252" t="e" vm="4">
        <f>_xlfn.XLOOKUP(AllData[[#This Row],[Site Name]],LocationsKey[Site Name],LocationsKey[Town])</f>
        <v>#VALUE!</v>
      </c>
      <c r="J252" t="str">
        <f>_xlfn.XLOOKUP(AllData[[#This Row],[Site Name]],LocationsKey[Site Name], LocationsKey[Waterway])</f>
        <v>Avon</v>
      </c>
      <c r="K252" t="s">
        <v>37</v>
      </c>
      <c r="L252">
        <v>52.211680000000001</v>
      </c>
      <c r="M252">
        <v>-1.6244400000000001</v>
      </c>
      <c r="N252" t="s">
        <v>23</v>
      </c>
      <c r="O252" s="219">
        <v>590</v>
      </c>
      <c r="P252">
        <v>8.8000000000000007</v>
      </c>
      <c r="Q252" s="219">
        <v>15</v>
      </c>
      <c r="R252" s="7" t="str">
        <f>IF(AllData[[#This Row],[Nitrate (PPM)]]&gt;2, "Very high", IF(AllData[[#This Row],[Nitrate (PPM)]]&gt;1, "High", IF(AllData[[#This Row],[Nitrate (PPM)]]&gt;0.5, "Some evidence", IF(AllData[[#This Row],[Nitrate (PPM)]]&gt;=0, "No evidence"))))</f>
        <v>Very high</v>
      </c>
      <c r="S252" s="221">
        <v>0.4</v>
      </c>
      <c r="T252" s="7" t="str">
        <f>IF(AllData[[#This Row],[Phosphate (PPM)]]&gt;0.5, "Very high", IF(AllData[[#This Row],[Phosphate (PPM)]]&gt;0.1, "High", IF(AllData[[#This Row],[Phosphate (PPM)]]&gt;0.05, "Some evidence", IF(AllData[[#This Row],[Phosphate (PPM)]]&lt;=0.05, "No Evidence", ""))))</f>
        <v>High</v>
      </c>
      <c r="U252">
        <v>0</v>
      </c>
    </row>
    <row r="253" spans="1:22" x14ac:dyDescent="0.25">
      <c r="A253" t="s">
        <v>419</v>
      </c>
      <c r="B253" s="2">
        <v>45269</v>
      </c>
      <c r="C253" s="2" t="str" cm="1">
        <f t="array" ref="C2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3">
        <f>YEAR(AllData[[#This Row],[Date]])</f>
        <v>2023</v>
      </c>
      <c r="E253" s="1">
        <v>0.55486111111111114</v>
      </c>
      <c r="F253" s="2" t="str">
        <f>IF(AND(AllData[[#This Row],[Time]]&lt;0.5, AllData[[#This Row],[Time]]&gt;0.17)=TRUE, "Morning", IF(AND(AllData[[#This Row],[Time]]&lt;0.75, AllData[[#This Row],[Time]]&gt;=0.5)=TRUE, "Afternoon", IF(AND(AllData[[#This Row],[Time]]&lt;1, AllData[[#This Row],[Time]]&gt;=0.75)=TRUE, "Evening", "Night")))</f>
        <v>Afternoon</v>
      </c>
      <c r="G253" t="str">
        <f>_xlfn.XLOOKUP(AllData[[#This Row],[Location Name]], Locations[Location Name],Locations[Group As])</f>
        <v>Preston-on-Stour River Bridge</v>
      </c>
      <c r="H253" t="e" vm="2">
        <f>_xlfn.XLOOKUP(AllData[[#This Row],[Site Name]],LocationsKey[Site Name],LocationsKey[District])</f>
        <v>#VALUE!</v>
      </c>
      <c r="I253" t="e" vm="9">
        <f>_xlfn.XLOOKUP(AllData[[#This Row],[Site Name]],LocationsKey[Site Name],LocationsKey[Town])</f>
        <v>#VALUE!</v>
      </c>
      <c r="J253" t="str">
        <f>_xlfn.XLOOKUP(AllData[[#This Row],[Site Name]],LocationsKey[Site Name], LocationsKey[Waterway])</f>
        <v>Stour</v>
      </c>
      <c r="K253" t="s">
        <v>163</v>
      </c>
      <c r="L253">
        <v>52.146559000000003</v>
      </c>
      <c r="M253">
        <v>-1.6990810000000001</v>
      </c>
      <c r="N253" t="s">
        <v>29</v>
      </c>
      <c r="O253" s="219">
        <v>525</v>
      </c>
      <c r="P253">
        <v>9.1999999999999993</v>
      </c>
      <c r="Q253" s="219">
        <v>5</v>
      </c>
      <c r="R253" s="7" t="str">
        <f>IF(AllData[[#This Row],[Nitrate (PPM)]]&gt;2, "Very high", IF(AllData[[#This Row],[Nitrate (PPM)]]&gt;1, "High", IF(AllData[[#This Row],[Nitrate (PPM)]]&gt;0.5, "Some evidence", IF(AllData[[#This Row],[Nitrate (PPM)]]&gt;=0, "No evidence"))))</f>
        <v>Very high</v>
      </c>
      <c r="S253" s="221">
        <v>0.3</v>
      </c>
      <c r="T253" s="7" t="str">
        <f>IF(AllData[[#This Row],[Phosphate (PPM)]]&gt;0.5, "Very high", IF(AllData[[#This Row],[Phosphate (PPM)]]&gt;0.1, "High", IF(AllData[[#This Row],[Phosphate (PPM)]]&gt;0.05, "Some evidence", IF(AllData[[#This Row],[Phosphate (PPM)]]&lt;=0.05, "No Evidence", ""))))</f>
        <v>High</v>
      </c>
      <c r="U253">
        <v>2.5</v>
      </c>
      <c r="V253" t="s">
        <v>420</v>
      </c>
    </row>
    <row r="254" spans="1:22" x14ac:dyDescent="0.25">
      <c r="A254" t="s">
        <v>421</v>
      </c>
      <c r="B254" s="2">
        <v>45269</v>
      </c>
      <c r="C254" s="2" t="str" cm="1">
        <f t="array" ref="C2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4">
        <f>YEAR(AllData[[#This Row],[Date]])</f>
        <v>2023</v>
      </c>
      <c r="E254" s="1">
        <v>0.55833333333333335</v>
      </c>
      <c r="F254" s="2" t="str">
        <f>IF(AND(AllData[[#This Row],[Time]]&lt;0.5, AllData[[#This Row],[Time]]&gt;0.17)=TRUE, "Morning", IF(AND(AllData[[#This Row],[Time]]&lt;0.75, AllData[[#This Row],[Time]]&gt;=0.5)=TRUE, "Afternoon", IF(AND(AllData[[#This Row],[Time]]&lt;1, AllData[[#This Row],[Time]]&gt;=0.75)=TRUE, "Evening", "Night")))</f>
        <v>Afternoon</v>
      </c>
      <c r="G254" t="str">
        <f>_xlfn.XLOOKUP(AllData[[#This Row],[Location Name]], Locations[Location Name],Locations[Group As])</f>
        <v>Fell Mill Footbridge</v>
      </c>
      <c r="H254" t="e" vm="2">
        <f>_xlfn.XLOOKUP(AllData[[#This Row],[Site Name]],LocationsKey[Site Name],LocationsKey[District])</f>
        <v>#VALUE!</v>
      </c>
      <c r="I254" t="e" vm="10">
        <f>_xlfn.XLOOKUP(AllData[[#This Row],[Site Name]],LocationsKey[Site Name],LocationsKey[Town])</f>
        <v>#VALUE!</v>
      </c>
      <c r="J254" t="str">
        <f>_xlfn.XLOOKUP(AllData[[#This Row],[Site Name]],LocationsKey[Site Name], LocationsKey[Waterway])</f>
        <v>Stour</v>
      </c>
      <c r="K254" t="s">
        <v>422</v>
      </c>
      <c r="L254">
        <v>52.070126999999999</v>
      </c>
      <c r="M254">
        <v>-1.611599</v>
      </c>
      <c r="N254" t="s">
        <v>29</v>
      </c>
      <c r="O254" s="219">
        <v>369</v>
      </c>
      <c r="P254">
        <v>9.8000000000000007</v>
      </c>
      <c r="Q254" s="219">
        <v>2</v>
      </c>
      <c r="R254" s="7" t="str">
        <f>IF(AllData[[#This Row],[Nitrate (PPM)]]&gt;2, "Very high", IF(AllData[[#This Row],[Nitrate (PPM)]]&gt;1, "High", IF(AllData[[#This Row],[Nitrate (PPM)]]&gt;0.5, "Some evidence", IF(AllData[[#This Row],[Nitrate (PPM)]]&gt;=0, "No evidence"))))</f>
        <v>High</v>
      </c>
      <c r="S254" s="221">
        <v>0.57999999999999996</v>
      </c>
      <c r="T254" s="7" t="str">
        <f>IF(AllData[[#This Row],[Phosphate (PPM)]]&gt;0.5, "Very high", IF(AllData[[#This Row],[Phosphate (PPM)]]&gt;0.1, "High", IF(AllData[[#This Row],[Phosphate (PPM)]]&gt;0.05, "Some evidence", IF(AllData[[#This Row],[Phosphate (PPM)]]&lt;=0.05, "No Evidence", ""))))</f>
        <v>Very high</v>
      </c>
      <c r="U254">
        <v>5</v>
      </c>
      <c r="V254" t="s">
        <v>423</v>
      </c>
    </row>
    <row r="255" spans="1:22" x14ac:dyDescent="0.25">
      <c r="A255" t="s">
        <v>424</v>
      </c>
      <c r="B255" s="2">
        <v>45269</v>
      </c>
      <c r="C255" s="2" t="str" cm="1">
        <f t="array" ref="C2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5">
        <f>YEAR(AllData[[#This Row],[Date]])</f>
        <v>2023</v>
      </c>
      <c r="E255" s="1">
        <v>0.625</v>
      </c>
      <c r="F255" s="2" t="str">
        <f>IF(AND(AllData[[#This Row],[Time]]&lt;0.5, AllData[[#This Row],[Time]]&gt;0.17)=TRUE, "Morning", IF(AND(AllData[[#This Row],[Time]]&lt;0.75, AllData[[#This Row],[Time]]&gt;=0.5)=TRUE, "Afternoon", IF(AND(AllData[[#This Row],[Time]]&lt;1, AllData[[#This Row],[Time]]&gt;=0.75)=TRUE, "Evening", "Night")))</f>
        <v>Afternoon</v>
      </c>
      <c r="G255" t="str">
        <f>_xlfn.XLOOKUP(AllData[[#This Row],[Location Name]], Locations[Location Name],Locations[Group As])</f>
        <v>Clifford Chambers Mill Bridge</v>
      </c>
      <c r="H255" t="e" vm="2">
        <f>_xlfn.XLOOKUP(AllData[[#This Row],[Site Name]],LocationsKey[Site Name],LocationsKey[District])</f>
        <v>#VALUE!</v>
      </c>
      <c r="I255" t="e" vm="12">
        <f>_xlfn.XLOOKUP(AllData[[#This Row],[Site Name]],LocationsKey[Site Name],LocationsKey[Town])</f>
        <v>#VALUE!</v>
      </c>
      <c r="J255" t="str">
        <f>_xlfn.XLOOKUP(AllData[[#This Row],[Site Name]],LocationsKey[Site Name], LocationsKey[Waterway])</f>
        <v>Stour</v>
      </c>
      <c r="K255" t="s">
        <v>263</v>
      </c>
      <c r="L255">
        <v>52.166370000000001</v>
      </c>
      <c r="M255">
        <v>-1.708032</v>
      </c>
      <c r="N255" t="s">
        <v>66</v>
      </c>
      <c r="O255">
        <v>504</v>
      </c>
      <c r="P255">
        <v>12.7</v>
      </c>
      <c r="Q255">
        <v>5</v>
      </c>
      <c r="R255" s="7" t="str">
        <f>IF(AllData[[#This Row],[Nitrate (PPM)]]&gt;2, "Very high", IF(AllData[[#This Row],[Nitrate (PPM)]]&gt;1, "High", IF(AllData[[#This Row],[Nitrate (PPM)]]&gt;0.5, "Some evidence", IF(AllData[[#This Row],[Nitrate (PPM)]]&gt;=0, "No evidence"))))</f>
        <v>Very high</v>
      </c>
      <c r="S255" s="4">
        <v>0.27</v>
      </c>
      <c r="T255" s="7" t="str">
        <f>IF(AllData[[#This Row],[Phosphate (PPM)]]&gt;0.5, "Very high", IF(AllData[[#This Row],[Phosphate (PPM)]]&gt;0.1, "High", IF(AllData[[#This Row],[Phosphate (PPM)]]&gt;0.05, "Some evidence", IF(AllData[[#This Row],[Phosphate (PPM)]]&lt;=0.05, "No Evidence", ""))))</f>
        <v>High</v>
      </c>
      <c r="U255">
        <v>1.85</v>
      </c>
      <c r="V255" t="s">
        <v>425</v>
      </c>
    </row>
    <row r="256" spans="1:22" x14ac:dyDescent="0.25">
      <c r="A256" t="s">
        <v>426</v>
      </c>
      <c r="B256" s="2">
        <v>45269</v>
      </c>
      <c r="C256" s="2" t="str" cm="1">
        <f t="array" ref="C2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6">
        <f>YEAR(AllData[[#This Row],[Date]])</f>
        <v>2023</v>
      </c>
      <c r="E256" s="1">
        <v>0.63888888888888884</v>
      </c>
      <c r="F256" s="2" t="str">
        <f>IF(AND(AllData[[#This Row],[Time]]&lt;0.5, AllData[[#This Row],[Time]]&gt;0.17)=TRUE, "Morning", IF(AND(AllData[[#This Row],[Time]]&lt;0.75, AllData[[#This Row],[Time]]&gt;=0.5)=TRUE, "Afternoon", IF(AND(AllData[[#This Row],[Time]]&lt;1, AllData[[#This Row],[Time]]&gt;=0.75)=TRUE, "Evening", "Night")))</f>
        <v>Afternoon</v>
      </c>
      <c r="G256" t="str">
        <f>_xlfn.XLOOKUP(AllData[[#This Row],[Location Name]], Locations[Location Name],Locations[Group As])</f>
        <v>Clifford Chambers Road Bridge</v>
      </c>
      <c r="H256" t="e" vm="2">
        <f>_xlfn.XLOOKUP(AllData[[#This Row],[Site Name]],LocationsKey[Site Name],LocationsKey[District])</f>
        <v>#VALUE!</v>
      </c>
      <c r="I256" t="e" vm="12">
        <f>_xlfn.XLOOKUP(AllData[[#This Row],[Site Name]],LocationsKey[Site Name],LocationsKey[Town])</f>
        <v>#VALUE!</v>
      </c>
      <c r="J256" t="str">
        <f>_xlfn.XLOOKUP(AllData[[#This Row],[Site Name]],LocationsKey[Site Name], LocationsKey[Waterway])</f>
        <v>Stour</v>
      </c>
      <c r="K256" t="s">
        <v>427</v>
      </c>
      <c r="L256">
        <v>52.172840000000001</v>
      </c>
      <c r="M256">
        <v>-1.71377</v>
      </c>
      <c r="N256" t="s">
        <v>80</v>
      </c>
      <c r="O256">
        <v>513</v>
      </c>
      <c r="P256">
        <v>12.9</v>
      </c>
      <c r="Q256">
        <v>5</v>
      </c>
      <c r="R256" s="7" t="str">
        <f>IF(AllData[[#This Row],[Nitrate (PPM)]]&gt;2, "Very high", IF(AllData[[#This Row],[Nitrate (PPM)]]&gt;1, "High", IF(AllData[[#This Row],[Nitrate (PPM)]]&gt;0.5, "Some evidence", IF(AllData[[#This Row],[Nitrate (PPM)]]&gt;=0, "No evidence"))))</f>
        <v>Very high</v>
      </c>
      <c r="S256" s="4">
        <v>0.34</v>
      </c>
      <c r="T256" s="7" t="str">
        <f>IF(AllData[[#This Row],[Phosphate (PPM)]]&gt;0.5, "Very high", IF(AllData[[#This Row],[Phosphate (PPM)]]&gt;0.1, "High", IF(AllData[[#This Row],[Phosphate (PPM)]]&gt;0.05, "Some evidence", IF(AllData[[#This Row],[Phosphate (PPM)]]&lt;=0.05, "No Evidence", ""))))</f>
        <v>High</v>
      </c>
      <c r="U256">
        <v>1.85</v>
      </c>
      <c r="V256" t="s">
        <v>428</v>
      </c>
    </row>
    <row r="257" spans="1:22" x14ac:dyDescent="0.25">
      <c r="A257" t="s">
        <v>429</v>
      </c>
      <c r="B257" s="2">
        <v>45270</v>
      </c>
      <c r="C257" s="2" t="str" cm="1">
        <f t="array" ref="C2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7">
        <f>YEAR(AllData[[#This Row],[Date]])</f>
        <v>2023</v>
      </c>
      <c r="E257" s="1">
        <v>0.41666666666666669</v>
      </c>
      <c r="F257" s="2" t="str">
        <f>IF(AND(AllData[[#This Row],[Time]]&lt;0.5, AllData[[#This Row],[Time]]&gt;0.17)=TRUE, "Morning", IF(AND(AllData[[#This Row],[Time]]&lt;0.75, AllData[[#This Row],[Time]]&gt;=0.5)=TRUE, "Afternoon", IF(AND(AllData[[#This Row],[Time]]&lt;1, AllData[[#This Row],[Time]]&gt;=0.75)=TRUE, "Evening", "Night")))</f>
        <v>Morning</v>
      </c>
      <c r="G257" t="str">
        <f>_xlfn.XLOOKUP(AllData[[#This Row],[Location Name]], Locations[Location Name],Locations[Group As])</f>
        <v>Barton</v>
      </c>
      <c r="H257" t="e" vm="2">
        <f>_xlfn.XLOOKUP(AllData[[#This Row],[Site Name]],LocationsKey[Site Name],LocationsKey[District])</f>
        <v>#VALUE!</v>
      </c>
      <c r="I257" t="str">
        <f>_xlfn.XLOOKUP(AllData[[#This Row],[Site Name]],LocationsKey[Site Name],LocationsKey[Town])</f>
        <v>Barton</v>
      </c>
      <c r="J257" t="str">
        <f>_xlfn.XLOOKUP(AllData[[#This Row],[Site Name]],LocationsKey[Site Name], LocationsKey[Waterway])</f>
        <v>Avon</v>
      </c>
      <c r="K257" t="s">
        <v>49</v>
      </c>
      <c r="L257">
        <v>52.161209999999997</v>
      </c>
      <c r="M257">
        <v>-1.8301499999999999</v>
      </c>
      <c r="N257" t="s">
        <v>29</v>
      </c>
      <c r="O257">
        <v>524</v>
      </c>
      <c r="P257">
        <v>7.5</v>
      </c>
      <c r="Q257">
        <v>5</v>
      </c>
      <c r="R257" s="7" t="str">
        <f>IF(AllData[[#This Row],[Nitrate (PPM)]]&gt;2, "Very high", IF(AllData[[#This Row],[Nitrate (PPM)]]&gt;1, "High", IF(AllData[[#This Row],[Nitrate (PPM)]]&gt;0.5, "Some evidence", IF(AllData[[#This Row],[Nitrate (PPM)]]&gt;=0, "No evidence"))))</f>
        <v>Very high</v>
      </c>
      <c r="S257" s="4">
        <v>0.64</v>
      </c>
      <c r="T257" s="7" t="str">
        <f>IF(AllData[[#This Row],[Phosphate (PPM)]]&gt;0.5, "Very high", IF(AllData[[#This Row],[Phosphate (PPM)]]&gt;0.1, "High", IF(AllData[[#This Row],[Phosphate (PPM)]]&gt;0.05, "Some evidence", IF(AllData[[#This Row],[Phosphate (PPM)]]&lt;=0.05, "No Evidence", ""))))</f>
        <v>Very high</v>
      </c>
      <c r="U257">
        <v>0</v>
      </c>
    </row>
    <row r="258" spans="1:22" x14ac:dyDescent="0.25">
      <c r="A258" t="s">
        <v>435</v>
      </c>
      <c r="B258" s="2">
        <v>45270</v>
      </c>
      <c r="C258" s="2" t="str" cm="1">
        <f t="array" ref="C2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8">
        <f>YEAR(AllData[[#This Row],[Date]])</f>
        <v>2023</v>
      </c>
      <c r="E258" s="1">
        <v>0.41666666666666669</v>
      </c>
      <c r="F258" s="2" t="str">
        <f>IF(AND(AllData[[#This Row],[Time]]&lt;0.5, AllData[[#This Row],[Time]]&gt;0.17)=TRUE, "Morning", IF(AND(AllData[[#This Row],[Time]]&lt;0.75, AllData[[#This Row],[Time]]&gt;=0.5)=TRUE, "Afternoon", IF(AND(AllData[[#This Row],[Time]]&lt;1, AllData[[#This Row],[Time]]&gt;=0.75)=TRUE, "Evening", "Night")))</f>
        <v>Morning</v>
      </c>
      <c r="G258" t="str">
        <f>_xlfn.XLOOKUP(AllData[[#This Row],[Location Name]], Locations[Location Name],Locations[Group As])</f>
        <v>Lucy's Mill Bridge</v>
      </c>
      <c r="H258" t="e" vm="2">
        <f>_xlfn.XLOOKUP(AllData[[#This Row],[Site Name]],LocationsKey[Site Name],LocationsKey[District])</f>
        <v>#VALUE!</v>
      </c>
      <c r="I258" t="e" vm="7">
        <f>_xlfn.XLOOKUP(AllData[[#This Row],[Site Name]],LocationsKey[Site Name],LocationsKey[Town])</f>
        <v>#VALUE!</v>
      </c>
      <c r="J258" t="str">
        <f>_xlfn.XLOOKUP(AllData[[#This Row],[Site Name]],LocationsKey[Site Name], LocationsKey[Waterway])</f>
        <v>Avon</v>
      </c>
      <c r="K258" t="s">
        <v>216</v>
      </c>
      <c r="L258">
        <v>52.183698999999997</v>
      </c>
      <c r="M258">
        <v>-1.707816</v>
      </c>
      <c r="N258" t="s">
        <v>29</v>
      </c>
      <c r="P258">
        <v>9</v>
      </c>
      <c r="Q258">
        <v>10</v>
      </c>
      <c r="R258" s="7" t="str">
        <f>IF(AllData[[#This Row],[Nitrate (PPM)]]&gt;2, "Very high", IF(AllData[[#This Row],[Nitrate (PPM)]]&gt;1, "High", IF(AllData[[#This Row],[Nitrate (PPM)]]&gt;0.5, "Some evidence", IF(AllData[[#This Row],[Nitrate (PPM)]]&gt;=0, "No evidence"))))</f>
        <v>Very high</v>
      </c>
      <c r="S258" s="4">
        <v>0.59</v>
      </c>
      <c r="T258" s="7" t="str">
        <f>IF(AllData[[#This Row],[Phosphate (PPM)]]&gt;0.5, "Very high", IF(AllData[[#This Row],[Phosphate (PPM)]]&gt;0.1, "High", IF(AllData[[#This Row],[Phosphate (PPM)]]&gt;0.05, "Some evidence", IF(AllData[[#This Row],[Phosphate (PPM)]]&lt;=0.05, "No Evidence", ""))))</f>
        <v>Very high</v>
      </c>
      <c r="U258">
        <v>0.7</v>
      </c>
    </row>
    <row r="259" spans="1:22" x14ac:dyDescent="0.25">
      <c r="A259" t="s">
        <v>430</v>
      </c>
      <c r="B259" s="2">
        <v>45270</v>
      </c>
      <c r="C259" s="2" t="str" cm="1">
        <f t="array" ref="C2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9">
        <f>YEAR(AllData[[#This Row],[Date]])</f>
        <v>2023</v>
      </c>
      <c r="E259" s="1">
        <v>0.51041666666666663</v>
      </c>
      <c r="F259" s="2" t="str">
        <f>IF(AND(AllData[[#This Row],[Time]]&lt;0.5, AllData[[#This Row],[Time]]&gt;0.17)=TRUE, "Morning", IF(AND(AllData[[#This Row],[Time]]&lt;0.75, AllData[[#This Row],[Time]]&gt;=0.5)=TRUE, "Afternoon", IF(AND(AllData[[#This Row],[Time]]&lt;1, AllData[[#This Row],[Time]]&gt;=0.75)=TRUE, "Evening", "Night")))</f>
        <v>Afternoon</v>
      </c>
      <c r="G259" t="str">
        <f>_xlfn.XLOOKUP(AllData[[#This Row],[Location Name]], Locations[Location Name],Locations[Group As])</f>
        <v>Hampton Wood</v>
      </c>
      <c r="H259" t="e" vm="2">
        <f>_xlfn.XLOOKUP(AllData[[#This Row],[Site Name]],LocationsKey[Site Name],LocationsKey[District])</f>
        <v>#VALUE!</v>
      </c>
      <c r="I259" t="e" vm="3">
        <f>_xlfn.XLOOKUP(AllData[[#This Row],[Site Name]],LocationsKey[Site Name],LocationsKey[Town])</f>
        <v>#VALUE!</v>
      </c>
      <c r="J259" t="str">
        <f>_xlfn.XLOOKUP(AllData[[#This Row],[Site Name]],LocationsKey[Site Name], LocationsKey[Waterway])</f>
        <v>Avon</v>
      </c>
      <c r="K259" t="s">
        <v>34</v>
      </c>
      <c r="L259">
        <v>52.238149999999997</v>
      </c>
      <c r="M259">
        <v>-1.6245799999999999</v>
      </c>
      <c r="N259" t="s">
        <v>29</v>
      </c>
      <c r="O259">
        <v>536</v>
      </c>
      <c r="P259">
        <v>9</v>
      </c>
      <c r="Q259">
        <v>10</v>
      </c>
      <c r="R259" s="7" t="str">
        <f>IF(AllData[[#This Row],[Nitrate (PPM)]]&gt;2, "Very high", IF(AllData[[#This Row],[Nitrate (PPM)]]&gt;1, "High", IF(AllData[[#This Row],[Nitrate (PPM)]]&gt;0.5, "Some evidence", IF(AllData[[#This Row],[Nitrate (PPM)]]&gt;=0, "No evidence"))))</f>
        <v>Very high</v>
      </c>
      <c r="S259" s="4">
        <v>0.37</v>
      </c>
      <c r="T259" s="7" t="str">
        <f>IF(AllData[[#This Row],[Phosphate (PPM)]]&gt;0.5, "Very high", IF(AllData[[#This Row],[Phosphate (PPM)]]&gt;0.1, "High", IF(AllData[[#This Row],[Phosphate (PPM)]]&gt;0.05, "Some evidence", IF(AllData[[#This Row],[Phosphate (PPM)]]&lt;=0.05, "No Evidence", ""))))</f>
        <v>High</v>
      </c>
      <c r="U259">
        <v>0</v>
      </c>
    </row>
    <row r="260" spans="1:22" x14ac:dyDescent="0.25">
      <c r="A260" t="s">
        <v>431</v>
      </c>
      <c r="B260" s="2">
        <v>45270</v>
      </c>
      <c r="C260" s="2" t="str" cm="1">
        <f t="array" ref="C2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0">
        <f>YEAR(AllData[[#This Row],[Date]])</f>
        <v>2023</v>
      </c>
      <c r="E260" s="1">
        <v>0.66666666666666663</v>
      </c>
      <c r="F260" s="2" t="str">
        <f>IF(AND(AllData[[#This Row],[Time]]&lt;0.5, AllData[[#This Row],[Time]]&gt;0.17)=TRUE, "Morning", IF(AND(AllData[[#This Row],[Time]]&lt;0.75, AllData[[#This Row],[Time]]&gt;=0.5)=TRUE, "Afternoon", IF(AND(AllData[[#This Row],[Time]]&lt;1, AllData[[#This Row],[Time]]&gt;=0.75)=TRUE, "Evening", "Night")))</f>
        <v>Afternoon</v>
      </c>
      <c r="G260" t="str">
        <f>_xlfn.XLOOKUP(AllData[[#This Row],[Location Name]], Locations[Location Name],Locations[Group As])</f>
        <v>Stour Shipston Mill Bridge</v>
      </c>
      <c r="H260" t="e" vm="2">
        <f>_xlfn.XLOOKUP(AllData[[#This Row],[Site Name]],LocationsKey[Site Name],LocationsKey[District])</f>
        <v>#VALUE!</v>
      </c>
      <c r="I260" t="e" vm="10">
        <f>_xlfn.XLOOKUP(AllData[[#This Row],[Site Name]],LocationsKey[Site Name],LocationsKey[Town])</f>
        <v>#VALUE!</v>
      </c>
      <c r="J260" t="str">
        <f>_xlfn.XLOOKUP(AllData[[#This Row],[Site Name]],LocationsKey[Site Name], LocationsKey[Waterway])</f>
        <v>Stour</v>
      </c>
      <c r="K260" t="s">
        <v>432</v>
      </c>
      <c r="L260">
        <v>52.062013999999998</v>
      </c>
      <c r="M260">
        <v>-1.6216660000000001</v>
      </c>
      <c r="N260" t="s">
        <v>23</v>
      </c>
      <c r="O260">
        <v>543</v>
      </c>
      <c r="P260">
        <v>9.3000000000000007</v>
      </c>
      <c r="Q260">
        <v>2</v>
      </c>
      <c r="R260" s="7" t="str">
        <f>IF(AllData[[#This Row],[Nitrate (PPM)]]&gt;2, "Very high", IF(AllData[[#This Row],[Nitrate (PPM)]]&gt;1, "High", IF(AllData[[#This Row],[Nitrate (PPM)]]&gt;0.5, "Some evidence", IF(AllData[[#This Row],[Nitrate (PPM)]]&gt;=0, "No evidence"))))</f>
        <v>High</v>
      </c>
      <c r="S260" s="4">
        <v>0.23</v>
      </c>
      <c r="T260" s="7" t="str">
        <f>IF(AllData[[#This Row],[Phosphate (PPM)]]&gt;0.5, "Very high", IF(AllData[[#This Row],[Phosphate (PPM)]]&gt;0.1, "High", IF(AllData[[#This Row],[Phosphate (PPM)]]&gt;0.05, "Some evidence", IF(AllData[[#This Row],[Phosphate (PPM)]]&lt;=0.05, "No Evidence", ""))))</f>
        <v>High</v>
      </c>
      <c r="U260">
        <v>3</v>
      </c>
    </row>
    <row r="261" spans="1:22" x14ac:dyDescent="0.25">
      <c r="A261" t="s">
        <v>433</v>
      </c>
      <c r="B261" s="2">
        <v>45270</v>
      </c>
      <c r="C261" s="2" t="str" cm="1">
        <f t="array" ref="C2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1">
        <f>YEAR(AllData[[#This Row],[Date]])</f>
        <v>2023</v>
      </c>
      <c r="E261" s="1">
        <v>0.66666666666666663</v>
      </c>
      <c r="F261" s="2" t="str">
        <f>IF(AND(AllData[[#This Row],[Time]]&lt;0.5, AllData[[#This Row],[Time]]&gt;0.17)=TRUE, "Morning", IF(AND(AllData[[#This Row],[Time]]&lt;0.75, AllData[[#This Row],[Time]]&gt;=0.5)=TRUE, "Afternoon", IF(AND(AllData[[#This Row],[Time]]&lt;1, AllData[[#This Row],[Time]]&gt;=0.75)=TRUE, "Evening", "Night")))</f>
        <v>Afternoon</v>
      </c>
      <c r="G261" t="str">
        <f>_xlfn.XLOOKUP(AllData[[#This Row],[Location Name]], Locations[Location Name],Locations[Group As])</f>
        <v>Welford Boat Station</v>
      </c>
      <c r="H261" t="e" vm="2">
        <f>_xlfn.XLOOKUP(AllData[[#This Row],[Site Name]],LocationsKey[Site Name],LocationsKey[District])</f>
        <v>#VALUE!</v>
      </c>
      <c r="I261" t="e" vm="5">
        <f>_xlfn.XLOOKUP(AllData[[#This Row],[Site Name]],LocationsKey[Site Name],LocationsKey[Town])</f>
        <v>#VALUE!</v>
      </c>
      <c r="J261" t="str">
        <f>_xlfn.XLOOKUP(AllData[[#This Row],[Site Name]],LocationsKey[Site Name], LocationsKey[Waterway])</f>
        <v>Avon</v>
      </c>
      <c r="K261" t="s">
        <v>39</v>
      </c>
      <c r="L261">
        <v>52.175240000000002</v>
      </c>
      <c r="M261">
        <v>-1.7918700000000001</v>
      </c>
      <c r="N261" t="s">
        <v>29</v>
      </c>
      <c r="O261">
        <v>538</v>
      </c>
      <c r="P261">
        <v>8.5</v>
      </c>
      <c r="Q261">
        <v>10</v>
      </c>
      <c r="R261" s="7" t="str">
        <f>IF(AllData[[#This Row],[Nitrate (PPM)]]&gt;2, "Very high", IF(AllData[[#This Row],[Nitrate (PPM)]]&gt;1, "High", IF(AllData[[#This Row],[Nitrate (PPM)]]&gt;0.5, "Some evidence", IF(AllData[[#This Row],[Nitrate (PPM)]]&gt;=0, "No evidence"))))</f>
        <v>Very high</v>
      </c>
      <c r="S261" s="4">
        <v>0.6</v>
      </c>
      <c r="T261" s="7" t="str">
        <f>IF(AllData[[#This Row],[Phosphate (PPM)]]&gt;0.5, "Very high", IF(AllData[[#This Row],[Phosphate (PPM)]]&gt;0.1, "High", IF(AllData[[#This Row],[Phosphate (PPM)]]&gt;0.05, "Some evidence", IF(AllData[[#This Row],[Phosphate (PPM)]]&lt;=0.05, "No Evidence", ""))))</f>
        <v>Very high</v>
      </c>
      <c r="U261">
        <v>0</v>
      </c>
    </row>
    <row r="262" spans="1:22" x14ac:dyDescent="0.25">
      <c r="A262" t="s">
        <v>434</v>
      </c>
      <c r="B262" s="2">
        <v>45270</v>
      </c>
      <c r="C262" s="2" t="str" cm="1">
        <f t="array" ref="C2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2">
        <f>YEAR(AllData[[#This Row],[Date]])</f>
        <v>2023</v>
      </c>
      <c r="E262" s="1">
        <v>0.67777777777777781</v>
      </c>
      <c r="F262" s="2" t="str">
        <f>IF(AND(AllData[[#This Row],[Time]]&lt;0.5, AllData[[#This Row],[Time]]&gt;0.17)=TRUE, "Morning", IF(AND(AllData[[#This Row],[Time]]&lt;0.75, AllData[[#This Row],[Time]]&gt;=0.5)=TRUE, "Afternoon", IF(AND(AllData[[#This Row],[Time]]&lt;1, AllData[[#This Row],[Time]]&gt;=0.75)=TRUE, "Evening", "Night")))</f>
        <v>Afternoon</v>
      </c>
      <c r="G262" t="str">
        <f>_xlfn.XLOOKUP(AllData[[#This Row],[Location Name]], Locations[Location Name],Locations[Group As])</f>
        <v>Abbey Mill</v>
      </c>
      <c r="H262" t="e" vm="1">
        <f>_xlfn.XLOOKUP(AllData[[#This Row],[Site Name]],LocationsKey[Site Name],LocationsKey[District])</f>
        <v>#VALUE!</v>
      </c>
      <c r="I262" t="e" vm="1">
        <f>_xlfn.XLOOKUP(AllData[[#This Row],[Site Name]],LocationsKey[Site Name],LocationsKey[Town])</f>
        <v>#VALUE!</v>
      </c>
      <c r="J262" t="str">
        <f>_xlfn.XLOOKUP(AllData[[#This Row],[Site Name]],LocationsKey[Site Name], LocationsKey[Waterway])</f>
        <v>Avon</v>
      </c>
      <c r="K262" t="s">
        <v>22</v>
      </c>
      <c r="N262" t="s">
        <v>23</v>
      </c>
      <c r="O262">
        <v>512</v>
      </c>
      <c r="P262">
        <v>10.8</v>
      </c>
      <c r="Q262">
        <v>5</v>
      </c>
      <c r="R262" s="7" t="str">
        <f>IF(AllData[[#This Row],[Nitrate (PPM)]]&gt;2, "Very high", IF(AllData[[#This Row],[Nitrate (PPM)]]&gt;1, "High", IF(AllData[[#This Row],[Nitrate (PPM)]]&gt;0.5, "Some evidence", IF(AllData[[#This Row],[Nitrate (PPM)]]&gt;=0, "No evidence"))))</f>
        <v>Very high</v>
      </c>
      <c r="S262" s="4">
        <v>0.76</v>
      </c>
      <c r="T262" s="7" t="str">
        <f>IF(AllData[[#This Row],[Phosphate (PPM)]]&gt;0.5, "Very high", IF(AllData[[#This Row],[Phosphate (PPM)]]&gt;0.1, "High", IF(AllData[[#This Row],[Phosphate (PPM)]]&gt;0.05, "Some evidence", IF(AllData[[#This Row],[Phosphate (PPM)]]&lt;=0.05, "No Evidence", ""))))</f>
        <v>Very high</v>
      </c>
      <c r="U262">
        <v>2</v>
      </c>
      <c r="V262" t="s">
        <v>270</v>
      </c>
    </row>
    <row r="263" spans="1:22" x14ac:dyDescent="0.25">
      <c r="A263" t="s">
        <v>436</v>
      </c>
      <c r="B263" s="2">
        <v>45271</v>
      </c>
      <c r="C263" s="2" t="str" cm="1">
        <f t="array" ref="C2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3">
        <f>YEAR(AllData[[#This Row],[Date]])</f>
        <v>2023</v>
      </c>
      <c r="E263" s="1">
        <v>0.36805555555555558</v>
      </c>
      <c r="F263" s="2" t="str">
        <f>IF(AND(AllData[[#This Row],[Time]]&lt;0.5, AllData[[#This Row],[Time]]&gt;0.17)=TRUE, "Morning", IF(AND(AllData[[#This Row],[Time]]&lt;0.75, AllData[[#This Row],[Time]]&gt;=0.5)=TRUE, "Afternoon", IF(AND(AllData[[#This Row],[Time]]&lt;1, AllData[[#This Row],[Time]]&gt;=0.75)=TRUE, "Evening", "Night")))</f>
        <v>Morning</v>
      </c>
      <c r="G263" t="str">
        <f>_xlfn.XLOOKUP(AllData[[#This Row],[Location Name]], Locations[Location Name],Locations[Group As])</f>
        <v>Stour Stretton-on-Fosse Village</v>
      </c>
      <c r="H263" t="e" vm="2">
        <f>_xlfn.XLOOKUP(AllData[[#This Row],[Site Name]],LocationsKey[Site Name],LocationsKey[District])</f>
        <v>#VALUE!</v>
      </c>
      <c r="I263" t="e" vm="14">
        <f>_xlfn.XLOOKUP(AllData[[#This Row],[Site Name]],LocationsKey[Site Name],LocationsKey[Town])</f>
        <v>#VALUE!</v>
      </c>
      <c r="J263" t="str">
        <f>_xlfn.XLOOKUP(AllData[[#This Row],[Site Name]],LocationsKey[Site Name], LocationsKey[Waterway])</f>
        <v>Stour</v>
      </c>
      <c r="K263" t="s">
        <v>383</v>
      </c>
      <c r="L263">
        <v>52.046536000000003</v>
      </c>
      <c r="M263">
        <v>-1.6735249999999999</v>
      </c>
      <c r="N263" t="s">
        <v>66</v>
      </c>
      <c r="O263">
        <v>449</v>
      </c>
      <c r="P263">
        <v>8.8000000000000007</v>
      </c>
      <c r="Q263">
        <v>2</v>
      </c>
      <c r="R263" s="7" t="str">
        <f>IF(AllData[[#This Row],[Nitrate (PPM)]]&gt;2, "Very high", IF(AllData[[#This Row],[Nitrate (PPM)]]&gt;1, "High", IF(AllData[[#This Row],[Nitrate (PPM)]]&gt;0.5, "Some evidence", IF(AllData[[#This Row],[Nitrate (PPM)]]&gt;=0, "No evidence"))))</f>
        <v>High</v>
      </c>
      <c r="S263" s="4">
        <v>0.6</v>
      </c>
      <c r="T263" s="7" t="str">
        <f>IF(AllData[[#This Row],[Phosphate (PPM)]]&gt;0.5, "Very high", IF(AllData[[#This Row],[Phosphate (PPM)]]&gt;0.1, "High", IF(AllData[[#This Row],[Phosphate (PPM)]]&gt;0.05, "Some evidence", IF(AllData[[#This Row],[Phosphate (PPM)]]&lt;=0.05, "No Evidence", ""))))</f>
        <v>Very high</v>
      </c>
      <c r="U263">
        <v>0.4</v>
      </c>
    </row>
    <row r="264" spans="1:22" x14ac:dyDescent="0.25">
      <c r="A264" t="s">
        <v>437</v>
      </c>
      <c r="B264" s="2">
        <v>45271</v>
      </c>
      <c r="C264" s="2" t="str" cm="1">
        <f t="array" ref="C2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4">
        <f>YEAR(AllData[[#This Row],[Date]])</f>
        <v>2023</v>
      </c>
      <c r="E264" s="1">
        <v>0.37916666666666665</v>
      </c>
      <c r="F264" s="2" t="str">
        <f>IF(AND(AllData[[#This Row],[Time]]&lt;0.5, AllData[[#This Row],[Time]]&gt;0.17)=TRUE, "Morning", IF(AND(AllData[[#This Row],[Time]]&lt;0.75, AllData[[#This Row],[Time]]&gt;=0.5)=TRUE, "Afternoon", IF(AND(AllData[[#This Row],[Time]]&lt;1, AllData[[#This Row],[Time]]&gt;=0.75)=TRUE, "Evening", "Night")))</f>
        <v>Morning</v>
      </c>
      <c r="G264" t="str">
        <f>_xlfn.XLOOKUP(AllData[[#This Row],[Location Name]], Locations[Location Name],Locations[Group As])</f>
        <v>Stour Stretton-on-Fosse Sewage Works</v>
      </c>
      <c r="H264" t="e" vm="2">
        <f>_xlfn.XLOOKUP(AllData[[#This Row],[Site Name]],LocationsKey[Site Name],LocationsKey[District])</f>
        <v>#VALUE!</v>
      </c>
      <c r="I264" t="e" vm="14">
        <f>_xlfn.XLOOKUP(AllData[[#This Row],[Site Name]],LocationsKey[Site Name],LocationsKey[Town])</f>
        <v>#VALUE!</v>
      </c>
      <c r="J264" t="str">
        <f>_xlfn.XLOOKUP(AllData[[#This Row],[Site Name]],LocationsKey[Site Name], LocationsKey[Waterway])</f>
        <v>Stour</v>
      </c>
      <c r="K264" t="s">
        <v>335</v>
      </c>
      <c r="L264">
        <v>52.04569</v>
      </c>
      <c r="M264">
        <v>-1.6718980000000001</v>
      </c>
      <c r="N264" t="s">
        <v>29</v>
      </c>
      <c r="O264">
        <v>435</v>
      </c>
      <c r="P264">
        <v>8.3000000000000007</v>
      </c>
      <c r="Q264">
        <v>2</v>
      </c>
      <c r="R264" s="7" t="str">
        <f>IF(AllData[[#This Row],[Nitrate (PPM)]]&gt;2, "Very high", IF(AllData[[#This Row],[Nitrate (PPM)]]&gt;1, "High", IF(AllData[[#This Row],[Nitrate (PPM)]]&gt;0.5, "Some evidence", IF(AllData[[#This Row],[Nitrate (PPM)]]&gt;=0, "No evidence"))))</f>
        <v>High</v>
      </c>
      <c r="S264" s="4">
        <v>0.56999999999999995</v>
      </c>
      <c r="T264" s="7" t="str">
        <f>IF(AllData[[#This Row],[Phosphate (PPM)]]&gt;0.5, "Very high", IF(AllData[[#This Row],[Phosphate (PPM)]]&gt;0.1, "High", IF(AllData[[#This Row],[Phosphate (PPM)]]&gt;0.05, "Some evidence", IF(AllData[[#This Row],[Phosphate (PPM)]]&lt;=0.05, "No Evidence", ""))))</f>
        <v>Very high</v>
      </c>
      <c r="U264">
        <v>0.6</v>
      </c>
    </row>
    <row r="265" spans="1:22" x14ac:dyDescent="0.25">
      <c r="A265" t="s">
        <v>438</v>
      </c>
      <c r="B265" s="2">
        <v>45271</v>
      </c>
      <c r="C265" s="2" t="str" cm="1">
        <f t="array" ref="C2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5">
        <f>YEAR(AllData[[#This Row],[Date]])</f>
        <v>2023</v>
      </c>
      <c r="E265" s="1">
        <v>0.61458333333333337</v>
      </c>
      <c r="F265" s="2" t="str">
        <f>IF(AND(AllData[[#This Row],[Time]]&lt;0.5, AllData[[#This Row],[Time]]&gt;0.17)=TRUE, "Morning", IF(AND(AllData[[#This Row],[Time]]&lt;0.75, AllData[[#This Row],[Time]]&gt;=0.5)=TRUE, "Afternoon", IF(AND(AllData[[#This Row],[Time]]&lt;1, AllData[[#This Row],[Time]]&gt;=0.75)=TRUE, "Evening", "Night")))</f>
        <v>Afternoon</v>
      </c>
      <c r="G265" t="str">
        <f>_xlfn.XLOOKUP(AllData[[#This Row],[Location Name]], Locations[Location Name],Locations[Group As])</f>
        <v>Carrant Bredon Rd</v>
      </c>
      <c r="H265" t="e" vm="1">
        <f>_xlfn.XLOOKUP(AllData[[#This Row],[Site Name]],LocationsKey[Site Name],LocationsKey[District])</f>
        <v>#VALUE!</v>
      </c>
      <c r="I265" t="e" vm="1">
        <f>_xlfn.XLOOKUP(AllData[[#This Row],[Site Name]],LocationsKey[Site Name],LocationsKey[Town])</f>
        <v>#VALUE!</v>
      </c>
      <c r="J265" t="str">
        <f>_xlfn.XLOOKUP(AllData[[#This Row],[Site Name]],LocationsKey[Site Name], LocationsKey[Waterway])</f>
        <v>Carrant</v>
      </c>
      <c r="K265" t="s">
        <v>439</v>
      </c>
      <c r="N265" t="s">
        <v>23</v>
      </c>
      <c r="O265">
        <v>628</v>
      </c>
      <c r="P265">
        <v>9.6</v>
      </c>
      <c r="Q265">
        <v>6</v>
      </c>
      <c r="R265" s="7" t="str">
        <f>IF(AllData[[#This Row],[Nitrate (PPM)]]&gt;2, "Very high", IF(AllData[[#This Row],[Nitrate (PPM)]]&gt;1, "High", IF(AllData[[#This Row],[Nitrate (PPM)]]&gt;0.5, "Some evidence", IF(AllData[[#This Row],[Nitrate (PPM)]]&gt;=0, "No evidence"))))</f>
        <v>Very high</v>
      </c>
      <c r="S265" s="4">
        <v>0.35</v>
      </c>
      <c r="T265" s="7" t="str">
        <f>IF(AllData[[#This Row],[Phosphate (PPM)]]&gt;0.5, "Very high", IF(AllData[[#This Row],[Phosphate (PPM)]]&gt;0.1, "High", IF(AllData[[#This Row],[Phosphate (PPM)]]&gt;0.05, "Some evidence", IF(AllData[[#This Row],[Phosphate (PPM)]]&lt;=0.05, "No Evidence", ""))))</f>
        <v>High</v>
      </c>
      <c r="U265">
        <v>1.5</v>
      </c>
      <c r="V265" t="s">
        <v>291</v>
      </c>
    </row>
    <row r="266" spans="1:22" x14ac:dyDescent="0.25">
      <c r="A266" t="s">
        <v>440</v>
      </c>
      <c r="B266" s="2">
        <v>45273</v>
      </c>
      <c r="C266" s="2" t="str" cm="1">
        <f t="array" ref="C2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6">
        <f>YEAR(AllData[[#This Row],[Date]])</f>
        <v>2023</v>
      </c>
      <c r="E266" s="1">
        <v>0.59375</v>
      </c>
      <c r="F266" s="2" t="str">
        <f>IF(AND(AllData[[#This Row],[Time]]&lt;0.5, AllData[[#This Row],[Time]]&gt;0.17)=TRUE, "Morning", IF(AND(AllData[[#This Row],[Time]]&lt;0.75, AllData[[#This Row],[Time]]&gt;=0.5)=TRUE, "Afternoon", IF(AND(AllData[[#This Row],[Time]]&lt;1, AllData[[#This Row],[Time]]&gt;=0.75)=TRUE, "Evening", "Night")))</f>
        <v>Afternoon</v>
      </c>
      <c r="G266" t="str">
        <f>_xlfn.XLOOKUP(AllData[[#This Row],[Location Name]], Locations[Location Name],Locations[Group As])</f>
        <v>Alveston Weir</v>
      </c>
      <c r="H266" t="e" vm="2">
        <f>_xlfn.XLOOKUP(AllData[[#This Row],[Site Name]],LocationsKey[Site Name],LocationsKey[District])</f>
        <v>#VALUE!</v>
      </c>
      <c r="I266" t="e" vm="13">
        <f>_xlfn.XLOOKUP(AllData[[#This Row],[Site Name]],LocationsKey[Site Name],LocationsKey[Town])</f>
        <v>#VALUE!</v>
      </c>
      <c r="J266" t="str">
        <f>_xlfn.XLOOKUP(AllData[[#This Row],[Site Name]],LocationsKey[Site Name], LocationsKey[Waterway])</f>
        <v>Avon</v>
      </c>
      <c r="K266" t="s">
        <v>286</v>
      </c>
      <c r="L266">
        <v>52.214388999999997</v>
      </c>
      <c r="M266">
        <v>-1.6601520000000001</v>
      </c>
      <c r="N266" t="s">
        <v>29</v>
      </c>
      <c r="O266" s="219">
        <v>525</v>
      </c>
      <c r="P266">
        <v>8.6999999999999993</v>
      </c>
      <c r="Q266" s="219">
        <v>5</v>
      </c>
      <c r="R266" s="7" t="str">
        <f>IF(AllData[[#This Row],[Nitrate (PPM)]]&gt;2, "Very high", IF(AllData[[#This Row],[Nitrate (PPM)]]&gt;1, "High", IF(AllData[[#This Row],[Nitrate (PPM)]]&gt;0.5, "Some evidence", IF(AllData[[#This Row],[Nitrate (PPM)]]&gt;=0, "No evidence"))))</f>
        <v>Very high</v>
      </c>
      <c r="S266" s="221">
        <v>0.43</v>
      </c>
      <c r="T266" s="7" t="str">
        <f>IF(AllData[[#This Row],[Phosphate (PPM)]]&gt;0.5, "Very high", IF(AllData[[#This Row],[Phosphate (PPM)]]&gt;0.1, "High", IF(AllData[[#This Row],[Phosphate (PPM)]]&gt;0.05, "Some evidence", IF(AllData[[#This Row],[Phosphate (PPM)]]&lt;=0.05, "No Evidence", ""))))</f>
        <v>High</v>
      </c>
      <c r="U266">
        <v>2</v>
      </c>
      <c r="V266" t="s">
        <v>441</v>
      </c>
    </row>
    <row r="267" spans="1:22" x14ac:dyDescent="0.25">
      <c r="A267" t="s">
        <v>442</v>
      </c>
      <c r="B267" s="2">
        <v>45273</v>
      </c>
      <c r="C267" s="2" t="str" cm="1">
        <f t="array" ref="C2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7">
        <f>YEAR(AllData[[#This Row],[Date]])</f>
        <v>2023</v>
      </c>
      <c r="E267" s="1">
        <v>0.60416666666666663</v>
      </c>
      <c r="F267" s="2" t="str">
        <f>IF(AND(AllData[[#This Row],[Time]]&lt;0.5, AllData[[#This Row],[Time]]&gt;0.17)=TRUE, "Morning", IF(AND(AllData[[#This Row],[Time]]&lt;0.75, AllData[[#This Row],[Time]]&gt;=0.5)=TRUE, "Afternoon", IF(AND(AllData[[#This Row],[Time]]&lt;1, AllData[[#This Row],[Time]]&gt;=0.75)=TRUE, "Evening", "Night")))</f>
        <v>Afternoon</v>
      </c>
      <c r="G267" t="str">
        <f>_xlfn.XLOOKUP(AllData[[#This Row],[Location Name]], Locations[Location Name],Locations[Group As])</f>
        <v>Swiffen Bank</v>
      </c>
      <c r="H267" t="e" vm="2">
        <f>_xlfn.XLOOKUP(AllData[[#This Row],[Site Name]],LocationsKey[Site Name],LocationsKey[District])</f>
        <v>#VALUE!</v>
      </c>
      <c r="I267" t="e" vm="13">
        <f>_xlfn.XLOOKUP(AllData[[#This Row],[Site Name]],LocationsKey[Site Name],LocationsKey[Town])</f>
        <v>#VALUE!</v>
      </c>
      <c r="J267" t="str">
        <f>_xlfn.XLOOKUP(AllData[[#This Row],[Site Name]],LocationsKey[Site Name], LocationsKey[Waterway])</f>
        <v>Avon</v>
      </c>
      <c r="K267" t="s">
        <v>443</v>
      </c>
      <c r="L267">
        <v>52.206477999999997</v>
      </c>
      <c r="M267">
        <v>-1.653894</v>
      </c>
      <c r="N267" t="s">
        <v>29</v>
      </c>
      <c r="O267" s="219">
        <v>511</v>
      </c>
      <c r="P267">
        <v>8.5</v>
      </c>
      <c r="Q267" s="219">
        <v>5</v>
      </c>
      <c r="R267" s="7" t="str">
        <f>IF(AllData[[#This Row],[Nitrate (PPM)]]&gt;2, "Very high", IF(AllData[[#This Row],[Nitrate (PPM)]]&gt;1, "High", IF(AllData[[#This Row],[Nitrate (PPM)]]&gt;0.5, "Some evidence", IF(AllData[[#This Row],[Nitrate (PPM)]]&gt;=0, "No evidence"))))</f>
        <v>Very high</v>
      </c>
      <c r="S267" s="221">
        <v>0.55000000000000004</v>
      </c>
      <c r="T267" s="7" t="str">
        <f>IF(AllData[[#This Row],[Phosphate (PPM)]]&gt;0.5, "Very high", IF(AllData[[#This Row],[Phosphate (PPM)]]&gt;0.1, "High", IF(AllData[[#This Row],[Phosphate (PPM)]]&gt;0.05, "Some evidence", IF(AllData[[#This Row],[Phosphate (PPM)]]&lt;=0.05, "No Evidence", ""))))</f>
        <v>Very high</v>
      </c>
      <c r="U267">
        <v>2</v>
      </c>
      <c r="V267" t="s">
        <v>344</v>
      </c>
    </row>
    <row r="268" spans="1:22" x14ac:dyDescent="0.25">
      <c r="A268" t="s">
        <v>444</v>
      </c>
      <c r="B268" s="2">
        <v>45273</v>
      </c>
      <c r="C268" s="2" t="str" cm="1">
        <f t="array" ref="C2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8">
        <f>YEAR(AllData[[#This Row],[Date]])</f>
        <v>2023</v>
      </c>
      <c r="E268" s="1">
        <v>0.625</v>
      </c>
      <c r="F268" s="2" t="str">
        <f>IF(AND(AllData[[#This Row],[Time]]&lt;0.5, AllData[[#This Row],[Time]]&gt;0.17)=TRUE, "Morning", IF(AND(AllData[[#This Row],[Time]]&lt;0.75, AllData[[#This Row],[Time]]&gt;=0.5)=TRUE, "Afternoon", IF(AND(AllData[[#This Row],[Time]]&lt;1, AllData[[#This Row],[Time]]&gt;=0.75)=TRUE, "Evening", "Night")))</f>
        <v>Afternoon</v>
      </c>
      <c r="G268" t="str">
        <f>_xlfn.XLOOKUP(AllData[[#This Row],[Location Name]], Locations[Location Name],Locations[Group As])</f>
        <v>Weston-on-Avon</v>
      </c>
      <c r="H268" t="e" vm="2">
        <f>_xlfn.XLOOKUP(AllData[[#This Row],[Site Name]],LocationsKey[Site Name],LocationsKey[District])</f>
        <v>#VALUE!</v>
      </c>
      <c r="I268" t="e" vm="6">
        <f>_xlfn.XLOOKUP(AllData[[#This Row],[Site Name]],LocationsKey[Site Name],LocationsKey[Town])</f>
        <v>#VALUE!</v>
      </c>
      <c r="J268" t="str">
        <f>_xlfn.XLOOKUP(AllData[[#This Row],[Site Name]],LocationsKey[Site Name], LocationsKey[Waterway])</f>
        <v>Avon</v>
      </c>
      <c r="K268" t="s">
        <v>41</v>
      </c>
      <c r="L268">
        <v>52.167430000000003</v>
      </c>
      <c r="M268">
        <v>-1.7744800000000001</v>
      </c>
      <c r="N268" t="s">
        <v>29</v>
      </c>
      <c r="O268">
        <v>598</v>
      </c>
      <c r="P268">
        <v>8.3000000000000007</v>
      </c>
      <c r="Q268">
        <v>7</v>
      </c>
      <c r="R268" s="7" t="str">
        <f>IF(AllData[[#This Row],[Nitrate (PPM)]]&gt;2, "Very high", IF(AllData[[#This Row],[Nitrate (PPM)]]&gt;1, "High", IF(AllData[[#This Row],[Nitrate (PPM)]]&gt;0.5, "Some evidence", IF(AllData[[#This Row],[Nitrate (PPM)]]&gt;=0, "No evidence"))))</f>
        <v>Very high</v>
      </c>
      <c r="S268" s="4">
        <v>0.4</v>
      </c>
      <c r="T268" s="7" t="str">
        <f>IF(AllData[[#This Row],[Phosphate (PPM)]]&gt;0.5, "Very high", IF(AllData[[#This Row],[Phosphate (PPM)]]&gt;0.1, "High", IF(AllData[[#This Row],[Phosphate (PPM)]]&gt;0.05, "Some evidence", IF(AllData[[#This Row],[Phosphate (PPM)]]&lt;=0.05, "No Evidence", ""))))</f>
        <v>High</v>
      </c>
      <c r="U268">
        <v>0</v>
      </c>
    </row>
    <row r="269" spans="1:22" x14ac:dyDescent="0.25">
      <c r="A269" t="s">
        <v>445</v>
      </c>
      <c r="B269" s="2">
        <v>45273</v>
      </c>
      <c r="C269" s="2" t="str" cm="1">
        <f t="array" ref="C2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9">
        <f>YEAR(AllData[[#This Row],[Date]])</f>
        <v>2023</v>
      </c>
      <c r="E269" s="1">
        <v>0.64583333333333337</v>
      </c>
      <c r="F269" s="2" t="str">
        <f>IF(AND(AllData[[#This Row],[Time]]&lt;0.5, AllData[[#This Row],[Time]]&gt;0.17)=TRUE, "Morning", IF(AND(AllData[[#This Row],[Time]]&lt;0.75, AllData[[#This Row],[Time]]&gt;=0.5)=TRUE, "Afternoon", IF(AND(AllData[[#This Row],[Time]]&lt;1, AllData[[#This Row],[Time]]&gt;=0.75)=TRUE, "Evening", "Night")))</f>
        <v>Afternoon</v>
      </c>
      <c r="G269" t="str">
        <f>_xlfn.XLOOKUP(AllData[[#This Row],[Location Name]], Locations[Location Name],Locations[Group As])</f>
        <v>Stour Newbold Mill</v>
      </c>
      <c r="H269" t="e" vm="2">
        <f>_xlfn.XLOOKUP(AllData[[#This Row],[Site Name]],LocationsKey[Site Name],LocationsKey[District])</f>
        <v>#VALUE!</v>
      </c>
      <c r="I269" t="e" vm="8">
        <f>_xlfn.XLOOKUP(AllData[[#This Row],[Site Name]],LocationsKey[Site Name],LocationsKey[Town])</f>
        <v>#VALUE!</v>
      </c>
      <c r="J269" t="str">
        <f>_xlfn.XLOOKUP(AllData[[#This Row],[Site Name]],LocationsKey[Site Name], LocationsKey[Waterway])</f>
        <v>Stour</v>
      </c>
      <c r="K269" t="s">
        <v>140</v>
      </c>
      <c r="L269">
        <v>52.112847000000002</v>
      </c>
      <c r="M269">
        <v>-1.633432</v>
      </c>
      <c r="N269" t="s">
        <v>66</v>
      </c>
      <c r="O269">
        <v>513</v>
      </c>
      <c r="P269">
        <v>9.8000000000000007</v>
      </c>
      <c r="Q269">
        <v>5</v>
      </c>
      <c r="R269" s="7" t="str">
        <f>IF(AllData[[#This Row],[Nitrate (PPM)]]&gt;2, "Very high", IF(AllData[[#This Row],[Nitrate (PPM)]]&gt;1, "High", IF(AllData[[#This Row],[Nitrate (PPM)]]&gt;0.5, "Some evidence", IF(AllData[[#This Row],[Nitrate (PPM)]]&gt;=0, "No evidence"))))</f>
        <v>Very high</v>
      </c>
      <c r="S269" s="4">
        <v>0.19</v>
      </c>
      <c r="T269" s="7" t="str">
        <f>IF(AllData[[#This Row],[Phosphate (PPM)]]&gt;0.5, "Very high", IF(AllData[[#This Row],[Phosphate (PPM)]]&gt;0.1, "High", IF(AllData[[#This Row],[Phosphate (PPM)]]&gt;0.05, "Some evidence", IF(AllData[[#This Row],[Phosphate (PPM)]]&lt;=0.05, "No Evidence", ""))))</f>
        <v>High</v>
      </c>
      <c r="U269">
        <v>3</v>
      </c>
      <c r="V269" t="s">
        <v>411</v>
      </c>
    </row>
    <row r="270" spans="1:22" x14ac:dyDescent="0.25">
      <c r="A270" t="s">
        <v>446</v>
      </c>
      <c r="B270" s="2">
        <v>45274</v>
      </c>
      <c r="C270" s="2" t="str" cm="1">
        <f t="array" ref="C2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0">
        <f>YEAR(AllData[[#This Row],[Date]])</f>
        <v>2023</v>
      </c>
      <c r="E270" s="1">
        <v>0.65277777777777779</v>
      </c>
      <c r="F270" s="2" t="str">
        <f>IF(AND(AllData[[#This Row],[Time]]&lt;0.5, AllData[[#This Row],[Time]]&gt;0.17)=TRUE, "Morning", IF(AND(AllData[[#This Row],[Time]]&lt;0.75, AllData[[#This Row],[Time]]&gt;=0.5)=TRUE, "Afternoon", IF(AND(AllData[[#This Row],[Time]]&lt;1, AllData[[#This Row],[Time]]&gt;=0.75)=TRUE, "Evening", "Night")))</f>
        <v>Afternoon</v>
      </c>
      <c r="G270" t="str">
        <f>_xlfn.XLOOKUP(AllData[[#This Row],[Location Name]], Locations[Location Name],Locations[Group As])</f>
        <v>Swilgate</v>
      </c>
      <c r="H270" t="e" vm="1">
        <f>_xlfn.XLOOKUP(AllData[[#This Row],[Site Name]],LocationsKey[Site Name],LocationsKey[District])</f>
        <v>#VALUE!</v>
      </c>
      <c r="I270" t="e" vm="1">
        <f>_xlfn.XLOOKUP(AllData[[#This Row],[Site Name]],LocationsKey[Site Name],LocationsKey[Town])</f>
        <v>#VALUE!</v>
      </c>
      <c r="J270" t="str">
        <f>_xlfn.XLOOKUP(AllData[[#This Row],[Site Name]],LocationsKey[Site Name], LocationsKey[Waterway])</f>
        <v>Swilgate</v>
      </c>
      <c r="K270" t="s">
        <v>84</v>
      </c>
      <c r="L270">
        <v>51.988522000000003</v>
      </c>
      <c r="M270">
        <v>-2.1636660000000001</v>
      </c>
      <c r="N270" t="s">
        <v>23</v>
      </c>
      <c r="O270">
        <v>715</v>
      </c>
      <c r="P270">
        <v>9.1</v>
      </c>
      <c r="Q270">
        <v>6</v>
      </c>
      <c r="R270" s="7" t="str">
        <f>IF(AllData[[#This Row],[Nitrate (PPM)]]&gt;2, "Very high", IF(AllData[[#This Row],[Nitrate (PPM)]]&gt;1, "High", IF(AllData[[#This Row],[Nitrate (PPM)]]&gt;0.5, "Some evidence", IF(AllData[[#This Row],[Nitrate (PPM)]]&gt;=0, "No evidence"))))</f>
        <v>Very high</v>
      </c>
      <c r="S270" s="4">
        <v>0.43</v>
      </c>
      <c r="T270" s="7" t="str">
        <f>IF(AllData[[#This Row],[Phosphate (PPM)]]&gt;0.5, "Very high", IF(AllData[[#This Row],[Phosphate (PPM)]]&gt;0.1, "High", IF(AllData[[#This Row],[Phosphate (PPM)]]&gt;0.05, "Some evidence", IF(AllData[[#This Row],[Phosphate (PPM)]]&lt;=0.05, "No Evidence", ""))))</f>
        <v>High</v>
      </c>
      <c r="U270">
        <v>2</v>
      </c>
      <c r="V270" t="s">
        <v>291</v>
      </c>
    </row>
    <row r="271" spans="1:22" x14ac:dyDescent="0.25">
      <c r="A271" t="s">
        <v>447</v>
      </c>
      <c r="B271" s="2">
        <v>45276</v>
      </c>
      <c r="C271" s="2" t="str" cm="1">
        <f t="array" ref="C2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1">
        <f>YEAR(AllData[[#This Row],[Date]])</f>
        <v>2023</v>
      </c>
      <c r="E271" s="1">
        <v>0.63888888888888884</v>
      </c>
      <c r="F271" s="2" t="str">
        <f>IF(AND(AllData[[#This Row],[Time]]&lt;0.5, AllData[[#This Row],[Time]]&gt;0.17)=TRUE, "Morning", IF(AND(AllData[[#This Row],[Time]]&lt;0.75, AllData[[#This Row],[Time]]&gt;=0.5)=TRUE, "Afternoon", IF(AND(AllData[[#This Row],[Time]]&lt;1, AllData[[#This Row],[Time]]&gt;=0.75)=TRUE, "Evening", "Night")))</f>
        <v>Afternoon</v>
      </c>
      <c r="G271" t="str">
        <f>_xlfn.XLOOKUP(AllData[[#This Row],[Location Name]], Locations[Location Name],Locations[Group As])</f>
        <v>Clifford Chambers Mill Bridge</v>
      </c>
      <c r="H271" t="e" vm="2">
        <f>_xlfn.XLOOKUP(AllData[[#This Row],[Site Name]],LocationsKey[Site Name],LocationsKey[District])</f>
        <v>#VALUE!</v>
      </c>
      <c r="I271" t="e" vm="12">
        <f>_xlfn.XLOOKUP(AllData[[#This Row],[Site Name]],LocationsKey[Site Name],LocationsKey[Town])</f>
        <v>#VALUE!</v>
      </c>
      <c r="J271" t="str">
        <f>_xlfn.XLOOKUP(AllData[[#This Row],[Site Name]],LocationsKey[Site Name], LocationsKey[Waterway])</f>
        <v>Stour</v>
      </c>
      <c r="K271" t="s">
        <v>263</v>
      </c>
      <c r="L271">
        <v>52.166370000000001</v>
      </c>
      <c r="M271">
        <v>-1.708032</v>
      </c>
      <c r="N271" t="s">
        <v>66</v>
      </c>
      <c r="O271">
        <v>635</v>
      </c>
      <c r="P271">
        <v>12.5</v>
      </c>
      <c r="Q271">
        <v>4</v>
      </c>
      <c r="R271" s="7" t="str">
        <f>IF(AllData[[#This Row],[Nitrate (PPM)]]&gt;2, "Very high", IF(AllData[[#This Row],[Nitrate (PPM)]]&gt;1, "High", IF(AllData[[#This Row],[Nitrate (PPM)]]&gt;0.5, "Some evidence", IF(AllData[[#This Row],[Nitrate (PPM)]]&gt;=0, "No evidence"))))</f>
        <v>Very high</v>
      </c>
      <c r="S271" s="4">
        <v>0.28000000000000003</v>
      </c>
      <c r="T271" s="7" t="str">
        <f>IF(AllData[[#This Row],[Phosphate (PPM)]]&gt;0.5, "Very high", IF(AllData[[#This Row],[Phosphate (PPM)]]&gt;0.1, "High", IF(AllData[[#This Row],[Phosphate (PPM)]]&gt;0.05, "Some evidence", IF(AllData[[#This Row],[Phosphate (PPM)]]&lt;=0.05, "No Evidence", ""))))</f>
        <v>High</v>
      </c>
      <c r="U271">
        <v>1.2</v>
      </c>
      <c r="V271" t="s">
        <v>448</v>
      </c>
    </row>
    <row r="272" spans="1:22" x14ac:dyDescent="0.25">
      <c r="A272" t="s">
        <v>449</v>
      </c>
      <c r="B272" s="2">
        <v>45276</v>
      </c>
      <c r="C272" s="2" t="str" cm="1">
        <f t="array" ref="C2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2">
        <f>YEAR(AllData[[#This Row],[Date]])</f>
        <v>2023</v>
      </c>
      <c r="E272" s="1">
        <v>0.65277777777777779</v>
      </c>
      <c r="F272" s="2" t="str">
        <f>IF(AND(AllData[[#This Row],[Time]]&lt;0.5, AllData[[#This Row],[Time]]&gt;0.17)=TRUE, "Morning", IF(AND(AllData[[#This Row],[Time]]&lt;0.75, AllData[[#This Row],[Time]]&gt;=0.5)=TRUE, "Afternoon", IF(AND(AllData[[#This Row],[Time]]&lt;1, AllData[[#This Row],[Time]]&gt;=0.75)=TRUE, "Evening", "Night")))</f>
        <v>Afternoon</v>
      </c>
      <c r="G272" t="str">
        <f>_xlfn.XLOOKUP(AllData[[#This Row],[Location Name]], Locations[Location Name],Locations[Group As])</f>
        <v>Clifford Chambers Road Bridge</v>
      </c>
      <c r="H272" t="e" vm="2">
        <f>_xlfn.XLOOKUP(AllData[[#This Row],[Site Name]],LocationsKey[Site Name],LocationsKey[District])</f>
        <v>#VALUE!</v>
      </c>
      <c r="I272" t="e" vm="12">
        <f>_xlfn.XLOOKUP(AllData[[#This Row],[Site Name]],LocationsKey[Site Name],LocationsKey[Town])</f>
        <v>#VALUE!</v>
      </c>
      <c r="J272" t="str">
        <f>_xlfn.XLOOKUP(AllData[[#This Row],[Site Name]],LocationsKey[Site Name], LocationsKey[Waterway])</f>
        <v>Stour</v>
      </c>
      <c r="K272" t="s">
        <v>427</v>
      </c>
      <c r="L272">
        <v>52.172840000000001</v>
      </c>
      <c r="M272">
        <v>-1.71377</v>
      </c>
      <c r="N272" t="s">
        <v>80</v>
      </c>
      <c r="O272">
        <v>644</v>
      </c>
      <c r="P272">
        <v>13.2</v>
      </c>
      <c r="Q272">
        <v>4</v>
      </c>
      <c r="R272" s="7" t="str">
        <f>IF(AllData[[#This Row],[Nitrate (PPM)]]&gt;2, "Very high", IF(AllData[[#This Row],[Nitrate (PPM)]]&gt;1, "High", IF(AllData[[#This Row],[Nitrate (PPM)]]&gt;0.5, "Some evidence", IF(AllData[[#This Row],[Nitrate (PPM)]]&gt;=0, "No evidence"))))</f>
        <v>Very high</v>
      </c>
      <c r="S272" s="4">
        <v>0.23</v>
      </c>
      <c r="T272" s="7" t="str">
        <f>IF(AllData[[#This Row],[Phosphate (PPM)]]&gt;0.5, "Very high", IF(AllData[[#This Row],[Phosphate (PPM)]]&gt;0.1, "High", IF(AllData[[#This Row],[Phosphate (PPM)]]&gt;0.05, "Some evidence", IF(AllData[[#This Row],[Phosphate (PPM)]]&lt;=0.05, "No Evidence", ""))))</f>
        <v>High</v>
      </c>
      <c r="U272">
        <v>1.2</v>
      </c>
    </row>
    <row r="273" spans="1:22" x14ac:dyDescent="0.25">
      <c r="A273" t="s">
        <v>456</v>
      </c>
      <c r="B273" s="2">
        <v>45277</v>
      </c>
      <c r="C273" s="2" t="str" cm="1">
        <f t="array" ref="C2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3">
        <f>YEAR(AllData[[#This Row],[Date]])</f>
        <v>2023</v>
      </c>
      <c r="E273" s="1">
        <v>0.41666666666666669</v>
      </c>
      <c r="F273" s="2" t="str">
        <f>IF(AND(AllData[[#This Row],[Time]]&lt;0.5, AllData[[#This Row],[Time]]&gt;0.17)=TRUE, "Morning", IF(AND(AllData[[#This Row],[Time]]&lt;0.75, AllData[[#This Row],[Time]]&gt;=0.5)=TRUE, "Afternoon", IF(AND(AllData[[#This Row],[Time]]&lt;1, AllData[[#This Row],[Time]]&gt;=0.75)=TRUE, "Evening", "Night")))</f>
        <v>Morning</v>
      </c>
      <c r="G273" t="str">
        <f>_xlfn.XLOOKUP(AllData[[#This Row],[Location Name]], Locations[Location Name],Locations[Group As])</f>
        <v>Lucy's Mill Bridge</v>
      </c>
      <c r="H273" t="e" vm="2">
        <f>_xlfn.XLOOKUP(AllData[[#This Row],[Site Name]],LocationsKey[Site Name],LocationsKey[District])</f>
        <v>#VALUE!</v>
      </c>
      <c r="I273" t="e" vm="7">
        <f>_xlfn.XLOOKUP(AllData[[#This Row],[Site Name]],LocationsKey[Site Name],LocationsKey[Town])</f>
        <v>#VALUE!</v>
      </c>
      <c r="J273" t="str">
        <f>_xlfn.XLOOKUP(AllData[[#This Row],[Site Name]],LocationsKey[Site Name], LocationsKey[Waterway])</f>
        <v>Avon</v>
      </c>
      <c r="K273" t="s">
        <v>216</v>
      </c>
      <c r="L273">
        <v>52.183698999999997</v>
      </c>
      <c r="M273">
        <v>-1.707816</v>
      </c>
      <c r="N273" t="s">
        <v>29</v>
      </c>
      <c r="P273">
        <v>9</v>
      </c>
      <c r="Q273">
        <v>10</v>
      </c>
      <c r="R273" s="7" t="str">
        <f>IF(AllData[[#This Row],[Nitrate (PPM)]]&gt;2, "Very high", IF(AllData[[#This Row],[Nitrate (PPM)]]&gt;1, "High", IF(AllData[[#This Row],[Nitrate (PPM)]]&gt;0.5, "Some evidence", IF(AllData[[#This Row],[Nitrate (PPM)]]&gt;=0, "No evidence"))))</f>
        <v>Very high</v>
      </c>
      <c r="S273" s="4">
        <v>0.43</v>
      </c>
      <c r="T273" s="7" t="str">
        <f>IF(AllData[[#This Row],[Phosphate (PPM)]]&gt;0.5, "Very high", IF(AllData[[#This Row],[Phosphate (PPM)]]&gt;0.1, "High", IF(AllData[[#This Row],[Phosphate (PPM)]]&gt;0.05, "Some evidence", IF(AllData[[#This Row],[Phosphate (PPM)]]&lt;=0.05, "No Evidence", ""))))</f>
        <v>High</v>
      </c>
      <c r="U273">
        <v>0.7</v>
      </c>
    </row>
    <row r="274" spans="1:22" x14ac:dyDescent="0.25">
      <c r="A274" t="s">
        <v>450</v>
      </c>
      <c r="B274" s="2">
        <v>45277</v>
      </c>
      <c r="C274" s="2" t="str" cm="1">
        <f t="array" ref="C2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4">
        <f>YEAR(AllData[[#This Row],[Date]])</f>
        <v>2023</v>
      </c>
      <c r="E274" s="1">
        <v>0.42708333333333331</v>
      </c>
      <c r="F274" s="2" t="str">
        <f>IF(AND(AllData[[#This Row],[Time]]&lt;0.5, AllData[[#This Row],[Time]]&gt;0.17)=TRUE, "Morning", IF(AND(AllData[[#This Row],[Time]]&lt;0.75, AllData[[#This Row],[Time]]&gt;=0.5)=TRUE, "Afternoon", IF(AND(AllData[[#This Row],[Time]]&lt;1, AllData[[#This Row],[Time]]&gt;=0.75)=TRUE, "Evening", "Night")))</f>
        <v>Morning</v>
      </c>
      <c r="G274" t="str">
        <f>_xlfn.XLOOKUP(AllData[[#This Row],[Location Name]], Locations[Location Name],Locations[Group As])</f>
        <v>Barton</v>
      </c>
      <c r="H274" t="e" vm="2">
        <f>_xlfn.XLOOKUP(AllData[[#This Row],[Site Name]],LocationsKey[Site Name],LocationsKey[District])</f>
        <v>#VALUE!</v>
      </c>
      <c r="I274" t="str">
        <f>_xlfn.XLOOKUP(AllData[[#This Row],[Site Name]],LocationsKey[Site Name],LocationsKey[Town])</f>
        <v>Barton</v>
      </c>
      <c r="J274" t="str">
        <f>_xlfn.XLOOKUP(AllData[[#This Row],[Site Name]],LocationsKey[Site Name], LocationsKey[Waterway])</f>
        <v>Avon</v>
      </c>
      <c r="K274" t="s">
        <v>49</v>
      </c>
      <c r="L274">
        <v>52.161209999999997</v>
      </c>
      <c r="M274">
        <v>-1.8301499999999999</v>
      </c>
      <c r="N274" t="s">
        <v>29</v>
      </c>
      <c r="O274">
        <v>726</v>
      </c>
      <c r="P274">
        <v>9.1</v>
      </c>
      <c r="Q274">
        <v>7</v>
      </c>
      <c r="R274" s="7" t="str">
        <f>IF(AllData[[#This Row],[Nitrate (PPM)]]&gt;2, "Very high", IF(AllData[[#This Row],[Nitrate (PPM)]]&gt;1, "High", IF(AllData[[#This Row],[Nitrate (PPM)]]&gt;0.5, "Some evidence", IF(AllData[[#This Row],[Nitrate (PPM)]]&gt;=0, "No evidence"))))</f>
        <v>Very high</v>
      </c>
      <c r="S274" s="4">
        <v>0.39</v>
      </c>
      <c r="T274" s="7" t="str">
        <f>IF(AllData[[#This Row],[Phosphate (PPM)]]&gt;0.5, "Very high", IF(AllData[[#This Row],[Phosphate (PPM)]]&gt;0.1, "High", IF(AllData[[#This Row],[Phosphate (PPM)]]&gt;0.05, "Some evidence", IF(AllData[[#This Row],[Phosphate (PPM)]]&lt;=0.05, "No Evidence", ""))))</f>
        <v>High</v>
      </c>
      <c r="U274">
        <v>0</v>
      </c>
    </row>
    <row r="275" spans="1:22" x14ac:dyDescent="0.25">
      <c r="A275" t="s">
        <v>451</v>
      </c>
      <c r="B275" s="2">
        <v>45277</v>
      </c>
      <c r="C275" s="2" t="str" cm="1">
        <f t="array" ref="C2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5">
        <f>YEAR(AllData[[#This Row],[Date]])</f>
        <v>2023</v>
      </c>
      <c r="E275" s="1">
        <v>0.4375</v>
      </c>
      <c r="F275" s="2" t="str">
        <f>IF(AND(AllData[[#This Row],[Time]]&lt;0.5, AllData[[#This Row],[Time]]&gt;0.17)=TRUE, "Morning", IF(AND(AllData[[#This Row],[Time]]&lt;0.75, AllData[[#This Row],[Time]]&gt;=0.5)=TRUE, "Afternoon", IF(AND(AllData[[#This Row],[Time]]&lt;1, AllData[[#This Row],[Time]]&gt;=0.75)=TRUE, "Evening", "Night")))</f>
        <v>Morning</v>
      </c>
      <c r="G275" t="str">
        <f>_xlfn.XLOOKUP(AllData[[#This Row],[Location Name]], Locations[Location Name],Locations[Group As])</f>
        <v>Abbey Mill</v>
      </c>
      <c r="H275" t="e" vm="1">
        <f>_xlfn.XLOOKUP(AllData[[#This Row],[Site Name]],LocationsKey[Site Name],LocationsKey[District])</f>
        <v>#VALUE!</v>
      </c>
      <c r="I275" t="e" vm="1">
        <f>_xlfn.XLOOKUP(AllData[[#This Row],[Site Name]],LocationsKey[Site Name],LocationsKey[Town])</f>
        <v>#VALUE!</v>
      </c>
      <c r="J275" t="str">
        <f>_xlfn.XLOOKUP(AllData[[#This Row],[Site Name]],LocationsKey[Site Name], LocationsKey[Waterway])</f>
        <v>Avon</v>
      </c>
      <c r="K275" t="s">
        <v>22</v>
      </c>
      <c r="N275" t="s">
        <v>23</v>
      </c>
      <c r="O275">
        <v>653</v>
      </c>
      <c r="P275">
        <v>12</v>
      </c>
      <c r="Q275">
        <v>10</v>
      </c>
      <c r="R275" s="7" t="str">
        <f>IF(AllData[[#This Row],[Nitrate (PPM)]]&gt;2, "Very high", IF(AllData[[#This Row],[Nitrate (PPM)]]&gt;1, "High", IF(AllData[[#This Row],[Nitrate (PPM)]]&gt;0.5, "Some evidence", IF(AllData[[#This Row],[Nitrate (PPM)]]&gt;=0, "No evidence"))))</f>
        <v>Very high</v>
      </c>
      <c r="S275" s="4">
        <v>0.78</v>
      </c>
      <c r="T275" s="7" t="str">
        <f>IF(AllData[[#This Row],[Phosphate (PPM)]]&gt;0.5, "Very high", IF(AllData[[#This Row],[Phosphate (PPM)]]&gt;0.1, "High", IF(AllData[[#This Row],[Phosphate (PPM)]]&gt;0.05, "Some evidence", IF(AllData[[#This Row],[Phosphate (PPM)]]&lt;=0.05, "No Evidence", ""))))</f>
        <v>Very high</v>
      </c>
      <c r="U275">
        <v>2</v>
      </c>
      <c r="V275" t="s">
        <v>291</v>
      </c>
    </row>
    <row r="276" spans="1:22" x14ac:dyDescent="0.25">
      <c r="A276" t="s">
        <v>452</v>
      </c>
      <c r="B276" s="2">
        <v>45277</v>
      </c>
      <c r="C276" s="2" t="str" cm="1">
        <f t="array" ref="C2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6">
        <f>YEAR(AllData[[#This Row],[Date]])</f>
        <v>2023</v>
      </c>
      <c r="E276" s="1">
        <v>0.51041666666666663</v>
      </c>
      <c r="F276" s="2" t="str">
        <f>IF(AND(AllData[[#This Row],[Time]]&lt;0.5, AllData[[#This Row],[Time]]&gt;0.17)=TRUE, "Morning", IF(AND(AllData[[#This Row],[Time]]&lt;0.75, AllData[[#This Row],[Time]]&gt;=0.5)=TRUE, "Afternoon", IF(AND(AllData[[#This Row],[Time]]&lt;1, AllData[[#This Row],[Time]]&gt;=0.75)=TRUE, "Evening", "Night")))</f>
        <v>Afternoon</v>
      </c>
      <c r="G276" t="str">
        <f>_xlfn.XLOOKUP(AllData[[#This Row],[Location Name]], Locations[Location Name],Locations[Group As])</f>
        <v>Hampton Wood</v>
      </c>
      <c r="H276" t="e" vm="2">
        <f>_xlfn.XLOOKUP(AllData[[#This Row],[Site Name]],LocationsKey[Site Name],LocationsKey[District])</f>
        <v>#VALUE!</v>
      </c>
      <c r="I276" t="e" vm="3">
        <f>_xlfn.XLOOKUP(AllData[[#This Row],[Site Name]],LocationsKey[Site Name],LocationsKey[Town])</f>
        <v>#VALUE!</v>
      </c>
      <c r="J276" t="str">
        <f>_xlfn.XLOOKUP(AllData[[#This Row],[Site Name]],LocationsKey[Site Name], LocationsKey[Waterway])</f>
        <v>Avon</v>
      </c>
      <c r="K276" t="s">
        <v>34</v>
      </c>
      <c r="L276">
        <v>52.238149999999997</v>
      </c>
      <c r="M276">
        <v>-1.6245799999999999</v>
      </c>
      <c r="N276" t="s">
        <v>29</v>
      </c>
      <c r="O276">
        <v>730</v>
      </c>
      <c r="P276">
        <v>9.6999999999999993</v>
      </c>
      <c r="Q276">
        <v>10</v>
      </c>
      <c r="R276" s="7" t="str">
        <f>IF(AllData[[#This Row],[Nitrate (PPM)]]&gt;2, "Very high", IF(AllData[[#This Row],[Nitrate (PPM)]]&gt;1, "High", IF(AllData[[#This Row],[Nitrate (PPM)]]&gt;0.5, "Some evidence", IF(AllData[[#This Row],[Nitrate (PPM)]]&gt;=0, "No evidence"))))</f>
        <v>Very high</v>
      </c>
      <c r="S276" s="4">
        <v>0.43</v>
      </c>
      <c r="T276" s="7" t="str">
        <f>IF(AllData[[#This Row],[Phosphate (PPM)]]&gt;0.5, "Very high", IF(AllData[[#This Row],[Phosphate (PPM)]]&gt;0.1, "High", IF(AllData[[#This Row],[Phosphate (PPM)]]&gt;0.05, "Some evidence", IF(AllData[[#This Row],[Phosphate (PPM)]]&lt;=0.05, "No Evidence", ""))))</f>
        <v>High</v>
      </c>
      <c r="U276">
        <v>0</v>
      </c>
    </row>
    <row r="277" spans="1:22" x14ac:dyDescent="0.25">
      <c r="A277" t="s">
        <v>453</v>
      </c>
      <c r="B277" s="2">
        <v>45277</v>
      </c>
      <c r="C277" s="2" t="str" cm="1">
        <f t="array" ref="C2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7">
        <f>YEAR(AllData[[#This Row],[Date]])</f>
        <v>2023</v>
      </c>
      <c r="E277" s="1">
        <v>0.54166666666666663</v>
      </c>
      <c r="F277" s="2" t="str">
        <f>IF(AND(AllData[[#This Row],[Time]]&lt;0.5, AllData[[#This Row],[Time]]&gt;0.17)=TRUE, "Morning", IF(AND(AllData[[#This Row],[Time]]&lt;0.75, AllData[[#This Row],[Time]]&gt;=0.5)=TRUE, "Afternoon", IF(AND(AllData[[#This Row],[Time]]&lt;1, AllData[[#This Row],[Time]]&gt;=0.75)=TRUE, "Evening", "Night")))</f>
        <v>Afternoon</v>
      </c>
      <c r="G277" t="str">
        <f>_xlfn.XLOOKUP(AllData[[#This Row],[Location Name]], Locations[Location Name],Locations[Group As])</f>
        <v>Hampton Lucy</v>
      </c>
      <c r="H277" t="e" vm="2">
        <f>_xlfn.XLOOKUP(AllData[[#This Row],[Site Name]],LocationsKey[Site Name],LocationsKey[District])</f>
        <v>#VALUE!</v>
      </c>
      <c r="I277" t="e" vm="4">
        <f>_xlfn.XLOOKUP(AllData[[#This Row],[Site Name]],LocationsKey[Site Name],LocationsKey[Town])</f>
        <v>#VALUE!</v>
      </c>
      <c r="J277" t="str">
        <f>_xlfn.XLOOKUP(AllData[[#This Row],[Site Name]],LocationsKey[Site Name], LocationsKey[Waterway])</f>
        <v>Avon</v>
      </c>
      <c r="K277" t="s">
        <v>37</v>
      </c>
      <c r="L277">
        <v>52.211680000000001</v>
      </c>
      <c r="M277">
        <v>-1.6244400000000001</v>
      </c>
      <c r="N277" t="s">
        <v>23</v>
      </c>
      <c r="O277" s="219">
        <v>720</v>
      </c>
      <c r="P277">
        <v>9.6999999999999993</v>
      </c>
      <c r="Q277" s="219">
        <v>7</v>
      </c>
      <c r="R277" s="7" t="str">
        <f>IF(AllData[[#This Row],[Nitrate (PPM)]]&gt;2, "Very high", IF(AllData[[#This Row],[Nitrate (PPM)]]&gt;1, "High", IF(AllData[[#This Row],[Nitrate (PPM)]]&gt;0.5, "Some evidence", IF(AllData[[#This Row],[Nitrate (PPM)]]&gt;=0, "No evidence"))))</f>
        <v>Very high</v>
      </c>
      <c r="S277" s="221">
        <v>0.54</v>
      </c>
      <c r="T277" s="7" t="str">
        <f>IF(AllData[[#This Row],[Phosphate (PPM)]]&gt;0.5, "Very high", IF(AllData[[#This Row],[Phosphate (PPM)]]&gt;0.1, "High", IF(AllData[[#This Row],[Phosphate (PPM)]]&gt;0.05, "Some evidence", IF(AllData[[#This Row],[Phosphate (PPM)]]&lt;=0.05, "No Evidence", ""))))</f>
        <v>Very high</v>
      </c>
      <c r="U277">
        <v>0</v>
      </c>
    </row>
    <row r="278" spans="1:22" x14ac:dyDescent="0.25">
      <c r="A278" t="s">
        <v>454</v>
      </c>
      <c r="B278" s="2">
        <v>45277</v>
      </c>
      <c r="C278" s="2" t="str" cm="1">
        <f t="array" ref="C2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8">
        <f>YEAR(AllData[[#This Row],[Date]])</f>
        <v>2023</v>
      </c>
      <c r="E278" s="1">
        <v>0.66666666666666663</v>
      </c>
      <c r="F278" s="2" t="str">
        <f>IF(AND(AllData[[#This Row],[Time]]&lt;0.5, AllData[[#This Row],[Time]]&gt;0.17)=TRUE, "Morning", IF(AND(AllData[[#This Row],[Time]]&lt;0.75, AllData[[#This Row],[Time]]&gt;=0.5)=TRUE, "Afternoon", IF(AND(AllData[[#This Row],[Time]]&lt;1, AllData[[#This Row],[Time]]&gt;=0.75)=TRUE, "Evening", "Night")))</f>
        <v>Afternoon</v>
      </c>
      <c r="G278" t="str">
        <f>_xlfn.XLOOKUP(AllData[[#This Row],[Location Name]], Locations[Location Name],Locations[Group As])</f>
        <v>Welford Boat Station</v>
      </c>
      <c r="H278" t="e" vm="2">
        <f>_xlfn.XLOOKUP(AllData[[#This Row],[Site Name]],LocationsKey[Site Name],LocationsKey[District])</f>
        <v>#VALUE!</v>
      </c>
      <c r="I278" t="e" vm="5">
        <f>_xlfn.XLOOKUP(AllData[[#This Row],[Site Name]],LocationsKey[Site Name],LocationsKey[Town])</f>
        <v>#VALUE!</v>
      </c>
      <c r="J278" t="str">
        <f>_xlfn.XLOOKUP(AllData[[#This Row],[Site Name]],LocationsKey[Site Name], LocationsKey[Waterway])</f>
        <v>Avon</v>
      </c>
      <c r="K278" t="s">
        <v>39</v>
      </c>
      <c r="L278">
        <v>52.175240000000002</v>
      </c>
      <c r="M278">
        <v>-1.7918700000000001</v>
      </c>
      <c r="N278" t="s">
        <v>29</v>
      </c>
      <c r="O278">
        <v>760</v>
      </c>
      <c r="P278">
        <v>9.3000000000000007</v>
      </c>
      <c r="Q278">
        <v>20</v>
      </c>
      <c r="R278" s="7" t="str">
        <f>IF(AllData[[#This Row],[Nitrate (PPM)]]&gt;2, "Very high", IF(AllData[[#This Row],[Nitrate (PPM)]]&gt;1, "High", IF(AllData[[#This Row],[Nitrate (PPM)]]&gt;0.5, "Some evidence", IF(AllData[[#This Row],[Nitrate (PPM)]]&gt;=0, "No evidence"))))</f>
        <v>Very high</v>
      </c>
      <c r="S278" s="4">
        <v>0.39</v>
      </c>
      <c r="T278" s="7" t="str">
        <f>IF(AllData[[#This Row],[Phosphate (PPM)]]&gt;0.5, "Very high", IF(AllData[[#This Row],[Phosphate (PPM)]]&gt;0.1, "High", IF(AllData[[#This Row],[Phosphate (PPM)]]&gt;0.05, "Some evidence", IF(AllData[[#This Row],[Phosphate (PPM)]]&lt;=0.05, "No Evidence", ""))))</f>
        <v>High</v>
      </c>
      <c r="U278">
        <v>0</v>
      </c>
      <c r="V278" t="s">
        <v>455</v>
      </c>
    </row>
    <row r="279" spans="1:22" x14ac:dyDescent="0.25">
      <c r="A279" t="s">
        <v>457</v>
      </c>
      <c r="B279" s="2">
        <v>45278</v>
      </c>
      <c r="C279" s="2" t="str" cm="1">
        <f t="array" ref="C2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9">
        <f>YEAR(AllData[[#This Row],[Date]])</f>
        <v>2023</v>
      </c>
      <c r="E279" s="1">
        <v>0.35486111111111113</v>
      </c>
      <c r="F279" s="2" t="str">
        <f>IF(AND(AllData[[#This Row],[Time]]&lt;0.5, AllData[[#This Row],[Time]]&gt;0.17)=TRUE, "Morning", IF(AND(AllData[[#This Row],[Time]]&lt;0.75, AllData[[#This Row],[Time]]&gt;=0.5)=TRUE, "Afternoon", IF(AND(AllData[[#This Row],[Time]]&lt;1, AllData[[#This Row],[Time]]&gt;=0.75)=TRUE, "Evening", "Night")))</f>
        <v>Morning</v>
      </c>
      <c r="G279" t="str">
        <f>_xlfn.XLOOKUP(AllData[[#This Row],[Location Name]], Locations[Location Name],Locations[Group As])</f>
        <v>Stour Stretton-on-Fosse Village</v>
      </c>
      <c r="H279" t="e" vm="2">
        <f>_xlfn.XLOOKUP(AllData[[#This Row],[Site Name]],LocationsKey[Site Name],LocationsKey[District])</f>
        <v>#VALUE!</v>
      </c>
      <c r="I279" t="e" vm="14">
        <f>_xlfn.XLOOKUP(AllData[[#This Row],[Site Name]],LocationsKey[Site Name],LocationsKey[Town])</f>
        <v>#VALUE!</v>
      </c>
      <c r="J279" t="str">
        <f>_xlfn.XLOOKUP(AllData[[#This Row],[Site Name]],LocationsKey[Site Name], LocationsKey[Waterway])</f>
        <v>Stour</v>
      </c>
      <c r="K279" t="s">
        <v>383</v>
      </c>
      <c r="L279">
        <v>52.046546999999997</v>
      </c>
      <c r="M279">
        <v>-1.6734709999999999</v>
      </c>
      <c r="N279" t="s">
        <v>66</v>
      </c>
      <c r="O279">
        <v>660</v>
      </c>
      <c r="P279">
        <v>9.6</v>
      </c>
      <c r="Q279">
        <v>2</v>
      </c>
      <c r="R279" s="7" t="str">
        <f>IF(AllData[[#This Row],[Nitrate (PPM)]]&gt;2, "Very high", IF(AllData[[#This Row],[Nitrate (PPM)]]&gt;1, "High", IF(AllData[[#This Row],[Nitrate (PPM)]]&gt;0.5, "Some evidence", IF(AllData[[#This Row],[Nitrate (PPM)]]&gt;=0, "No evidence"))))</f>
        <v>High</v>
      </c>
      <c r="S279" s="4">
        <v>1.1100000000000001</v>
      </c>
      <c r="T279" s="7" t="str">
        <f>IF(AllData[[#This Row],[Phosphate (PPM)]]&gt;0.5, "Very high", IF(AllData[[#This Row],[Phosphate (PPM)]]&gt;0.1, "High", IF(AllData[[#This Row],[Phosphate (PPM)]]&gt;0.05, "Some evidence", IF(AllData[[#This Row],[Phosphate (PPM)]]&lt;=0.05, "No Evidence", ""))))</f>
        <v>Very high</v>
      </c>
      <c r="U279">
        <v>0.2</v>
      </c>
    </row>
    <row r="280" spans="1:22" x14ac:dyDescent="0.25">
      <c r="A280" t="s">
        <v>458</v>
      </c>
      <c r="B280" s="2">
        <v>45278</v>
      </c>
      <c r="C280" s="2" t="str" cm="1">
        <f t="array" ref="C2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0">
        <f>YEAR(AllData[[#This Row],[Date]])</f>
        <v>2023</v>
      </c>
      <c r="E280" s="1">
        <v>0.36388888888888887</v>
      </c>
      <c r="F280" s="2" t="str">
        <f>IF(AND(AllData[[#This Row],[Time]]&lt;0.5, AllData[[#This Row],[Time]]&gt;0.17)=TRUE, "Morning", IF(AND(AllData[[#This Row],[Time]]&lt;0.75, AllData[[#This Row],[Time]]&gt;=0.5)=TRUE, "Afternoon", IF(AND(AllData[[#This Row],[Time]]&lt;1, AllData[[#This Row],[Time]]&gt;=0.75)=TRUE, "Evening", "Night")))</f>
        <v>Morning</v>
      </c>
      <c r="G280" t="str">
        <f>_xlfn.XLOOKUP(AllData[[#This Row],[Location Name]], Locations[Location Name],Locations[Group As])</f>
        <v>Stour Stretton-on-Fosse Sewage Works</v>
      </c>
      <c r="H280" t="e" vm="2">
        <f>_xlfn.XLOOKUP(AllData[[#This Row],[Site Name]],LocationsKey[Site Name],LocationsKey[District])</f>
        <v>#VALUE!</v>
      </c>
      <c r="I280" t="e" vm="14">
        <f>_xlfn.XLOOKUP(AllData[[#This Row],[Site Name]],LocationsKey[Site Name],LocationsKey[Town])</f>
        <v>#VALUE!</v>
      </c>
      <c r="J280" t="str">
        <f>_xlfn.XLOOKUP(AllData[[#This Row],[Site Name]],LocationsKey[Site Name], LocationsKey[Waterway])</f>
        <v>Stour</v>
      </c>
      <c r="K280" t="s">
        <v>335</v>
      </c>
      <c r="L280">
        <v>52.045648999999997</v>
      </c>
      <c r="M280">
        <v>-1.6719459999999999</v>
      </c>
      <c r="N280" t="s">
        <v>29</v>
      </c>
      <c r="O280">
        <v>667</v>
      </c>
      <c r="P280">
        <v>9.8000000000000007</v>
      </c>
      <c r="Q280">
        <v>3</v>
      </c>
      <c r="R280" s="7" t="str">
        <f>IF(AllData[[#This Row],[Nitrate (PPM)]]&gt;2, "Very high", IF(AllData[[#This Row],[Nitrate (PPM)]]&gt;1, "High", IF(AllData[[#This Row],[Nitrate (PPM)]]&gt;0.5, "Some evidence", IF(AllData[[#This Row],[Nitrate (PPM)]]&gt;=0, "No evidence"))))</f>
        <v>Very high</v>
      </c>
      <c r="S280" s="4">
        <v>2.16</v>
      </c>
      <c r="T280" s="7" t="str">
        <f>IF(AllData[[#This Row],[Phosphate (PPM)]]&gt;0.5, "Very high", IF(AllData[[#This Row],[Phosphate (PPM)]]&gt;0.1, "High", IF(AllData[[#This Row],[Phosphate (PPM)]]&gt;0.05, "Some evidence", IF(AllData[[#This Row],[Phosphate (PPM)]]&lt;=0.05, "No Evidence", ""))))</f>
        <v>Very high</v>
      </c>
      <c r="U280">
        <v>0.3</v>
      </c>
    </row>
    <row r="281" spans="1:22" x14ac:dyDescent="0.25">
      <c r="A281" t="s">
        <v>459</v>
      </c>
      <c r="B281" s="2">
        <v>45278</v>
      </c>
      <c r="C281" s="2" t="str" cm="1">
        <f t="array" ref="C2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1">
        <f>YEAR(AllData[[#This Row],[Date]])</f>
        <v>2023</v>
      </c>
      <c r="E281" s="1">
        <v>0.62361111111111112</v>
      </c>
      <c r="F281" s="2" t="str">
        <f>IF(AND(AllData[[#This Row],[Time]]&lt;0.5, AllData[[#This Row],[Time]]&gt;0.17)=TRUE, "Morning", IF(AND(AllData[[#This Row],[Time]]&lt;0.75, AllData[[#This Row],[Time]]&gt;=0.5)=TRUE, "Afternoon", IF(AND(AllData[[#This Row],[Time]]&lt;1, AllData[[#This Row],[Time]]&gt;=0.75)=TRUE, "Evening", "Night")))</f>
        <v>Afternoon</v>
      </c>
      <c r="G281" t="str">
        <f>_xlfn.XLOOKUP(AllData[[#This Row],[Location Name]], Locations[Location Name],Locations[Group As])</f>
        <v>Carrant Bredon Rd</v>
      </c>
      <c r="H281" t="e" vm="1">
        <f>_xlfn.XLOOKUP(AllData[[#This Row],[Site Name]],LocationsKey[Site Name],LocationsKey[District])</f>
        <v>#VALUE!</v>
      </c>
      <c r="I281" t="e" vm="1">
        <f>_xlfn.XLOOKUP(AllData[[#This Row],[Site Name]],LocationsKey[Site Name],LocationsKey[Town])</f>
        <v>#VALUE!</v>
      </c>
      <c r="J281" t="str">
        <f>_xlfn.XLOOKUP(AllData[[#This Row],[Site Name]],LocationsKey[Site Name], LocationsKey[Waterway])</f>
        <v>Carrant</v>
      </c>
      <c r="K281" t="s">
        <v>90</v>
      </c>
      <c r="N281" t="s">
        <v>23</v>
      </c>
      <c r="O281">
        <v>676</v>
      </c>
      <c r="P281">
        <v>10.6</v>
      </c>
      <c r="Q281">
        <v>5</v>
      </c>
      <c r="R281" s="7" t="str">
        <f>IF(AllData[[#This Row],[Nitrate (PPM)]]&gt;2, "Very high", IF(AllData[[#This Row],[Nitrate (PPM)]]&gt;1, "High", IF(AllData[[#This Row],[Nitrate (PPM)]]&gt;0.5, "Some evidence", IF(AllData[[#This Row],[Nitrate (PPM)]]&gt;=0, "No evidence"))))</f>
        <v>Very high</v>
      </c>
      <c r="S281" s="4">
        <v>0.3</v>
      </c>
      <c r="T281" s="7" t="str">
        <f>IF(AllData[[#This Row],[Phosphate (PPM)]]&gt;0.5, "Very high", IF(AllData[[#This Row],[Phosphate (PPM)]]&gt;0.1, "High", IF(AllData[[#This Row],[Phosphate (PPM)]]&gt;0.05, "Some evidence", IF(AllData[[#This Row],[Phosphate (PPM)]]&lt;=0.05, "No Evidence", ""))))</f>
        <v>High</v>
      </c>
      <c r="U281">
        <v>1</v>
      </c>
    </row>
    <row r="282" spans="1:22" x14ac:dyDescent="0.25">
      <c r="A282" t="s">
        <v>460</v>
      </c>
      <c r="B282" s="2">
        <v>45279</v>
      </c>
      <c r="C282" s="2" t="str" cm="1">
        <f t="array" ref="C2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2">
        <f>YEAR(AllData[[#This Row],[Date]])</f>
        <v>2023</v>
      </c>
      <c r="E282" s="1">
        <v>0.45277777777777778</v>
      </c>
      <c r="F282" s="2" t="str">
        <f>IF(AND(AllData[[#This Row],[Time]]&lt;0.5, AllData[[#This Row],[Time]]&gt;0.17)=TRUE, "Morning", IF(AND(AllData[[#This Row],[Time]]&lt;0.75, AllData[[#This Row],[Time]]&gt;=0.5)=TRUE, "Afternoon", IF(AND(AllData[[#This Row],[Time]]&lt;1, AllData[[#This Row],[Time]]&gt;=0.75)=TRUE, "Evening", "Night")))</f>
        <v>Morning</v>
      </c>
      <c r="G282" t="str">
        <f>_xlfn.XLOOKUP(AllData[[#This Row],[Location Name]], Locations[Location Name],Locations[Group As])</f>
        <v>Swiffen Bank</v>
      </c>
      <c r="H282" t="e" vm="2">
        <f>_xlfn.XLOOKUP(AllData[[#This Row],[Site Name]],LocationsKey[Site Name],LocationsKey[District])</f>
        <v>#VALUE!</v>
      </c>
      <c r="I282" t="e" vm="13">
        <f>_xlfn.XLOOKUP(AllData[[#This Row],[Site Name]],LocationsKey[Site Name],LocationsKey[Town])</f>
        <v>#VALUE!</v>
      </c>
      <c r="J282" t="str">
        <f>_xlfn.XLOOKUP(AllData[[#This Row],[Site Name]],LocationsKey[Site Name], LocationsKey[Waterway])</f>
        <v>Avon</v>
      </c>
      <c r="K282" t="s">
        <v>284</v>
      </c>
      <c r="L282">
        <v>52.206583999999999</v>
      </c>
      <c r="M282">
        <v>-1.654034</v>
      </c>
      <c r="N282" t="s">
        <v>29</v>
      </c>
      <c r="O282">
        <v>697</v>
      </c>
      <c r="P282">
        <v>11.6</v>
      </c>
      <c r="Q282">
        <v>5</v>
      </c>
      <c r="R282" s="7" t="str">
        <f>IF(AllData[[#This Row],[Nitrate (PPM)]]&gt;2, "Very high", IF(AllData[[#This Row],[Nitrate (PPM)]]&gt;1, "High", IF(AllData[[#This Row],[Nitrate (PPM)]]&gt;0.5, "Some evidence", IF(AllData[[#This Row],[Nitrate (PPM)]]&gt;=0, "No evidence"))))</f>
        <v>Very high</v>
      </c>
      <c r="S282" s="4">
        <v>0.38</v>
      </c>
      <c r="T282" s="7" t="str">
        <f>IF(AllData[[#This Row],[Phosphate (PPM)]]&gt;0.5, "Very high", IF(AllData[[#This Row],[Phosphate (PPM)]]&gt;0.1, "High", IF(AllData[[#This Row],[Phosphate (PPM)]]&gt;0.05, "Some evidence", IF(AllData[[#This Row],[Phosphate (PPM)]]&lt;=0.05, "No Evidence", ""))))</f>
        <v>High</v>
      </c>
      <c r="U282">
        <v>0</v>
      </c>
      <c r="V282" t="s">
        <v>461</v>
      </c>
    </row>
    <row r="283" spans="1:22" x14ac:dyDescent="0.25">
      <c r="A283" t="s">
        <v>462</v>
      </c>
      <c r="B283" s="2">
        <v>45279</v>
      </c>
      <c r="C283" s="2" t="str" cm="1">
        <f t="array" ref="C2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3">
        <f>YEAR(AllData[[#This Row],[Date]])</f>
        <v>2023</v>
      </c>
      <c r="E283" s="1">
        <v>0.46875</v>
      </c>
      <c r="F283" s="2" t="str">
        <f>IF(AND(AllData[[#This Row],[Time]]&lt;0.5, AllData[[#This Row],[Time]]&gt;0.17)=TRUE, "Morning", IF(AND(AllData[[#This Row],[Time]]&lt;0.75, AllData[[#This Row],[Time]]&gt;=0.5)=TRUE, "Afternoon", IF(AND(AllData[[#This Row],[Time]]&lt;1, AllData[[#This Row],[Time]]&gt;=0.75)=TRUE, "Evening", "Night")))</f>
        <v>Morning</v>
      </c>
      <c r="G283" t="str">
        <f>_xlfn.XLOOKUP(AllData[[#This Row],[Location Name]], Locations[Location Name],Locations[Group As])</f>
        <v>Alveston Weir</v>
      </c>
      <c r="H283" t="e" vm="2">
        <f>_xlfn.XLOOKUP(AllData[[#This Row],[Site Name]],LocationsKey[Site Name],LocationsKey[District])</f>
        <v>#VALUE!</v>
      </c>
      <c r="I283" t="e" vm="13">
        <f>_xlfn.XLOOKUP(AllData[[#This Row],[Site Name]],LocationsKey[Site Name],LocationsKey[Town])</f>
        <v>#VALUE!</v>
      </c>
      <c r="J283" t="str">
        <f>_xlfn.XLOOKUP(AllData[[#This Row],[Site Name]],LocationsKey[Site Name], LocationsKey[Waterway])</f>
        <v>Avon</v>
      </c>
      <c r="K283" t="s">
        <v>286</v>
      </c>
      <c r="L283">
        <v>52.212288999999998</v>
      </c>
      <c r="M283">
        <v>-1.660452</v>
      </c>
      <c r="N283" t="s">
        <v>29</v>
      </c>
      <c r="O283">
        <v>683</v>
      </c>
      <c r="P283">
        <v>11.8</v>
      </c>
      <c r="Q283">
        <v>5</v>
      </c>
      <c r="R283" s="7" t="str">
        <f>IF(AllData[[#This Row],[Nitrate (PPM)]]&gt;2, "Very high", IF(AllData[[#This Row],[Nitrate (PPM)]]&gt;1, "High", IF(AllData[[#This Row],[Nitrate (PPM)]]&gt;0.5, "Some evidence", IF(AllData[[#This Row],[Nitrate (PPM)]]&gt;=0, "No evidence"))))</f>
        <v>Very high</v>
      </c>
      <c r="S283" s="4">
        <v>0.37</v>
      </c>
      <c r="T283" s="7" t="str">
        <f>IF(AllData[[#This Row],[Phosphate (PPM)]]&gt;0.5, "Very high", IF(AllData[[#This Row],[Phosphate (PPM)]]&gt;0.1, "High", IF(AllData[[#This Row],[Phosphate (PPM)]]&gt;0.05, "Some evidence", IF(AllData[[#This Row],[Phosphate (PPM)]]&lt;=0.05, "No Evidence", ""))))</f>
        <v>High</v>
      </c>
      <c r="U283">
        <v>2</v>
      </c>
      <c r="V283" t="s">
        <v>463</v>
      </c>
    </row>
    <row r="284" spans="1:22" x14ac:dyDescent="0.25">
      <c r="A284" t="s">
        <v>464</v>
      </c>
      <c r="B284" s="2">
        <v>45280</v>
      </c>
      <c r="C284" s="2" t="str" cm="1">
        <f t="array" ref="C2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4">
        <f>YEAR(AllData[[#This Row],[Date]])</f>
        <v>2023</v>
      </c>
      <c r="E284" s="1">
        <v>0.65416666666666667</v>
      </c>
      <c r="F284" s="2" t="str">
        <f>IF(AND(AllData[[#This Row],[Time]]&lt;0.5, AllData[[#This Row],[Time]]&gt;0.17)=TRUE, "Morning", IF(AND(AllData[[#This Row],[Time]]&lt;0.75, AllData[[#This Row],[Time]]&gt;=0.5)=TRUE, "Afternoon", IF(AND(AllData[[#This Row],[Time]]&lt;1, AllData[[#This Row],[Time]]&gt;=0.75)=TRUE, "Evening", "Night")))</f>
        <v>Afternoon</v>
      </c>
      <c r="G284" t="str">
        <f>_xlfn.XLOOKUP(AllData[[#This Row],[Location Name]], Locations[Location Name],Locations[Group As])</f>
        <v>Stour Newbold Mill</v>
      </c>
      <c r="H284" t="e" vm="2">
        <f>_xlfn.XLOOKUP(AllData[[#This Row],[Site Name]],LocationsKey[Site Name],LocationsKey[District])</f>
        <v>#VALUE!</v>
      </c>
      <c r="I284" t="e" vm="8">
        <f>_xlfn.XLOOKUP(AllData[[#This Row],[Site Name]],LocationsKey[Site Name],LocationsKey[Town])</f>
        <v>#VALUE!</v>
      </c>
      <c r="J284" t="str">
        <f>_xlfn.XLOOKUP(AllData[[#This Row],[Site Name]],LocationsKey[Site Name], LocationsKey[Waterway])</f>
        <v>Stour</v>
      </c>
      <c r="K284" t="s">
        <v>465</v>
      </c>
      <c r="N284" t="s">
        <v>29</v>
      </c>
      <c r="O284">
        <v>664</v>
      </c>
      <c r="P284">
        <v>9.1999999999999993</v>
      </c>
      <c r="Q284">
        <v>4</v>
      </c>
      <c r="R284" s="7" t="str">
        <f>IF(AllData[[#This Row],[Nitrate (PPM)]]&gt;2, "Very high", IF(AllData[[#This Row],[Nitrate (PPM)]]&gt;1, "High", IF(AllData[[#This Row],[Nitrate (PPM)]]&gt;0.5, "Some evidence", IF(AllData[[#This Row],[Nitrate (PPM)]]&gt;=0, "No evidence"))))</f>
        <v>Very high</v>
      </c>
      <c r="S284" s="4">
        <v>0.26</v>
      </c>
      <c r="T284" s="7" t="str">
        <f>IF(AllData[[#This Row],[Phosphate (PPM)]]&gt;0.5, "Very high", IF(AllData[[#This Row],[Phosphate (PPM)]]&gt;0.1, "High", IF(AllData[[#This Row],[Phosphate (PPM)]]&gt;0.05, "Some evidence", IF(AllData[[#This Row],[Phosphate (PPM)]]&lt;=0.05, "No Evidence", ""))))</f>
        <v>High</v>
      </c>
      <c r="U284">
        <v>3.2</v>
      </c>
      <c r="V284" t="s">
        <v>466</v>
      </c>
    </row>
    <row r="285" spans="1:22" x14ac:dyDescent="0.25">
      <c r="A285" t="s">
        <v>467</v>
      </c>
      <c r="B285" s="2">
        <v>45280</v>
      </c>
      <c r="C285" s="2" t="str" cm="1">
        <f t="array" ref="C2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5">
        <f>YEAR(AllData[[#This Row],[Date]])</f>
        <v>2023</v>
      </c>
      <c r="E285" s="1">
        <v>0.66666666666666663</v>
      </c>
      <c r="F285" s="2" t="str">
        <f>IF(AND(AllData[[#This Row],[Time]]&lt;0.5, AllData[[#This Row],[Time]]&gt;0.17)=TRUE, "Morning", IF(AND(AllData[[#This Row],[Time]]&lt;0.75, AllData[[#This Row],[Time]]&gt;=0.5)=TRUE, "Afternoon", IF(AND(AllData[[#This Row],[Time]]&lt;1, AllData[[#This Row],[Time]]&gt;=0.75)=TRUE, "Evening", "Night")))</f>
        <v>Afternoon</v>
      </c>
      <c r="G285" t="str">
        <f>_xlfn.XLOOKUP(AllData[[#This Row],[Location Name]], Locations[Location Name],Locations[Group As])</f>
        <v>Weston-on-Avon</v>
      </c>
      <c r="H285" t="e" vm="2">
        <f>_xlfn.XLOOKUP(AllData[[#This Row],[Site Name]],LocationsKey[Site Name],LocationsKey[District])</f>
        <v>#VALUE!</v>
      </c>
      <c r="I285" t="e" vm="6">
        <f>_xlfn.XLOOKUP(AllData[[#This Row],[Site Name]],LocationsKey[Site Name],LocationsKey[Town])</f>
        <v>#VALUE!</v>
      </c>
      <c r="J285" t="str">
        <f>_xlfn.XLOOKUP(AllData[[#This Row],[Site Name]],LocationsKey[Site Name], LocationsKey[Waterway])</f>
        <v>Avon</v>
      </c>
      <c r="K285" t="s">
        <v>41</v>
      </c>
      <c r="L285">
        <v>52.167430000000003</v>
      </c>
      <c r="M285">
        <v>-1.7744800000000001</v>
      </c>
      <c r="N285" t="s">
        <v>29</v>
      </c>
      <c r="O285">
        <v>684</v>
      </c>
      <c r="P285">
        <v>10.7</v>
      </c>
      <c r="Q285">
        <v>10</v>
      </c>
      <c r="R285" s="7" t="str">
        <f>IF(AllData[[#This Row],[Nitrate (PPM)]]&gt;2, "Very high", IF(AllData[[#This Row],[Nitrate (PPM)]]&gt;1, "High", IF(AllData[[#This Row],[Nitrate (PPM)]]&gt;0.5, "Some evidence", IF(AllData[[#This Row],[Nitrate (PPM)]]&gt;=0, "No evidence"))))</f>
        <v>Very high</v>
      </c>
      <c r="S285" s="4">
        <v>0.4</v>
      </c>
      <c r="T285" s="7" t="str">
        <f>IF(AllData[[#This Row],[Phosphate (PPM)]]&gt;0.5, "Very high", IF(AllData[[#This Row],[Phosphate (PPM)]]&gt;0.1, "High", IF(AllData[[#This Row],[Phosphate (PPM)]]&gt;0.05, "Some evidence", IF(AllData[[#This Row],[Phosphate (PPM)]]&lt;=0.05, "No Evidence", ""))))</f>
        <v>High</v>
      </c>
      <c r="U285">
        <v>0</v>
      </c>
    </row>
    <row r="286" spans="1:22" x14ac:dyDescent="0.25">
      <c r="A286" t="s">
        <v>468</v>
      </c>
      <c r="B286" s="2">
        <v>45281</v>
      </c>
      <c r="C286" s="2" t="str" cm="1">
        <f t="array" ref="C2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6">
        <f>YEAR(AllData[[#This Row],[Date]])</f>
        <v>2023</v>
      </c>
      <c r="E286" s="1">
        <v>0.45833333333333331</v>
      </c>
      <c r="F286" s="2" t="str">
        <f>IF(AND(AllData[[#This Row],[Time]]&lt;0.5, AllData[[#This Row],[Time]]&gt;0.17)=TRUE, "Morning", IF(AND(AllData[[#This Row],[Time]]&lt;0.75, AllData[[#This Row],[Time]]&gt;=0.5)=TRUE, "Afternoon", IF(AND(AllData[[#This Row],[Time]]&lt;1, AllData[[#This Row],[Time]]&gt;=0.75)=TRUE, "Evening", "Night")))</f>
        <v>Morning</v>
      </c>
      <c r="G286" t="str">
        <f>_xlfn.XLOOKUP(AllData[[#This Row],[Location Name]], Locations[Location Name],Locations[Group As])</f>
        <v>Swilgate</v>
      </c>
      <c r="H286" t="e" vm="1">
        <f>_xlfn.XLOOKUP(AllData[[#This Row],[Site Name]],LocationsKey[Site Name],LocationsKey[District])</f>
        <v>#VALUE!</v>
      </c>
      <c r="I286" t="e" vm="1">
        <f>_xlfn.XLOOKUP(AllData[[#This Row],[Site Name]],LocationsKey[Site Name],LocationsKey[Town])</f>
        <v>#VALUE!</v>
      </c>
      <c r="J286" t="str">
        <f>_xlfn.XLOOKUP(AllData[[#This Row],[Site Name]],LocationsKey[Site Name], LocationsKey[Waterway])</f>
        <v>Swilgate</v>
      </c>
      <c r="K286" t="s">
        <v>84</v>
      </c>
      <c r="N286" t="s">
        <v>23</v>
      </c>
      <c r="O286">
        <v>875</v>
      </c>
      <c r="P286">
        <v>11</v>
      </c>
      <c r="Q286">
        <v>5</v>
      </c>
      <c r="R286" s="7" t="str">
        <f>IF(AllData[[#This Row],[Nitrate (PPM)]]&gt;2, "Very high", IF(AllData[[#This Row],[Nitrate (PPM)]]&gt;1, "High", IF(AllData[[#This Row],[Nitrate (PPM)]]&gt;0.5, "Some evidence", IF(AllData[[#This Row],[Nitrate (PPM)]]&gt;=0, "No evidence"))))</f>
        <v>Very high</v>
      </c>
      <c r="S286" s="4">
        <v>0.3</v>
      </c>
      <c r="T286" s="7" t="str">
        <f>IF(AllData[[#This Row],[Phosphate (PPM)]]&gt;0.5, "Very high", IF(AllData[[#This Row],[Phosphate (PPM)]]&gt;0.1, "High", IF(AllData[[#This Row],[Phosphate (PPM)]]&gt;0.05, "Some evidence", IF(AllData[[#This Row],[Phosphate (PPM)]]&lt;=0.05, "No Evidence", ""))))</f>
        <v>High</v>
      </c>
      <c r="U286">
        <v>1</v>
      </c>
    </row>
    <row r="287" spans="1:22" x14ac:dyDescent="0.25">
      <c r="A287" t="s">
        <v>469</v>
      </c>
      <c r="B287" s="2">
        <v>45283</v>
      </c>
      <c r="C287" s="2" t="str" cm="1">
        <f t="array" ref="C2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7">
        <f>YEAR(AllData[[#This Row],[Date]])</f>
        <v>2023</v>
      </c>
      <c r="E287" s="1">
        <v>0.48958333333333331</v>
      </c>
      <c r="F287" s="2" t="str">
        <f>IF(AND(AllData[[#This Row],[Time]]&lt;0.5, AllData[[#This Row],[Time]]&gt;0.17)=TRUE, "Morning", IF(AND(AllData[[#This Row],[Time]]&lt;0.75, AllData[[#This Row],[Time]]&gt;=0.5)=TRUE, "Afternoon", IF(AND(AllData[[#This Row],[Time]]&lt;1, AllData[[#This Row],[Time]]&gt;=0.75)=TRUE, "Evening", "Night")))</f>
        <v>Morning</v>
      </c>
      <c r="G287" t="str">
        <f>_xlfn.XLOOKUP(AllData[[#This Row],[Location Name]], Locations[Location Name],Locations[Group As])</f>
        <v>Carrant Bredon Rd</v>
      </c>
      <c r="H287" t="e" vm="1">
        <f>_xlfn.XLOOKUP(AllData[[#This Row],[Site Name]],LocationsKey[Site Name],LocationsKey[District])</f>
        <v>#VALUE!</v>
      </c>
      <c r="I287" t="e" vm="1">
        <f>_xlfn.XLOOKUP(AllData[[#This Row],[Site Name]],LocationsKey[Site Name],LocationsKey[Town])</f>
        <v>#VALUE!</v>
      </c>
      <c r="J287" t="str">
        <f>_xlfn.XLOOKUP(AllData[[#This Row],[Site Name]],LocationsKey[Site Name], LocationsKey[Waterway])</f>
        <v>Carrant</v>
      </c>
      <c r="K287" t="s">
        <v>90</v>
      </c>
      <c r="N287" t="s">
        <v>23</v>
      </c>
      <c r="O287">
        <v>549</v>
      </c>
      <c r="P287">
        <v>10.1</v>
      </c>
      <c r="Q287">
        <v>7</v>
      </c>
      <c r="R287" s="7" t="str">
        <f>IF(AllData[[#This Row],[Nitrate (PPM)]]&gt;2, "Very high", IF(AllData[[#This Row],[Nitrate (PPM)]]&gt;1, "High", IF(AllData[[#This Row],[Nitrate (PPM)]]&gt;0.5, "Some evidence", IF(AllData[[#This Row],[Nitrate (PPM)]]&gt;=0, "No evidence"))))</f>
        <v>Very high</v>
      </c>
      <c r="S287" s="4">
        <v>0.23</v>
      </c>
      <c r="T287" s="7" t="str">
        <f>IF(AllData[[#This Row],[Phosphate (PPM)]]&gt;0.5, "Very high", IF(AllData[[#This Row],[Phosphate (PPM)]]&gt;0.1, "High", IF(AllData[[#This Row],[Phosphate (PPM)]]&gt;0.05, "Some evidence", IF(AllData[[#This Row],[Phosphate (PPM)]]&lt;=0.05, "No Evidence", ""))))</f>
        <v>High</v>
      </c>
      <c r="U287">
        <v>0.15</v>
      </c>
    </row>
    <row r="288" spans="1:22" x14ac:dyDescent="0.25">
      <c r="A288" t="s">
        <v>470</v>
      </c>
      <c r="B288" s="2">
        <v>45283</v>
      </c>
      <c r="C288" s="2" t="str" cm="1">
        <f t="array" ref="C2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8">
        <f>YEAR(AllData[[#This Row],[Date]])</f>
        <v>2023</v>
      </c>
      <c r="E288" s="1">
        <v>0.61388888888888893</v>
      </c>
      <c r="F288" s="2" t="str">
        <f>IF(AND(AllData[[#This Row],[Time]]&lt;0.5, AllData[[#This Row],[Time]]&gt;0.17)=TRUE, "Morning", IF(AND(AllData[[#This Row],[Time]]&lt;0.75, AllData[[#This Row],[Time]]&gt;=0.5)=TRUE, "Afternoon", IF(AND(AllData[[#This Row],[Time]]&lt;1, AllData[[#This Row],[Time]]&gt;=0.75)=TRUE, "Evening", "Night")))</f>
        <v>Afternoon</v>
      </c>
      <c r="G288" t="str">
        <f>_xlfn.XLOOKUP(AllData[[#This Row],[Location Name]], Locations[Location Name],Locations[Group As])</f>
        <v>Abbey Mill</v>
      </c>
      <c r="H288" t="e" vm="1">
        <f>_xlfn.XLOOKUP(AllData[[#This Row],[Site Name]],LocationsKey[Site Name],LocationsKey[District])</f>
        <v>#VALUE!</v>
      </c>
      <c r="I288" t="e" vm="1">
        <f>_xlfn.XLOOKUP(AllData[[#This Row],[Site Name]],LocationsKey[Site Name],LocationsKey[Town])</f>
        <v>#VALUE!</v>
      </c>
      <c r="J288" t="str">
        <f>_xlfn.XLOOKUP(AllData[[#This Row],[Site Name]],LocationsKey[Site Name], LocationsKey[Waterway])</f>
        <v>Avon</v>
      </c>
      <c r="K288" t="s">
        <v>22</v>
      </c>
      <c r="L288">
        <v>51.991292000000001</v>
      </c>
      <c r="M288">
        <v>-2.1625369999999999</v>
      </c>
      <c r="N288" t="s">
        <v>23</v>
      </c>
      <c r="O288">
        <v>705</v>
      </c>
      <c r="P288">
        <v>12</v>
      </c>
      <c r="Q288">
        <v>10</v>
      </c>
      <c r="R288" s="7" t="str">
        <f>IF(AllData[[#This Row],[Nitrate (PPM)]]&gt;2, "Very high", IF(AllData[[#This Row],[Nitrate (PPM)]]&gt;1, "High", IF(AllData[[#This Row],[Nitrate (PPM)]]&gt;0.5, "Some evidence", IF(AllData[[#This Row],[Nitrate (PPM)]]&gt;=0, "No evidence"))))</f>
        <v>Very high</v>
      </c>
      <c r="S288" s="4">
        <v>0.53</v>
      </c>
      <c r="T288" s="7" t="str">
        <f>IF(AllData[[#This Row],[Phosphate (PPM)]]&gt;0.5, "Very high", IF(AllData[[#This Row],[Phosphate (PPM)]]&gt;0.1, "High", IF(AllData[[#This Row],[Phosphate (PPM)]]&gt;0.05, "Some evidence", IF(AllData[[#This Row],[Phosphate (PPM)]]&lt;=0.05, "No Evidence", ""))))</f>
        <v>Very high</v>
      </c>
      <c r="U288">
        <v>0.3</v>
      </c>
    </row>
    <row r="289" spans="1:22" x14ac:dyDescent="0.25">
      <c r="A289" t="s">
        <v>472</v>
      </c>
      <c r="B289" s="2">
        <v>45283</v>
      </c>
      <c r="C289" s="2" t="str" cm="1">
        <f t="array" ref="C2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9">
        <f>YEAR(AllData[[#This Row],[Date]])</f>
        <v>2023</v>
      </c>
      <c r="E289" s="1">
        <v>0.68055555555555558</v>
      </c>
      <c r="F289" s="2" t="str">
        <f>IF(AND(AllData[[#This Row],[Time]]&lt;0.5, AllData[[#This Row],[Time]]&gt;0.17)=TRUE, "Morning", IF(AND(AllData[[#This Row],[Time]]&lt;0.75, AllData[[#This Row],[Time]]&gt;=0.5)=TRUE, "Afternoon", IF(AND(AllData[[#This Row],[Time]]&lt;1, AllData[[#This Row],[Time]]&gt;=0.75)=TRUE, "Evening", "Night")))</f>
        <v>Afternoon</v>
      </c>
      <c r="G289" t="str">
        <f>_xlfn.XLOOKUP(AllData[[#This Row],[Location Name]], Locations[Location Name],Locations[Group As])</f>
        <v>Clifford Chambers Mill Bridge</v>
      </c>
      <c r="H289" t="e" vm="2">
        <f>_xlfn.XLOOKUP(AllData[[#This Row],[Site Name]],LocationsKey[Site Name],LocationsKey[District])</f>
        <v>#VALUE!</v>
      </c>
      <c r="I289" t="e" vm="12">
        <f>_xlfn.XLOOKUP(AllData[[#This Row],[Site Name]],LocationsKey[Site Name],LocationsKey[Town])</f>
        <v>#VALUE!</v>
      </c>
      <c r="J289" t="str">
        <f>_xlfn.XLOOKUP(AllData[[#This Row],[Site Name]],LocationsKey[Site Name], LocationsKey[Waterway])</f>
        <v>Stour</v>
      </c>
      <c r="K289" t="s">
        <v>263</v>
      </c>
      <c r="L289">
        <v>52.166370000000001</v>
      </c>
      <c r="M289">
        <v>-1.708032</v>
      </c>
      <c r="N289" t="s">
        <v>66</v>
      </c>
      <c r="O289">
        <v>626</v>
      </c>
      <c r="P289">
        <v>12.4</v>
      </c>
      <c r="Q289">
        <v>6</v>
      </c>
      <c r="R289" s="7" t="str">
        <f>IF(AllData[[#This Row],[Nitrate (PPM)]]&gt;2, "Very high", IF(AllData[[#This Row],[Nitrate (PPM)]]&gt;1, "High", IF(AllData[[#This Row],[Nitrate (PPM)]]&gt;0.5, "Some evidence", IF(AllData[[#This Row],[Nitrate (PPM)]]&gt;=0, "No evidence"))))</f>
        <v>Very high</v>
      </c>
      <c r="S289" s="4">
        <v>0.23</v>
      </c>
      <c r="T289" s="7" t="str">
        <f>IF(AllData[[#This Row],[Phosphate (PPM)]]&gt;0.5, "Very high", IF(AllData[[#This Row],[Phosphate (PPM)]]&gt;0.1, "High", IF(AllData[[#This Row],[Phosphate (PPM)]]&gt;0.05, "Some evidence", IF(AllData[[#This Row],[Phosphate (PPM)]]&lt;=0.05, "No Evidence", ""))))</f>
        <v>High</v>
      </c>
      <c r="U289">
        <v>1.2</v>
      </c>
      <c r="V289" t="s">
        <v>448</v>
      </c>
    </row>
    <row r="290" spans="1:22" x14ac:dyDescent="0.25">
      <c r="A290" t="s">
        <v>471</v>
      </c>
      <c r="B290" s="2">
        <v>45283</v>
      </c>
      <c r="C290" s="2" t="str" cm="1">
        <f t="array" ref="C2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0">
        <f>YEAR(AllData[[#This Row],[Date]])</f>
        <v>2023</v>
      </c>
      <c r="E290" s="1">
        <v>0.68055555555555558</v>
      </c>
      <c r="F290" s="2" t="str">
        <f>IF(AND(AllData[[#This Row],[Time]]&lt;0.5, AllData[[#This Row],[Time]]&gt;0.17)=TRUE, "Morning", IF(AND(AllData[[#This Row],[Time]]&lt;0.75, AllData[[#This Row],[Time]]&gt;=0.5)=TRUE, "Afternoon", IF(AND(AllData[[#This Row],[Time]]&lt;1, AllData[[#This Row],[Time]]&gt;=0.75)=TRUE, "Evening", "Night")))</f>
        <v>Afternoon</v>
      </c>
      <c r="G290" t="str">
        <f>_xlfn.XLOOKUP(AllData[[#This Row],[Location Name]], Locations[Location Name],Locations[Group As])</f>
        <v>Clifford Chambers Road Bridge</v>
      </c>
      <c r="H290" t="e" vm="2">
        <f>_xlfn.XLOOKUP(AllData[[#This Row],[Site Name]],LocationsKey[Site Name],LocationsKey[District])</f>
        <v>#VALUE!</v>
      </c>
      <c r="I290" t="e" vm="12">
        <f>_xlfn.XLOOKUP(AllData[[#This Row],[Site Name]],LocationsKey[Site Name],LocationsKey[Town])</f>
        <v>#VALUE!</v>
      </c>
      <c r="J290" t="str">
        <f>_xlfn.XLOOKUP(AllData[[#This Row],[Site Name]],LocationsKey[Site Name], LocationsKey[Waterway])</f>
        <v>Stour</v>
      </c>
      <c r="K290" t="s">
        <v>427</v>
      </c>
      <c r="L290">
        <v>52.172840000000001</v>
      </c>
      <c r="M290">
        <v>-1.71377</v>
      </c>
      <c r="N290" t="s">
        <v>80</v>
      </c>
      <c r="O290">
        <v>636</v>
      </c>
      <c r="P290">
        <v>12.7</v>
      </c>
      <c r="Q290">
        <v>5</v>
      </c>
      <c r="R290" s="7" t="str">
        <f>IF(AllData[[#This Row],[Nitrate (PPM)]]&gt;2, "Very high", IF(AllData[[#This Row],[Nitrate (PPM)]]&gt;1, "High", IF(AllData[[#This Row],[Nitrate (PPM)]]&gt;0.5, "Some evidence", IF(AllData[[#This Row],[Nitrate (PPM)]]&gt;=0, "No evidence"))))</f>
        <v>Very high</v>
      </c>
      <c r="S290" s="4">
        <v>0.24</v>
      </c>
      <c r="T290" s="7" t="str">
        <f>IF(AllData[[#This Row],[Phosphate (PPM)]]&gt;0.5, "Very high", IF(AllData[[#This Row],[Phosphate (PPM)]]&gt;0.1, "High", IF(AllData[[#This Row],[Phosphate (PPM)]]&gt;0.05, "Some evidence", IF(AllData[[#This Row],[Phosphate (PPM)]]&lt;=0.05, "No Evidence", ""))))</f>
        <v>High</v>
      </c>
      <c r="U290">
        <v>1.2</v>
      </c>
    </row>
    <row r="291" spans="1:22" x14ac:dyDescent="0.25">
      <c r="A291" t="s">
        <v>473</v>
      </c>
      <c r="B291" s="2">
        <v>45284</v>
      </c>
      <c r="C291" s="2" t="str" cm="1">
        <f t="array" ref="C2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1">
        <f>YEAR(AllData[[#This Row],[Date]])</f>
        <v>2023</v>
      </c>
      <c r="E291" s="1">
        <v>0.51388888888888884</v>
      </c>
      <c r="F291" s="2" t="str">
        <f>IF(AND(AllData[[#This Row],[Time]]&lt;0.5, AllData[[#This Row],[Time]]&gt;0.17)=TRUE, "Morning", IF(AND(AllData[[#This Row],[Time]]&lt;0.75, AllData[[#This Row],[Time]]&gt;=0.5)=TRUE, "Afternoon", IF(AND(AllData[[#This Row],[Time]]&lt;1, AllData[[#This Row],[Time]]&gt;=0.75)=TRUE, "Evening", "Night")))</f>
        <v>Afternoon</v>
      </c>
      <c r="G291" t="str">
        <f>_xlfn.XLOOKUP(AllData[[#This Row],[Location Name]], Locations[Location Name],Locations[Group As])</f>
        <v>Hampton Wood</v>
      </c>
      <c r="H291" t="e" vm="2">
        <f>_xlfn.XLOOKUP(AllData[[#This Row],[Site Name]],LocationsKey[Site Name],LocationsKey[District])</f>
        <v>#VALUE!</v>
      </c>
      <c r="I291" t="e" vm="3">
        <f>_xlfn.XLOOKUP(AllData[[#This Row],[Site Name]],LocationsKey[Site Name],LocationsKey[Town])</f>
        <v>#VALUE!</v>
      </c>
      <c r="J291" t="str">
        <f>_xlfn.XLOOKUP(AllData[[#This Row],[Site Name]],LocationsKey[Site Name], LocationsKey[Waterway])</f>
        <v>Avon</v>
      </c>
      <c r="K291" t="s">
        <v>34</v>
      </c>
      <c r="L291">
        <v>52.238149999999997</v>
      </c>
      <c r="M291">
        <v>-1.6245799999999999</v>
      </c>
      <c r="N291" t="s">
        <v>29</v>
      </c>
      <c r="O291">
        <v>730</v>
      </c>
      <c r="P291">
        <v>12</v>
      </c>
      <c r="Q291">
        <v>15</v>
      </c>
      <c r="R291" s="7" t="str">
        <f>IF(AllData[[#This Row],[Nitrate (PPM)]]&gt;2, "Very high", IF(AllData[[#This Row],[Nitrate (PPM)]]&gt;1, "High", IF(AllData[[#This Row],[Nitrate (PPM)]]&gt;0.5, "Some evidence", IF(AllData[[#This Row],[Nitrate (PPM)]]&gt;=0, "No evidence"))))</f>
        <v>Very high</v>
      </c>
      <c r="S291" s="4">
        <v>0.45</v>
      </c>
      <c r="T291" s="7" t="str">
        <f>IF(AllData[[#This Row],[Phosphate (PPM)]]&gt;0.5, "Very high", IF(AllData[[#This Row],[Phosphate (PPM)]]&gt;0.1, "High", IF(AllData[[#This Row],[Phosphate (PPM)]]&gt;0.05, "Some evidence", IF(AllData[[#This Row],[Phosphate (PPM)]]&lt;=0.05, "No Evidence", ""))))</f>
        <v>High</v>
      </c>
      <c r="U291">
        <v>0</v>
      </c>
    </row>
    <row r="292" spans="1:22" x14ac:dyDescent="0.25">
      <c r="A292" t="s">
        <v>474</v>
      </c>
      <c r="B292" s="2">
        <v>45284</v>
      </c>
      <c r="C292" s="2" t="str" cm="1">
        <f t="array" ref="C2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2">
        <f>YEAR(AllData[[#This Row],[Date]])</f>
        <v>2023</v>
      </c>
      <c r="E292" s="1">
        <v>0.53125</v>
      </c>
      <c r="F292" s="2" t="str">
        <f>IF(AND(AllData[[#This Row],[Time]]&lt;0.5, AllData[[#This Row],[Time]]&gt;0.17)=TRUE, "Morning", IF(AND(AllData[[#This Row],[Time]]&lt;0.75, AllData[[#This Row],[Time]]&gt;=0.5)=TRUE, "Afternoon", IF(AND(AllData[[#This Row],[Time]]&lt;1, AllData[[#This Row],[Time]]&gt;=0.75)=TRUE, "Evening", "Night")))</f>
        <v>Afternoon</v>
      </c>
      <c r="G292" t="str">
        <f>_xlfn.XLOOKUP(AllData[[#This Row],[Location Name]], Locations[Location Name],Locations[Group As])</f>
        <v>Hampton Lucy</v>
      </c>
      <c r="H292" t="e" vm="2">
        <f>_xlfn.XLOOKUP(AllData[[#This Row],[Site Name]],LocationsKey[Site Name],LocationsKey[District])</f>
        <v>#VALUE!</v>
      </c>
      <c r="I292" t="e" vm="4">
        <f>_xlfn.XLOOKUP(AllData[[#This Row],[Site Name]],LocationsKey[Site Name],LocationsKey[Town])</f>
        <v>#VALUE!</v>
      </c>
      <c r="J292" t="str">
        <f>_xlfn.XLOOKUP(AllData[[#This Row],[Site Name]],LocationsKey[Site Name], LocationsKey[Waterway])</f>
        <v>Avon</v>
      </c>
      <c r="K292" t="s">
        <v>37</v>
      </c>
      <c r="L292">
        <v>52.211680000000001</v>
      </c>
      <c r="M292">
        <v>-1.6244400000000001</v>
      </c>
      <c r="N292" t="s">
        <v>23</v>
      </c>
      <c r="O292" s="219">
        <v>732</v>
      </c>
      <c r="P292">
        <v>11.4</v>
      </c>
      <c r="Q292" s="219">
        <v>20</v>
      </c>
      <c r="R292" s="7" t="str">
        <f>IF(AllData[[#This Row],[Nitrate (PPM)]]&gt;2, "Very high", IF(AllData[[#This Row],[Nitrate (PPM)]]&gt;1, "High", IF(AllData[[#This Row],[Nitrate (PPM)]]&gt;0.5, "Some evidence", IF(AllData[[#This Row],[Nitrate (PPM)]]&gt;=0, "No evidence"))))</f>
        <v>Very high</v>
      </c>
      <c r="S292" s="221">
        <v>0.51</v>
      </c>
      <c r="T292" s="7" t="str">
        <f>IF(AllData[[#This Row],[Phosphate (PPM)]]&gt;0.5, "Very high", IF(AllData[[#This Row],[Phosphate (PPM)]]&gt;0.1, "High", IF(AllData[[#This Row],[Phosphate (PPM)]]&gt;0.05, "Some evidence", IF(AllData[[#This Row],[Phosphate (PPM)]]&lt;=0.05, "No Evidence", ""))))</f>
        <v>Very high</v>
      </c>
      <c r="U292">
        <v>0</v>
      </c>
    </row>
    <row r="293" spans="1:22" x14ac:dyDescent="0.25">
      <c r="A293" t="s">
        <v>475</v>
      </c>
      <c r="B293" s="2">
        <v>45286</v>
      </c>
      <c r="C293" s="2" t="str" cm="1">
        <f t="array" ref="C2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3">
        <f>YEAR(AllData[[#This Row],[Date]])</f>
        <v>2023</v>
      </c>
      <c r="E293" s="1">
        <v>0.625</v>
      </c>
      <c r="F293" s="2" t="str">
        <f>IF(AND(AllData[[#This Row],[Time]]&lt;0.5, AllData[[#This Row],[Time]]&gt;0.17)=TRUE, "Morning", IF(AND(AllData[[#This Row],[Time]]&lt;0.75, AllData[[#This Row],[Time]]&gt;=0.5)=TRUE, "Afternoon", IF(AND(AllData[[#This Row],[Time]]&lt;1, AllData[[#This Row],[Time]]&gt;=0.75)=TRUE, "Evening", "Night")))</f>
        <v>Afternoon</v>
      </c>
      <c r="G293" t="str">
        <f>_xlfn.XLOOKUP(AllData[[#This Row],[Location Name]], Locations[Location Name],Locations[Group As])</f>
        <v>Weston-on-Avon</v>
      </c>
      <c r="H293" t="e" vm="2">
        <f>_xlfn.XLOOKUP(AllData[[#This Row],[Site Name]],LocationsKey[Site Name],LocationsKey[District])</f>
        <v>#VALUE!</v>
      </c>
      <c r="I293" t="e" vm="6">
        <f>_xlfn.XLOOKUP(AllData[[#This Row],[Site Name]],LocationsKey[Site Name],LocationsKey[Town])</f>
        <v>#VALUE!</v>
      </c>
      <c r="J293" t="str">
        <f>_xlfn.XLOOKUP(AllData[[#This Row],[Site Name]],LocationsKey[Site Name], LocationsKey[Waterway])</f>
        <v>Avon</v>
      </c>
      <c r="K293" t="s">
        <v>41</v>
      </c>
      <c r="L293">
        <v>52.167430000000003</v>
      </c>
      <c r="M293">
        <v>-1.7744</v>
      </c>
      <c r="N293" t="s">
        <v>29</v>
      </c>
      <c r="O293">
        <v>780</v>
      </c>
      <c r="P293">
        <v>10.6</v>
      </c>
      <c r="Q293">
        <v>7</v>
      </c>
      <c r="R293" s="7" t="str">
        <f>IF(AllData[[#This Row],[Nitrate (PPM)]]&gt;2, "Very high", IF(AllData[[#This Row],[Nitrate (PPM)]]&gt;1, "High", IF(AllData[[#This Row],[Nitrate (PPM)]]&gt;0.5, "Some evidence", IF(AllData[[#This Row],[Nitrate (PPM)]]&gt;=0, "No evidence"))))</f>
        <v>Very high</v>
      </c>
      <c r="S293" s="4">
        <v>0.46</v>
      </c>
      <c r="T293" s="7" t="str">
        <f>IF(AllData[[#This Row],[Phosphate (PPM)]]&gt;0.5, "Very high", IF(AllData[[#This Row],[Phosphate (PPM)]]&gt;0.1, "High", IF(AllData[[#This Row],[Phosphate (PPM)]]&gt;0.05, "Some evidence", IF(AllData[[#This Row],[Phosphate (PPM)]]&lt;=0.05, "No Evidence", ""))))</f>
        <v>High</v>
      </c>
      <c r="U293">
        <v>0</v>
      </c>
    </row>
    <row r="294" spans="1:22" x14ac:dyDescent="0.25">
      <c r="A294" t="s">
        <v>476</v>
      </c>
      <c r="B294" s="2">
        <v>45287</v>
      </c>
      <c r="C294" s="2" t="str" cm="1">
        <f t="array" ref="C2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4">
        <f>YEAR(AllData[[#This Row],[Date]])</f>
        <v>2023</v>
      </c>
      <c r="E294" s="1">
        <v>0.52083333333333337</v>
      </c>
      <c r="F294" s="2" t="str">
        <f>IF(AND(AllData[[#This Row],[Time]]&lt;0.5, AllData[[#This Row],[Time]]&gt;0.17)=TRUE, "Morning", IF(AND(AllData[[#This Row],[Time]]&lt;0.75, AllData[[#This Row],[Time]]&gt;=0.5)=TRUE, "Afternoon", IF(AND(AllData[[#This Row],[Time]]&lt;1, AllData[[#This Row],[Time]]&gt;=0.75)=TRUE, "Evening", "Night")))</f>
        <v>Afternoon</v>
      </c>
      <c r="G294" t="str">
        <f>_xlfn.XLOOKUP(AllData[[#This Row],[Location Name]], Locations[Location Name],Locations[Group As])</f>
        <v>Barton</v>
      </c>
      <c r="H294" t="e" vm="2">
        <f>_xlfn.XLOOKUP(AllData[[#This Row],[Site Name]],LocationsKey[Site Name],LocationsKey[District])</f>
        <v>#VALUE!</v>
      </c>
      <c r="I294" t="str">
        <f>_xlfn.XLOOKUP(AllData[[#This Row],[Site Name]],LocationsKey[Site Name],LocationsKey[Town])</f>
        <v>Barton</v>
      </c>
      <c r="J294" t="str">
        <f>_xlfn.XLOOKUP(AllData[[#This Row],[Site Name]],LocationsKey[Site Name], LocationsKey[Waterway])</f>
        <v>Avon</v>
      </c>
      <c r="K294" t="s">
        <v>49</v>
      </c>
      <c r="L294">
        <v>52.161209999999997</v>
      </c>
      <c r="M294">
        <v>-1.8301499999999999</v>
      </c>
      <c r="N294" t="s">
        <v>29</v>
      </c>
      <c r="O294">
        <v>732</v>
      </c>
      <c r="P294">
        <v>7.9</v>
      </c>
      <c r="Q294">
        <v>25</v>
      </c>
      <c r="R294" s="7" t="str">
        <f>IF(AllData[[#This Row],[Nitrate (PPM)]]&gt;2, "Very high", IF(AllData[[#This Row],[Nitrate (PPM)]]&gt;1, "High", IF(AllData[[#This Row],[Nitrate (PPM)]]&gt;0.5, "Some evidence", IF(AllData[[#This Row],[Nitrate (PPM)]]&gt;=0, "No evidence"))))</f>
        <v>Very high</v>
      </c>
      <c r="S294" s="4">
        <v>0.42</v>
      </c>
      <c r="T294" s="7" t="str">
        <f>IF(AllData[[#This Row],[Phosphate (PPM)]]&gt;0.5, "Very high", IF(AllData[[#This Row],[Phosphate (PPM)]]&gt;0.1, "High", IF(AllData[[#This Row],[Phosphate (PPM)]]&gt;0.05, "Some evidence", IF(AllData[[#This Row],[Phosphate (PPM)]]&lt;=0.05, "No Evidence", ""))))</f>
        <v>High</v>
      </c>
      <c r="U294">
        <v>0</v>
      </c>
    </row>
    <row r="295" spans="1:22" x14ac:dyDescent="0.25">
      <c r="A295" t="s">
        <v>477</v>
      </c>
      <c r="B295" s="2">
        <v>45288</v>
      </c>
      <c r="C295" s="2" t="str" cm="1">
        <f t="array" ref="C2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5">
        <f>YEAR(AllData[[#This Row],[Date]])</f>
        <v>2023</v>
      </c>
      <c r="E295" s="1">
        <v>0.48402777777777778</v>
      </c>
      <c r="F295" s="2" t="str">
        <f>IF(AND(AllData[[#This Row],[Time]]&lt;0.5, AllData[[#This Row],[Time]]&gt;0.17)=TRUE, "Morning", IF(AND(AllData[[#This Row],[Time]]&lt;0.75, AllData[[#This Row],[Time]]&gt;=0.5)=TRUE, "Afternoon", IF(AND(AllData[[#This Row],[Time]]&lt;1, AllData[[#This Row],[Time]]&gt;=0.75)=TRUE, "Evening", "Night")))</f>
        <v>Morning</v>
      </c>
      <c r="G295" t="str">
        <f>_xlfn.XLOOKUP(AllData[[#This Row],[Location Name]], Locations[Location Name],Locations[Group As])</f>
        <v>Alveston Weir</v>
      </c>
      <c r="H295" t="e" vm="2">
        <f>_xlfn.XLOOKUP(AllData[[#This Row],[Site Name]],LocationsKey[Site Name],LocationsKey[District])</f>
        <v>#VALUE!</v>
      </c>
      <c r="I295" t="e" vm="13">
        <f>_xlfn.XLOOKUP(AllData[[#This Row],[Site Name]],LocationsKey[Site Name],LocationsKey[Town])</f>
        <v>#VALUE!</v>
      </c>
      <c r="J295" t="str">
        <f>_xlfn.XLOOKUP(AllData[[#This Row],[Site Name]],LocationsKey[Site Name], LocationsKey[Waterway])</f>
        <v>Avon</v>
      </c>
      <c r="K295" t="s">
        <v>286</v>
      </c>
      <c r="L295">
        <v>52.214308000000003</v>
      </c>
      <c r="M295">
        <v>-1.660922</v>
      </c>
      <c r="N295" t="s">
        <v>29</v>
      </c>
      <c r="O295">
        <v>495</v>
      </c>
      <c r="P295">
        <v>10.1</v>
      </c>
      <c r="Q295">
        <v>2</v>
      </c>
      <c r="R295" s="7" t="str">
        <f>IF(AllData[[#This Row],[Nitrate (PPM)]]&gt;2, "Very high", IF(AllData[[#This Row],[Nitrate (PPM)]]&gt;1, "High", IF(AllData[[#This Row],[Nitrate (PPM)]]&gt;0.5, "Some evidence", IF(AllData[[#This Row],[Nitrate (PPM)]]&gt;=0, "No evidence"))))</f>
        <v>High</v>
      </c>
      <c r="S295" s="4">
        <v>0.63</v>
      </c>
      <c r="T295" s="7" t="str">
        <f>IF(AllData[[#This Row],[Phosphate (PPM)]]&gt;0.5, "Very high", IF(AllData[[#This Row],[Phosphate (PPM)]]&gt;0.1, "High", IF(AllData[[#This Row],[Phosphate (PPM)]]&gt;0.05, "Some evidence", IF(AllData[[#This Row],[Phosphate (PPM)]]&lt;=0.05, "No Evidence", ""))))</f>
        <v>Very high</v>
      </c>
      <c r="U295">
        <v>1</v>
      </c>
      <c r="V295" t="s">
        <v>478</v>
      </c>
    </row>
    <row r="296" spans="1:22" x14ac:dyDescent="0.25">
      <c r="A296" t="s">
        <v>482</v>
      </c>
      <c r="B296" s="2">
        <v>45288</v>
      </c>
      <c r="C296" s="2" t="str" cm="1">
        <f t="array" ref="C2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6">
        <f>YEAR(AllData[[#This Row],[Date]])</f>
        <v>2023</v>
      </c>
      <c r="E296" s="1">
        <v>0.5</v>
      </c>
      <c r="F296" s="2" t="str">
        <f>IF(AND(AllData[[#This Row],[Time]]&lt;0.5, AllData[[#This Row],[Time]]&gt;0.17)=TRUE, "Morning", IF(AND(AllData[[#This Row],[Time]]&lt;0.75, AllData[[#This Row],[Time]]&gt;=0.5)=TRUE, "Afternoon", IF(AND(AllData[[#This Row],[Time]]&lt;1, AllData[[#This Row],[Time]]&gt;=0.75)=TRUE, "Evening", "Night")))</f>
        <v>Afternoon</v>
      </c>
      <c r="G296" t="str">
        <f>_xlfn.XLOOKUP(AllData[[#This Row],[Location Name]], Locations[Location Name],Locations[Group As])</f>
        <v>Swiffen Bank</v>
      </c>
      <c r="H296" t="e" vm="2">
        <f>_xlfn.XLOOKUP(AllData[[#This Row],[Site Name]],LocationsKey[Site Name],LocationsKey[District])</f>
        <v>#VALUE!</v>
      </c>
      <c r="I296" t="e" vm="13">
        <f>_xlfn.XLOOKUP(AllData[[#This Row],[Site Name]],LocationsKey[Site Name],LocationsKey[Town])</f>
        <v>#VALUE!</v>
      </c>
      <c r="J296" t="str">
        <f>_xlfn.XLOOKUP(AllData[[#This Row],[Site Name]],LocationsKey[Site Name], LocationsKey[Waterway])</f>
        <v>Avon</v>
      </c>
      <c r="K296" t="s">
        <v>284</v>
      </c>
      <c r="L296">
        <v>52.205849000000001</v>
      </c>
      <c r="M296">
        <v>-1.6554519999999999</v>
      </c>
      <c r="N296" t="s">
        <v>29</v>
      </c>
      <c r="O296">
        <v>513</v>
      </c>
      <c r="P296">
        <v>11.1</v>
      </c>
      <c r="Q296">
        <v>2</v>
      </c>
      <c r="R296" s="7" t="str">
        <f>IF(AllData[[#This Row],[Nitrate (PPM)]]&gt;2, "Very high", IF(AllData[[#This Row],[Nitrate (PPM)]]&gt;1, "High", IF(AllData[[#This Row],[Nitrate (PPM)]]&gt;0.5, "Some evidence", IF(AllData[[#This Row],[Nitrate (PPM)]]&gt;=0, "No evidence"))))</f>
        <v>High</v>
      </c>
      <c r="S296" s="4">
        <v>0.82</v>
      </c>
      <c r="T296" s="7" t="str">
        <f>IF(AllData[[#This Row],[Phosphate (PPM)]]&gt;0.5, "Very high", IF(AllData[[#This Row],[Phosphate (PPM)]]&gt;0.1, "High", IF(AllData[[#This Row],[Phosphate (PPM)]]&gt;0.05, "Some evidence", IF(AllData[[#This Row],[Phosphate (PPM)]]&lt;=0.05, "No Evidence", ""))))</f>
        <v>Very high</v>
      </c>
      <c r="U296">
        <v>2</v>
      </c>
      <c r="V296" t="s">
        <v>483</v>
      </c>
    </row>
    <row r="297" spans="1:22" x14ac:dyDescent="0.25">
      <c r="A297" t="s">
        <v>479</v>
      </c>
      <c r="B297" s="2">
        <v>45288</v>
      </c>
      <c r="C297" s="2" t="str" cm="1">
        <f t="array" ref="C2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7">
        <f>YEAR(AllData[[#This Row],[Date]])</f>
        <v>2023</v>
      </c>
      <c r="E297" s="1">
        <v>0.5</v>
      </c>
      <c r="F297" s="2" t="str">
        <f>IF(AND(AllData[[#This Row],[Time]]&lt;0.5, AllData[[#This Row],[Time]]&gt;0.17)=TRUE, "Morning", IF(AND(AllData[[#This Row],[Time]]&lt;0.75, AllData[[#This Row],[Time]]&gt;=0.5)=TRUE, "Afternoon", IF(AND(AllData[[#This Row],[Time]]&lt;1, AllData[[#This Row],[Time]]&gt;=0.75)=TRUE, "Evening", "Night")))</f>
        <v>Afternoon</v>
      </c>
      <c r="G297" t="str">
        <f>_xlfn.XLOOKUP(AllData[[#This Row],[Location Name]], Locations[Location Name],Locations[Group As])</f>
        <v>Swilgate</v>
      </c>
      <c r="H297" t="e" vm="1">
        <f>_xlfn.XLOOKUP(AllData[[#This Row],[Site Name]],LocationsKey[Site Name],LocationsKey[District])</f>
        <v>#VALUE!</v>
      </c>
      <c r="I297" t="e" vm="1">
        <f>_xlfn.XLOOKUP(AllData[[#This Row],[Site Name]],LocationsKey[Site Name],LocationsKey[Town])</f>
        <v>#VALUE!</v>
      </c>
      <c r="J297" t="str">
        <f>_xlfn.XLOOKUP(AllData[[#This Row],[Site Name]],LocationsKey[Site Name], LocationsKey[Waterway])</f>
        <v>Swilgate</v>
      </c>
      <c r="K297" t="s">
        <v>480</v>
      </c>
      <c r="N297" t="s">
        <v>23</v>
      </c>
      <c r="O297">
        <v>797</v>
      </c>
      <c r="P297">
        <v>10.7</v>
      </c>
      <c r="Q297">
        <v>4</v>
      </c>
      <c r="R297" s="7" t="str">
        <f>IF(AllData[[#This Row],[Nitrate (PPM)]]&gt;2, "Very high", IF(AllData[[#This Row],[Nitrate (PPM)]]&gt;1, "High", IF(AllData[[#This Row],[Nitrate (PPM)]]&gt;0.5, "Some evidence", IF(AllData[[#This Row],[Nitrate (PPM)]]&gt;=0, "No evidence"))))</f>
        <v>Very high</v>
      </c>
      <c r="S297" s="4">
        <v>0.55000000000000004</v>
      </c>
      <c r="T297" s="7" t="str">
        <f>IF(AllData[[#This Row],[Phosphate (PPM)]]&gt;0.5, "Very high", IF(AllData[[#This Row],[Phosphate (PPM)]]&gt;0.1, "High", IF(AllData[[#This Row],[Phosphate (PPM)]]&gt;0.05, "Some evidence", IF(AllData[[#This Row],[Phosphate (PPM)]]&lt;=0.05, "No Evidence", ""))))</f>
        <v>Very high</v>
      </c>
      <c r="U297">
        <v>2</v>
      </c>
      <c r="V297" t="s">
        <v>481</v>
      </c>
    </row>
    <row r="298" spans="1:22" x14ac:dyDescent="0.25">
      <c r="A298" t="s">
        <v>484</v>
      </c>
      <c r="B298" s="2">
        <v>45290</v>
      </c>
      <c r="C298" s="2" t="str" cm="1">
        <f t="array" ref="C2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8">
        <f>YEAR(AllData[[#This Row],[Date]])</f>
        <v>2023</v>
      </c>
      <c r="E298" s="1">
        <v>0.5</v>
      </c>
      <c r="F298" s="2" t="str">
        <f>IF(AND(AllData[[#This Row],[Time]]&lt;0.5, AllData[[#This Row],[Time]]&gt;0.17)=TRUE, "Morning", IF(AND(AllData[[#This Row],[Time]]&lt;0.75, AllData[[#This Row],[Time]]&gt;=0.5)=TRUE, "Afternoon", IF(AND(AllData[[#This Row],[Time]]&lt;1, AllData[[#This Row],[Time]]&gt;=0.75)=TRUE, "Evening", "Night")))</f>
        <v>Afternoon</v>
      </c>
      <c r="G298" t="str">
        <f>_xlfn.XLOOKUP(AllData[[#This Row],[Location Name]], Locations[Location Name],Locations[Group As])</f>
        <v>Carrant Bredon Rd</v>
      </c>
      <c r="H298" t="e" vm="1">
        <f>_xlfn.XLOOKUP(AllData[[#This Row],[Site Name]],LocationsKey[Site Name],LocationsKey[District])</f>
        <v>#VALUE!</v>
      </c>
      <c r="I298" t="e" vm="1">
        <f>_xlfn.XLOOKUP(AllData[[#This Row],[Site Name]],LocationsKey[Site Name],LocationsKey[Town])</f>
        <v>#VALUE!</v>
      </c>
      <c r="J298" t="str">
        <f>_xlfn.XLOOKUP(AllData[[#This Row],[Site Name]],LocationsKey[Site Name], LocationsKey[Waterway])</f>
        <v>Carrant</v>
      </c>
      <c r="K298" t="s">
        <v>90</v>
      </c>
      <c r="L298">
        <v>51.998399999999997</v>
      </c>
      <c r="M298">
        <v>-2.1528</v>
      </c>
      <c r="N298" t="s">
        <v>23</v>
      </c>
      <c r="O298">
        <v>497</v>
      </c>
      <c r="P298">
        <v>9.4</v>
      </c>
      <c r="Q298">
        <v>5</v>
      </c>
      <c r="R298" s="7" t="str">
        <f>IF(AllData[[#This Row],[Nitrate (PPM)]]&gt;2, "Very high", IF(AllData[[#This Row],[Nitrate (PPM)]]&gt;1, "High", IF(AllData[[#This Row],[Nitrate (PPM)]]&gt;0.5, "Some evidence", IF(AllData[[#This Row],[Nitrate (PPM)]]&gt;=0, "No evidence"))))</f>
        <v>Very high</v>
      </c>
      <c r="S298" s="4">
        <v>0.79</v>
      </c>
      <c r="T298" s="7" t="str">
        <f>IF(AllData[[#This Row],[Phosphate (PPM)]]&gt;0.5, "Very high", IF(AllData[[#This Row],[Phosphate (PPM)]]&gt;0.1, "High", IF(AllData[[#This Row],[Phosphate (PPM)]]&gt;0.05, "Some evidence", IF(AllData[[#This Row],[Phosphate (PPM)]]&lt;=0.05, "No Evidence", ""))))</f>
        <v>Very high</v>
      </c>
      <c r="U298">
        <v>2</v>
      </c>
      <c r="V298" t="s">
        <v>270</v>
      </c>
    </row>
    <row r="299" spans="1:22" x14ac:dyDescent="0.25">
      <c r="A299" t="s">
        <v>485</v>
      </c>
      <c r="B299" s="2">
        <v>45290</v>
      </c>
      <c r="C299" s="2" t="str" cm="1">
        <f t="array" ref="C2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9">
        <f>YEAR(AllData[[#This Row],[Date]])</f>
        <v>2023</v>
      </c>
      <c r="E299" s="1">
        <v>0.60416666666666663</v>
      </c>
      <c r="F299" s="2" t="str">
        <f>IF(AND(AllData[[#This Row],[Time]]&lt;0.5, AllData[[#This Row],[Time]]&gt;0.17)=TRUE, "Morning", IF(AND(AllData[[#This Row],[Time]]&lt;0.75, AllData[[#This Row],[Time]]&gt;=0.5)=TRUE, "Afternoon", IF(AND(AllData[[#This Row],[Time]]&lt;1, AllData[[#This Row],[Time]]&gt;=0.75)=TRUE, "Evening", "Night")))</f>
        <v>Afternoon</v>
      </c>
      <c r="G299" t="str">
        <f>_xlfn.XLOOKUP(AllData[[#This Row],[Location Name]], Locations[Location Name],Locations[Group As])</f>
        <v>Abbey Mill</v>
      </c>
      <c r="H299" t="e" vm="1">
        <f>_xlfn.XLOOKUP(AllData[[#This Row],[Site Name]],LocationsKey[Site Name],LocationsKey[District])</f>
        <v>#VALUE!</v>
      </c>
      <c r="I299" t="e" vm="1">
        <f>_xlfn.XLOOKUP(AllData[[#This Row],[Site Name]],LocationsKey[Site Name],LocationsKey[Town])</f>
        <v>#VALUE!</v>
      </c>
      <c r="J299" t="str">
        <f>_xlfn.XLOOKUP(AllData[[#This Row],[Site Name]],LocationsKey[Site Name], LocationsKey[Waterway])</f>
        <v>Avon</v>
      </c>
      <c r="K299" t="s">
        <v>22</v>
      </c>
      <c r="N299" t="s">
        <v>23</v>
      </c>
      <c r="O299" s="219">
        <v>474</v>
      </c>
      <c r="P299">
        <v>11.1</v>
      </c>
      <c r="Q299" s="219">
        <v>4</v>
      </c>
      <c r="R299" s="7" t="str">
        <f>IF(AllData[[#This Row],[Nitrate (PPM)]]&gt;2, "Very high", IF(AllData[[#This Row],[Nitrate (PPM)]]&gt;1, "High", IF(AllData[[#This Row],[Nitrate (PPM)]]&gt;0.5, "Some evidence", IF(AllData[[#This Row],[Nitrate (PPM)]]&gt;=0, "No evidence"))))</f>
        <v>Very high</v>
      </c>
      <c r="S299" s="221">
        <v>0.86</v>
      </c>
      <c r="T299" s="7" t="str">
        <f>IF(AllData[[#This Row],[Phosphate (PPM)]]&gt;0.5, "Very high", IF(AllData[[#This Row],[Phosphate (PPM)]]&gt;0.1, "High", IF(AllData[[#This Row],[Phosphate (PPM)]]&gt;0.05, "Some evidence", IF(AllData[[#This Row],[Phosphate (PPM)]]&lt;=0.05, "No Evidence", ""))))</f>
        <v>Very high</v>
      </c>
      <c r="U299">
        <v>2.6</v>
      </c>
      <c r="V299" t="s">
        <v>486</v>
      </c>
    </row>
    <row r="300" spans="1:22" x14ac:dyDescent="0.25">
      <c r="A300" t="s">
        <v>487</v>
      </c>
      <c r="B300" s="2">
        <v>45291</v>
      </c>
      <c r="C300" s="2" t="str" cm="1">
        <f t="array" ref="C3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0">
        <f>YEAR(AllData[[#This Row],[Date]])</f>
        <v>2023</v>
      </c>
      <c r="E300" s="1">
        <v>0.54166666666666663</v>
      </c>
      <c r="F300" s="2" t="str">
        <f>IF(AND(AllData[[#This Row],[Time]]&lt;0.5, AllData[[#This Row],[Time]]&gt;0.17)=TRUE, "Morning", IF(AND(AllData[[#This Row],[Time]]&lt;0.75, AllData[[#This Row],[Time]]&gt;=0.5)=TRUE, "Afternoon", IF(AND(AllData[[#This Row],[Time]]&lt;1, AllData[[#This Row],[Time]]&gt;=0.75)=TRUE, "Evening", "Night")))</f>
        <v>Afternoon</v>
      </c>
      <c r="G300" t="str">
        <f>_xlfn.XLOOKUP(AllData[[#This Row],[Location Name]], Locations[Location Name],Locations[Group As])</f>
        <v>Hampton Lucy</v>
      </c>
      <c r="H300" t="e" vm="2">
        <f>_xlfn.XLOOKUP(AllData[[#This Row],[Site Name]],LocationsKey[Site Name],LocationsKey[District])</f>
        <v>#VALUE!</v>
      </c>
      <c r="I300" t="e" vm="4">
        <f>_xlfn.XLOOKUP(AllData[[#This Row],[Site Name]],LocationsKey[Site Name],LocationsKey[Town])</f>
        <v>#VALUE!</v>
      </c>
      <c r="J300" t="str">
        <f>_xlfn.XLOOKUP(AllData[[#This Row],[Site Name]],LocationsKey[Site Name], LocationsKey[Waterway])</f>
        <v>Avon</v>
      </c>
      <c r="K300" t="s">
        <v>37</v>
      </c>
      <c r="L300">
        <v>52.211680000000001</v>
      </c>
      <c r="M300">
        <v>-1.6244400000000001</v>
      </c>
      <c r="N300" t="s">
        <v>23</v>
      </c>
      <c r="O300" s="219">
        <v>486</v>
      </c>
      <c r="P300">
        <v>9</v>
      </c>
      <c r="Q300" s="219">
        <v>15</v>
      </c>
      <c r="R300" s="7" t="str">
        <f>IF(AllData[[#This Row],[Nitrate (PPM)]]&gt;2, "Very high", IF(AllData[[#This Row],[Nitrate (PPM)]]&gt;1, "High", IF(AllData[[#This Row],[Nitrate (PPM)]]&gt;0.5, "Some evidence", IF(AllData[[#This Row],[Nitrate (PPM)]]&gt;=0, "No evidence"))))</f>
        <v>Very high</v>
      </c>
      <c r="S300" s="221">
        <v>0.51</v>
      </c>
      <c r="T300" s="7" t="str">
        <f>IF(AllData[[#This Row],[Phosphate (PPM)]]&gt;0.5, "Very high", IF(AllData[[#This Row],[Phosphate (PPM)]]&gt;0.1, "High", IF(AllData[[#This Row],[Phosphate (PPM)]]&gt;0.05, "Some evidence", IF(AllData[[#This Row],[Phosphate (PPM)]]&lt;=0.05, "No Evidence", ""))))</f>
        <v>Very high</v>
      </c>
      <c r="U300">
        <v>0</v>
      </c>
    </row>
    <row r="301" spans="1:22" x14ac:dyDescent="0.25">
      <c r="A301" t="s">
        <v>488</v>
      </c>
      <c r="B301" s="2">
        <v>45295</v>
      </c>
      <c r="C301" s="2" t="str" cm="1">
        <f t="array" ref="C3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1">
        <v>2023</v>
      </c>
      <c r="E301" s="1">
        <v>0.58611111111111114</v>
      </c>
      <c r="F301" s="2" t="str">
        <f>IF(AND(AllData[[#This Row],[Time]]&lt;0.5, AllData[[#This Row],[Time]]&gt;0.17)=TRUE, "Morning", IF(AND(AllData[[#This Row],[Time]]&lt;0.75, AllData[[#This Row],[Time]]&gt;=0.5)=TRUE, "Afternoon", IF(AND(AllData[[#This Row],[Time]]&lt;1, AllData[[#This Row],[Time]]&gt;=0.75)=TRUE, "Evening", "Night")))</f>
        <v>Afternoon</v>
      </c>
      <c r="G301" t="str">
        <f>_xlfn.XLOOKUP(AllData[[#This Row],[Location Name]], Locations[Location Name],Locations[Group As])</f>
        <v>Preston-on-Stour River Bridge</v>
      </c>
      <c r="H301" t="e" vm="2">
        <f>_xlfn.XLOOKUP(AllData[[#This Row],[Site Name]],LocationsKey[Site Name],LocationsKey[District])</f>
        <v>#VALUE!</v>
      </c>
      <c r="I301" t="e" vm="9">
        <f>_xlfn.XLOOKUP(AllData[[#This Row],[Site Name]],LocationsKey[Site Name],LocationsKey[Town])</f>
        <v>#VALUE!</v>
      </c>
      <c r="J301" t="str">
        <f>_xlfn.XLOOKUP(AllData[[#This Row],[Site Name]],LocationsKey[Site Name], LocationsKey[Waterway])</f>
        <v>Stour</v>
      </c>
      <c r="K301" t="s">
        <v>163</v>
      </c>
      <c r="L301">
        <v>52.146580999999998</v>
      </c>
      <c r="M301">
        <v>-1.6992510000000001</v>
      </c>
      <c r="N301" t="s">
        <v>29</v>
      </c>
      <c r="O301" s="219">
        <v>578</v>
      </c>
      <c r="P301">
        <v>8.3000000000000007</v>
      </c>
      <c r="Q301" s="219">
        <v>5</v>
      </c>
      <c r="R301" s="7" t="str">
        <f>IF(AllData[[#This Row],[Nitrate (PPM)]]&gt;2, "Very high", IF(AllData[[#This Row],[Nitrate (PPM)]]&gt;1, "High", IF(AllData[[#This Row],[Nitrate (PPM)]]&gt;0.5, "Some evidence", IF(AllData[[#This Row],[Nitrate (PPM)]]&gt;=0, "No evidence"))))</f>
        <v>Very high</v>
      </c>
      <c r="S301" s="221">
        <v>0.25</v>
      </c>
      <c r="T301" s="7" t="str">
        <f>IF(AllData[[#This Row],[Phosphate (PPM)]]&gt;0.5, "Very high", IF(AllData[[#This Row],[Phosphate (PPM)]]&gt;0.1, "High", IF(AllData[[#This Row],[Phosphate (PPM)]]&gt;0.05, "Some evidence", IF(AllData[[#This Row],[Phosphate (PPM)]]&lt;=0.05, "No Evidence", ""))))</f>
        <v>High</v>
      </c>
      <c r="U301">
        <v>2.5</v>
      </c>
      <c r="V301" t="s">
        <v>489</v>
      </c>
    </row>
    <row r="302" spans="1:22" x14ac:dyDescent="0.25">
      <c r="A302" t="s">
        <v>490</v>
      </c>
      <c r="B302" s="2">
        <v>45295</v>
      </c>
      <c r="C302" s="2" t="str" cm="1">
        <f t="array" ref="C3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2">
        <v>2023</v>
      </c>
      <c r="E302" s="1">
        <v>0.63888888888888884</v>
      </c>
      <c r="F302" s="2" t="str">
        <f>IF(AND(AllData[[#This Row],[Time]]&lt;0.5, AllData[[#This Row],[Time]]&gt;0.17)=TRUE, "Morning", IF(AND(AllData[[#This Row],[Time]]&lt;0.75, AllData[[#This Row],[Time]]&gt;=0.5)=TRUE, "Afternoon", IF(AND(AllData[[#This Row],[Time]]&lt;1, AllData[[#This Row],[Time]]&gt;=0.75)=TRUE, "Evening", "Night")))</f>
        <v>Afternoon</v>
      </c>
      <c r="G302" t="str">
        <f>_xlfn.XLOOKUP(AllData[[#This Row],[Location Name]], Locations[Location Name],Locations[Group As])</f>
        <v>Swiffen Bank</v>
      </c>
      <c r="H302" t="e" vm="2">
        <f>_xlfn.XLOOKUP(AllData[[#This Row],[Site Name]],LocationsKey[Site Name],LocationsKey[District])</f>
        <v>#VALUE!</v>
      </c>
      <c r="I302" t="e" vm="13">
        <f>_xlfn.XLOOKUP(AllData[[#This Row],[Site Name]],LocationsKey[Site Name],LocationsKey[Town])</f>
        <v>#VALUE!</v>
      </c>
      <c r="J302" t="str">
        <f>_xlfn.XLOOKUP(AllData[[#This Row],[Site Name]],LocationsKey[Site Name], LocationsKey[Waterway])</f>
        <v>Avon</v>
      </c>
      <c r="K302" t="s">
        <v>284</v>
      </c>
      <c r="L302">
        <v>52.206406000000001</v>
      </c>
      <c r="M302">
        <v>-1.654576</v>
      </c>
      <c r="N302" t="s">
        <v>29</v>
      </c>
      <c r="O302">
        <v>370</v>
      </c>
      <c r="P302">
        <v>9.6</v>
      </c>
      <c r="Q302">
        <v>2</v>
      </c>
      <c r="R302" s="7" t="str">
        <f>IF(AllData[[#This Row],[Nitrate (PPM)]]&gt;2, "Very high", IF(AllData[[#This Row],[Nitrate (PPM)]]&gt;1, "High", IF(AllData[[#This Row],[Nitrate (PPM)]]&gt;0.5, "Some evidence", IF(AllData[[#This Row],[Nitrate (PPM)]]&gt;=0, "No evidence"))))</f>
        <v>High</v>
      </c>
      <c r="S302" s="4">
        <v>0.62</v>
      </c>
      <c r="T302" s="7" t="str">
        <f>IF(AllData[[#This Row],[Phosphate (PPM)]]&gt;0.5, "Very high", IF(AllData[[#This Row],[Phosphate (PPM)]]&gt;0.1, "High", IF(AllData[[#This Row],[Phosphate (PPM)]]&gt;0.05, "Some evidence", IF(AllData[[#This Row],[Phosphate (PPM)]]&lt;=0.05, "No Evidence", ""))))</f>
        <v>Very high</v>
      </c>
      <c r="U302">
        <v>4</v>
      </c>
      <c r="V302" t="s">
        <v>491</v>
      </c>
    </row>
    <row r="303" spans="1:22" x14ac:dyDescent="0.25">
      <c r="A303" t="s">
        <v>492</v>
      </c>
      <c r="B303" s="2">
        <v>45295</v>
      </c>
      <c r="C303" s="2" t="str" cm="1">
        <f t="array" ref="C3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3">
        <v>2023</v>
      </c>
      <c r="E303" s="1">
        <v>0.67083333333333328</v>
      </c>
      <c r="F303" s="2" t="str">
        <f>IF(AND(AllData[[#This Row],[Time]]&lt;0.5, AllData[[#This Row],[Time]]&gt;0.17)=TRUE, "Morning", IF(AND(AllData[[#This Row],[Time]]&lt;0.75, AllData[[#This Row],[Time]]&gt;=0.5)=TRUE, "Afternoon", IF(AND(AllData[[#This Row],[Time]]&lt;1, AllData[[#This Row],[Time]]&gt;=0.75)=TRUE, "Evening", "Night")))</f>
        <v>Afternoon</v>
      </c>
      <c r="G303" t="str">
        <f>_xlfn.XLOOKUP(AllData[[#This Row],[Location Name]], Locations[Location Name],Locations[Group As])</f>
        <v>Alveston Weir</v>
      </c>
      <c r="H303" t="e" vm="2">
        <f>_xlfn.XLOOKUP(AllData[[#This Row],[Site Name]],LocationsKey[Site Name],LocationsKey[District])</f>
        <v>#VALUE!</v>
      </c>
      <c r="I303" t="e" vm="13">
        <f>_xlfn.XLOOKUP(AllData[[#This Row],[Site Name]],LocationsKey[Site Name],LocationsKey[Town])</f>
        <v>#VALUE!</v>
      </c>
      <c r="J303" t="str">
        <f>_xlfn.XLOOKUP(AllData[[#This Row],[Site Name]],LocationsKey[Site Name], LocationsKey[Waterway])</f>
        <v>Avon</v>
      </c>
      <c r="K303" t="s">
        <v>286</v>
      </c>
      <c r="L303">
        <v>52.212288999999998</v>
      </c>
      <c r="M303">
        <v>-1.660452</v>
      </c>
      <c r="N303" t="s">
        <v>29</v>
      </c>
      <c r="O303">
        <v>393</v>
      </c>
      <c r="P303">
        <v>10</v>
      </c>
      <c r="Q303">
        <v>2</v>
      </c>
      <c r="R303" s="7" t="str">
        <f>IF(AllData[[#This Row],[Nitrate (PPM)]]&gt;2, "Very high", IF(AllData[[#This Row],[Nitrate (PPM)]]&gt;1, "High", IF(AllData[[#This Row],[Nitrate (PPM)]]&gt;0.5, "Some evidence", IF(AllData[[#This Row],[Nitrate (PPM)]]&gt;=0, "No evidence"))))</f>
        <v>High</v>
      </c>
      <c r="S303" s="4">
        <v>1.92</v>
      </c>
      <c r="T303" s="7" t="str">
        <f>IF(AllData[[#This Row],[Phosphate (PPM)]]&gt;0.5, "Very high", IF(AllData[[#This Row],[Phosphate (PPM)]]&gt;0.1, "High", IF(AllData[[#This Row],[Phosphate (PPM)]]&gt;0.05, "Some evidence", IF(AllData[[#This Row],[Phosphate (PPM)]]&lt;=0.05, "No Evidence", ""))))</f>
        <v>Very high</v>
      </c>
      <c r="U303">
        <v>6</v>
      </c>
      <c r="V303" t="s">
        <v>493</v>
      </c>
    </row>
    <row r="304" spans="1:22" x14ac:dyDescent="0.25">
      <c r="A304" t="s">
        <v>494</v>
      </c>
      <c r="B304" s="2">
        <v>45297</v>
      </c>
      <c r="C304" s="2" t="str" cm="1">
        <f t="array" ref="C3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4">
        <v>2023</v>
      </c>
      <c r="E304" s="1">
        <v>0.59652777777777777</v>
      </c>
      <c r="F304" s="2" t="str">
        <f>IF(AND(AllData[[#This Row],[Time]]&lt;0.5, AllData[[#This Row],[Time]]&gt;0.17)=TRUE, "Morning", IF(AND(AllData[[#This Row],[Time]]&lt;0.75, AllData[[#This Row],[Time]]&gt;=0.5)=TRUE, "Afternoon", IF(AND(AllData[[#This Row],[Time]]&lt;1, AllData[[#This Row],[Time]]&gt;=0.75)=TRUE, "Evening", "Night")))</f>
        <v>Afternoon</v>
      </c>
      <c r="G304" t="str">
        <f>_xlfn.XLOOKUP(AllData[[#This Row],[Location Name]], Locations[Location Name],Locations[Group As])</f>
        <v>Stour Shipston Mill Bridge</v>
      </c>
      <c r="H304" t="e" vm="2">
        <f>_xlfn.XLOOKUP(AllData[[#This Row],[Site Name]],LocationsKey[Site Name],LocationsKey[District])</f>
        <v>#VALUE!</v>
      </c>
      <c r="I304" t="e" vm="10">
        <f>_xlfn.XLOOKUP(AllData[[#This Row],[Site Name]],LocationsKey[Site Name],LocationsKey[Town])</f>
        <v>#VALUE!</v>
      </c>
      <c r="J304" t="str">
        <f>_xlfn.XLOOKUP(AllData[[#This Row],[Site Name]],LocationsKey[Site Name], LocationsKey[Waterway])</f>
        <v>Stour</v>
      </c>
      <c r="K304" t="s">
        <v>432</v>
      </c>
      <c r="L304">
        <v>52.062137999999997</v>
      </c>
      <c r="M304">
        <v>-1.621983</v>
      </c>
      <c r="N304" t="s">
        <v>23</v>
      </c>
      <c r="O304" s="219">
        <v>548</v>
      </c>
      <c r="P304">
        <v>8.8000000000000007</v>
      </c>
      <c r="Q304" s="219">
        <v>5</v>
      </c>
      <c r="R304" s="7" t="str">
        <f>IF(AllData[[#This Row],[Nitrate (PPM)]]&gt;2, "Very high", IF(AllData[[#This Row],[Nitrate (PPM)]]&gt;1, "High", IF(AllData[[#This Row],[Nitrate (PPM)]]&gt;0.5, "Some evidence", IF(AllData[[#This Row],[Nitrate (PPM)]]&gt;=0, "No evidence"))))</f>
        <v>Very high</v>
      </c>
      <c r="S304" s="221">
        <v>0.14000000000000001</v>
      </c>
      <c r="T304" s="7" t="str">
        <f>IF(AllData[[#This Row],[Phosphate (PPM)]]&gt;0.5, "Very high", IF(AllData[[#This Row],[Phosphate (PPM)]]&gt;0.1, "High", IF(AllData[[#This Row],[Phosphate (PPM)]]&gt;0.05, "Some evidence", IF(AllData[[#This Row],[Phosphate (PPM)]]&lt;=0.05, "No Evidence", ""))))</f>
        <v>High</v>
      </c>
      <c r="U304">
        <v>1.5</v>
      </c>
    </row>
    <row r="305" spans="1:22" x14ac:dyDescent="0.25">
      <c r="A305" t="s">
        <v>495</v>
      </c>
      <c r="B305" s="2">
        <v>45297</v>
      </c>
      <c r="C305" s="2" t="str" cm="1">
        <f t="array" ref="C3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5">
        <v>2023</v>
      </c>
      <c r="E305" s="1">
        <v>0.63194444444444442</v>
      </c>
      <c r="F305" s="2" t="str">
        <f>IF(AND(AllData[[#This Row],[Time]]&lt;0.5, AllData[[#This Row],[Time]]&gt;0.17)=TRUE, "Morning", IF(AND(AllData[[#This Row],[Time]]&lt;0.75, AllData[[#This Row],[Time]]&gt;=0.5)=TRUE, "Afternoon", IF(AND(AllData[[#This Row],[Time]]&lt;1, AllData[[#This Row],[Time]]&gt;=0.75)=TRUE, "Evening", "Night")))</f>
        <v>Afternoon</v>
      </c>
      <c r="G305" t="str">
        <f>_xlfn.XLOOKUP(AllData[[#This Row],[Location Name]], Locations[Location Name],Locations[Group As])</f>
        <v>Fell Mill Footbridge</v>
      </c>
      <c r="H305" t="e" vm="2">
        <f>_xlfn.XLOOKUP(AllData[[#This Row],[Site Name]],LocationsKey[Site Name],LocationsKey[District])</f>
        <v>#VALUE!</v>
      </c>
      <c r="I305" t="e" vm="10">
        <f>_xlfn.XLOOKUP(AllData[[#This Row],[Site Name]],LocationsKey[Site Name],LocationsKey[Town])</f>
        <v>#VALUE!</v>
      </c>
      <c r="J305" t="str">
        <f>_xlfn.XLOOKUP(AllData[[#This Row],[Site Name]],LocationsKey[Site Name], LocationsKey[Waterway])</f>
        <v>Stour</v>
      </c>
      <c r="K305" t="s">
        <v>496</v>
      </c>
      <c r="L305">
        <v>52.070131000000003</v>
      </c>
      <c r="M305">
        <v>-1.6114869999999999</v>
      </c>
      <c r="N305" t="s">
        <v>29</v>
      </c>
      <c r="O305">
        <v>554</v>
      </c>
      <c r="P305">
        <v>8.5</v>
      </c>
      <c r="Q305">
        <v>10</v>
      </c>
      <c r="R305" s="7" t="str">
        <f>IF(AllData[[#This Row],[Nitrate (PPM)]]&gt;2, "Very high", IF(AllData[[#This Row],[Nitrate (PPM)]]&gt;1, "High", IF(AllData[[#This Row],[Nitrate (PPM)]]&gt;0.5, "Some evidence", IF(AllData[[#This Row],[Nitrate (PPM)]]&gt;=0, "No evidence"))))</f>
        <v>Very high</v>
      </c>
      <c r="S305" s="4">
        <v>0.26</v>
      </c>
      <c r="T305" s="7" t="str">
        <f>IF(AllData[[#This Row],[Phosphate (PPM)]]&gt;0.5, "Very high", IF(AllData[[#This Row],[Phosphate (PPM)]]&gt;0.1, "High", IF(AllData[[#This Row],[Phosphate (PPM)]]&gt;0.05, "Some evidence", IF(AllData[[#This Row],[Phosphate (PPM)]]&lt;=0.05, "No Evidence", ""))))</f>
        <v>High</v>
      </c>
      <c r="U305">
        <v>1.5</v>
      </c>
    </row>
    <row r="306" spans="1:22" x14ac:dyDescent="0.25">
      <c r="A306" t="s">
        <v>497</v>
      </c>
      <c r="B306" s="2">
        <v>45297</v>
      </c>
      <c r="C306" s="2" t="str" cm="1">
        <f t="array" ref="C3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6">
        <v>2023</v>
      </c>
      <c r="E306" s="1">
        <v>0.63541666666666663</v>
      </c>
      <c r="F306" s="2" t="str">
        <f>IF(AND(AllData[[#This Row],[Time]]&lt;0.5, AllData[[#This Row],[Time]]&gt;0.17)=TRUE, "Morning", IF(AND(AllData[[#This Row],[Time]]&lt;0.75, AllData[[#This Row],[Time]]&gt;=0.5)=TRUE, "Afternoon", IF(AND(AllData[[#This Row],[Time]]&lt;1, AllData[[#This Row],[Time]]&gt;=0.75)=TRUE, "Evening", "Night")))</f>
        <v>Afternoon</v>
      </c>
      <c r="G306" t="str">
        <f>_xlfn.XLOOKUP(AllData[[#This Row],[Location Name]], Locations[Location Name],Locations[Group As])</f>
        <v>Clifford Chambers Mill Bridge</v>
      </c>
      <c r="H306" t="e" vm="2">
        <f>_xlfn.XLOOKUP(AllData[[#This Row],[Site Name]],LocationsKey[Site Name],LocationsKey[District])</f>
        <v>#VALUE!</v>
      </c>
      <c r="I306" t="e" vm="12">
        <f>_xlfn.XLOOKUP(AllData[[#This Row],[Site Name]],LocationsKey[Site Name],LocationsKey[Town])</f>
        <v>#VALUE!</v>
      </c>
      <c r="J306" t="str">
        <f>_xlfn.XLOOKUP(AllData[[#This Row],[Site Name]],LocationsKey[Site Name], LocationsKey[Waterway])</f>
        <v>Stour</v>
      </c>
      <c r="K306" t="s">
        <v>263</v>
      </c>
      <c r="L306">
        <v>52.166370000000001</v>
      </c>
      <c r="M306">
        <v>-1.708032</v>
      </c>
      <c r="N306" t="s">
        <v>66</v>
      </c>
      <c r="O306">
        <v>550</v>
      </c>
      <c r="P306">
        <v>11.3</v>
      </c>
      <c r="Q306">
        <v>5</v>
      </c>
      <c r="R306" s="7" t="str">
        <f>IF(AllData[[#This Row],[Nitrate (PPM)]]&gt;2, "Very high", IF(AllData[[#This Row],[Nitrate (PPM)]]&gt;1, "High", IF(AllData[[#This Row],[Nitrate (PPM)]]&gt;0.5, "Some evidence", IF(AllData[[#This Row],[Nitrate (PPM)]]&gt;=0, "No evidence"))))</f>
        <v>Very high</v>
      </c>
      <c r="S306" s="4">
        <v>0.34</v>
      </c>
      <c r="T306" s="7" t="str">
        <f>IF(AllData[[#This Row],[Phosphate (PPM)]]&gt;0.5, "Very high", IF(AllData[[#This Row],[Phosphate (PPM)]]&gt;0.1, "High", IF(AllData[[#This Row],[Phosphate (PPM)]]&gt;0.05, "Some evidence", IF(AllData[[#This Row],[Phosphate (PPM)]]&lt;=0.05, "No Evidence", ""))))</f>
        <v>High</v>
      </c>
      <c r="U306">
        <v>1.4</v>
      </c>
      <c r="V306" t="s">
        <v>498</v>
      </c>
    </row>
    <row r="307" spans="1:22" x14ac:dyDescent="0.25">
      <c r="A307" t="s">
        <v>499</v>
      </c>
      <c r="B307" s="2">
        <v>45297</v>
      </c>
      <c r="C307" s="2" t="str" cm="1">
        <f t="array" ref="C3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7">
        <v>2023</v>
      </c>
      <c r="E307" s="1">
        <v>0.64236111111111116</v>
      </c>
      <c r="F307" s="2" t="str">
        <f>IF(AND(AllData[[#This Row],[Time]]&lt;0.5, AllData[[#This Row],[Time]]&gt;0.17)=TRUE, "Morning", IF(AND(AllData[[#This Row],[Time]]&lt;0.75, AllData[[#This Row],[Time]]&gt;=0.5)=TRUE, "Afternoon", IF(AND(AllData[[#This Row],[Time]]&lt;1, AllData[[#This Row],[Time]]&gt;=0.75)=TRUE, "Evening", "Night")))</f>
        <v>Afternoon</v>
      </c>
      <c r="G307" t="str">
        <f>_xlfn.XLOOKUP(AllData[[#This Row],[Location Name]], Locations[Location Name],Locations[Group As])</f>
        <v>Clifford Chambers Road Bridge</v>
      </c>
      <c r="H307" t="e" vm="2">
        <f>_xlfn.XLOOKUP(AllData[[#This Row],[Site Name]],LocationsKey[Site Name],LocationsKey[District])</f>
        <v>#VALUE!</v>
      </c>
      <c r="I307" t="e" vm="12">
        <f>_xlfn.XLOOKUP(AllData[[#This Row],[Site Name]],LocationsKey[Site Name],LocationsKey[Town])</f>
        <v>#VALUE!</v>
      </c>
      <c r="J307" t="str">
        <f>_xlfn.XLOOKUP(AllData[[#This Row],[Site Name]],LocationsKey[Site Name], LocationsKey[Waterway])</f>
        <v>Stour</v>
      </c>
      <c r="K307" t="s">
        <v>427</v>
      </c>
      <c r="L307">
        <v>52.172840000000001</v>
      </c>
      <c r="M307">
        <v>-1.71377</v>
      </c>
      <c r="N307" t="s">
        <v>80</v>
      </c>
      <c r="O307">
        <v>557</v>
      </c>
      <c r="P307">
        <v>11.5</v>
      </c>
      <c r="Q307">
        <v>6</v>
      </c>
      <c r="R307" s="7" t="str">
        <f>IF(AllData[[#This Row],[Nitrate (PPM)]]&gt;2, "Very high", IF(AllData[[#This Row],[Nitrate (PPM)]]&gt;1, "High", IF(AllData[[#This Row],[Nitrate (PPM)]]&gt;0.5, "Some evidence", IF(AllData[[#This Row],[Nitrate (PPM)]]&gt;=0, "No evidence"))))</f>
        <v>Very high</v>
      </c>
      <c r="S307" s="4">
        <v>0.31</v>
      </c>
      <c r="T307" s="7" t="str">
        <f>IF(AllData[[#This Row],[Phosphate (PPM)]]&gt;0.5, "Very high", IF(AllData[[#This Row],[Phosphate (PPM)]]&gt;0.1, "High", IF(AllData[[#This Row],[Phosphate (PPM)]]&gt;0.05, "Some evidence", IF(AllData[[#This Row],[Phosphate (PPM)]]&lt;=0.05, "No Evidence", ""))))</f>
        <v>High</v>
      </c>
      <c r="U307">
        <v>0.6</v>
      </c>
    </row>
    <row r="308" spans="1:22" x14ac:dyDescent="0.25">
      <c r="A308" t="s">
        <v>500</v>
      </c>
      <c r="B308" s="2">
        <v>45298</v>
      </c>
      <c r="C308" s="2" t="str" cm="1">
        <f t="array" ref="C3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8">
        <v>2023</v>
      </c>
      <c r="E308" s="1">
        <v>0.46319444444444446</v>
      </c>
      <c r="F308" s="2" t="str">
        <f>IF(AND(AllData[[#This Row],[Time]]&lt;0.5, AllData[[#This Row],[Time]]&gt;0.17)=TRUE, "Morning", IF(AND(AllData[[#This Row],[Time]]&lt;0.75, AllData[[#This Row],[Time]]&gt;=0.5)=TRUE, "Afternoon", IF(AND(AllData[[#This Row],[Time]]&lt;1, AllData[[#This Row],[Time]]&gt;=0.75)=TRUE, "Evening", "Night")))</f>
        <v>Morning</v>
      </c>
      <c r="G308" t="str">
        <f>_xlfn.XLOOKUP(AllData[[#This Row],[Location Name]], Locations[Location Name],Locations[Group As])</f>
        <v>Avonbank Drive</v>
      </c>
      <c r="H308" t="e" vm="2">
        <f>_xlfn.XLOOKUP(AllData[[#This Row],[Site Name]],LocationsKey[Site Name],LocationsKey[District])</f>
        <v>#VALUE!</v>
      </c>
      <c r="I308" t="e" vm="7">
        <f>_xlfn.XLOOKUP(AllData[[#This Row],[Site Name]],LocationsKey[Site Name],LocationsKey[Town])</f>
        <v>#VALUE!</v>
      </c>
      <c r="J308" t="str">
        <f>_xlfn.XLOOKUP(AllData[[#This Row],[Site Name]],LocationsKey[Site Name], LocationsKey[Waterway])</f>
        <v>Avon</v>
      </c>
      <c r="K308" t="s">
        <v>65</v>
      </c>
      <c r="L308">
        <v>52.177464000000001</v>
      </c>
      <c r="M308">
        <v>-1.7360610000000001</v>
      </c>
      <c r="N308" t="s">
        <v>66</v>
      </c>
      <c r="O308">
        <v>658</v>
      </c>
      <c r="P308">
        <v>8.1</v>
      </c>
      <c r="Q308">
        <v>2</v>
      </c>
      <c r="R308" s="7" t="str">
        <f>IF(AllData[[#This Row],[Nitrate (PPM)]]&gt;2, "Very high", IF(AllData[[#This Row],[Nitrate (PPM)]]&gt;1, "High", IF(AllData[[#This Row],[Nitrate (PPM)]]&gt;0.5, "Some evidence", IF(AllData[[#This Row],[Nitrate (PPM)]]&gt;=0, "No evidence"))))</f>
        <v>High</v>
      </c>
      <c r="S308" s="4">
        <v>0.36</v>
      </c>
      <c r="T308" s="7" t="str">
        <f>IF(AllData[[#This Row],[Phosphate (PPM)]]&gt;0.5, "Very high", IF(AllData[[#This Row],[Phosphate (PPM)]]&gt;0.1, "High", IF(AllData[[#This Row],[Phosphate (PPM)]]&gt;0.05, "Some evidence", IF(AllData[[#This Row],[Phosphate (PPM)]]&lt;=0.05, "No Evidence", ""))))</f>
        <v>High</v>
      </c>
      <c r="U308">
        <v>1</v>
      </c>
      <c r="V308" t="s">
        <v>501</v>
      </c>
    </row>
    <row r="309" spans="1:22" x14ac:dyDescent="0.25">
      <c r="A309" t="s">
        <v>502</v>
      </c>
      <c r="B309" s="2">
        <v>45298</v>
      </c>
      <c r="C309" s="2" t="str" cm="1">
        <f t="array" ref="C3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9">
        <v>2023</v>
      </c>
      <c r="E309" s="1">
        <v>0.47708333333333336</v>
      </c>
      <c r="F309" s="2" t="str">
        <f>IF(AND(AllData[[#This Row],[Time]]&lt;0.5, AllData[[#This Row],[Time]]&gt;0.17)=TRUE, "Morning", IF(AND(AllData[[#This Row],[Time]]&lt;0.75, AllData[[#This Row],[Time]]&gt;=0.5)=TRUE, "Afternoon", IF(AND(AllData[[#This Row],[Time]]&lt;1, AllData[[#This Row],[Time]]&gt;=0.75)=TRUE, "Evening", "Night")))</f>
        <v>Morning</v>
      </c>
      <c r="G309" t="str">
        <f>_xlfn.XLOOKUP(AllData[[#This Row],[Location Name]], Locations[Location Name],Locations[Group As])</f>
        <v>Pitch 16</v>
      </c>
      <c r="H309" t="e" vm="2">
        <f>_xlfn.XLOOKUP(AllData[[#This Row],[Site Name]],LocationsKey[Site Name],LocationsKey[District])</f>
        <v>#VALUE!</v>
      </c>
      <c r="I309" t="e" vm="7">
        <f>_xlfn.XLOOKUP(AllData[[#This Row],[Site Name]],LocationsKey[Site Name],LocationsKey[Town])</f>
        <v>#VALUE!</v>
      </c>
      <c r="J309" t="str">
        <f>_xlfn.XLOOKUP(AllData[[#This Row],[Site Name]],LocationsKey[Site Name], LocationsKey[Waterway])</f>
        <v>Avon</v>
      </c>
      <c r="K309" t="s">
        <v>69</v>
      </c>
      <c r="L309">
        <v>52.172691999999998</v>
      </c>
      <c r="M309">
        <v>-1.7451950000000001</v>
      </c>
      <c r="N309" t="s">
        <v>29</v>
      </c>
      <c r="O309">
        <v>655</v>
      </c>
      <c r="P309">
        <v>6.2</v>
      </c>
      <c r="Q309">
        <v>3</v>
      </c>
      <c r="R309" s="7" t="str">
        <f>IF(AllData[[#This Row],[Nitrate (PPM)]]&gt;2, "Very high", IF(AllData[[#This Row],[Nitrate (PPM)]]&gt;1, "High", IF(AllData[[#This Row],[Nitrate (PPM)]]&gt;0.5, "Some evidence", IF(AllData[[#This Row],[Nitrate (PPM)]]&gt;=0, "No evidence"))))</f>
        <v>Very high</v>
      </c>
      <c r="S309" s="4">
        <v>0.39</v>
      </c>
      <c r="T309" s="7" t="str">
        <f>IF(AllData[[#This Row],[Phosphate (PPM)]]&gt;0.5, "Very high", IF(AllData[[#This Row],[Phosphate (PPM)]]&gt;0.1, "High", IF(AllData[[#This Row],[Phosphate (PPM)]]&gt;0.05, "Some evidence", IF(AllData[[#This Row],[Phosphate (PPM)]]&lt;=0.05, "No Evidence", ""))))</f>
        <v>High</v>
      </c>
      <c r="U309">
        <v>1</v>
      </c>
      <c r="V309" t="s">
        <v>503</v>
      </c>
    </row>
    <row r="310" spans="1:22" x14ac:dyDescent="0.25">
      <c r="A310" t="s">
        <v>504</v>
      </c>
      <c r="B310" s="2">
        <v>45298</v>
      </c>
      <c r="C310" s="2" t="str" cm="1">
        <f t="array" ref="C3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0">
        <v>2023</v>
      </c>
      <c r="E310" s="1">
        <v>0.52083333333333337</v>
      </c>
      <c r="F310" s="2" t="str">
        <f>IF(AND(AllData[[#This Row],[Time]]&lt;0.5, AllData[[#This Row],[Time]]&gt;0.17)=TRUE, "Morning", IF(AND(AllData[[#This Row],[Time]]&lt;0.75, AllData[[#This Row],[Time]]&gt;=0.5)=TRUE, "Afternoon", IF(AND(AllData[[#This Row],[Time]]&lt;1, AllData[[#This Row],[Time]]&gt;=0.75)=TRUE, "Evening", "Night")))</f>
        <v>Afternoon</v>
      </c>
      <c r="G310" t="str">
        <f>_xlfn.XLOOKUP(AllData[[#This Row],[Location Name]], Locations[Location Name],Locations[Group As])</f>
        <v>Hampton Wood</v>
      </c>
      <c r="H310" t="e" vm="2">
        <f>_xlfn.XLOOKUP(AllData[[#This Row],[Site Name]],LocationsKey[Site Name],LocationsKey[District])</f>
        <v>#VALUE!</v>
      </c>
      <c r="I310" t="e" vm="3">
        <f>_xlfn.XLOOKUP(AllData[[#This Row],[Site Name]],LocationsKey[Site Name],LocationsKey[Town])</f>
        <v>#VALUE!</v>
      </c>
      <c r="J310" t="str">
        <f>_xlfn.XLOOKUP(AllData[[#This Row],[Site Name]],LocationsKey[Site Name], LocationsKey[Waterway])</f>
        <v>Avon</v>
      </c>
      <c r="K310" t="s">
        <v>34</v>
      </c>
      <c r="L310">
        <v>52.238149999999997</v>
      </c>
      <c r="M310">
        <v>-1.6245799999999999</v>
      </c>
      <c r="N310" t="s">
        <v>29</v>
      </c>
      <c r="O310">
        <v>630</v>
      </c>
      <c r="P310">
        <v>6.7</v>
      </c>
      <c r="Q310">
        <v>10</v>
      </c>
      <c r="R310" s="7" t="str">
        <f>IF(AllData[[#This Row],[Nitrate (PPM)]]&gt;2, "Very high", IF(AllData[[#This Row],[Nitrate (PPM)]]&gt;1, "High", IF(AllData[[#This Row],[Nitrate (PPM)]]&gt;0.5, "Some evidence", IF(AllData[[#This Row],[Nitrate (PPM)]]&gt;=0, "No evidence"))))</f>
        <v>Very high</v>
      </c>
      <c r="S310" s="4">
        <v>0.4</v>
      </c>
      <c r="T310" s="7" t="str">
        <f>IF(AllData[[#This Row],[Phosphate (PPM)]]&gt;0.5, "Very high", IF(AllData[[#This Row],[Phosphate (PPM)]]&gt;0.1, "High", IF(AllData[[#This Row],[Phosphate (PPM)]]&gt;0.05, "Some evidence", IF(AllData[[#This Row],[Phosphate (PPM)]]&lt;=0.05, "No Evidence", ""))))</f>
        <v>High</v>
      </c>
      <c r="U310">
        <v>0</v>
      </c>
    </row>
    <row r="311" spans="1:22" x14ac:dyDescent="0.25">
      <c r="A311" t="s">
        <v>505</v>
      </c>
      <c r="B311" s="2">
        <v>45298</v>
      </c>
      <c r="C311" s="2" t="str" cm="1">
        <f t="array" ref="C3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1">
        <v>2023</v>
      </c>
      <c r="E311" s="1">
        <v>0.55208333333333337</v>
      </c>
      <c r="F311" s="2" t="str">
        <f>IF(AND(AllData[[#This Row],[Time]]&lt;0.5, AllData[[#This Row],[Time]]&gt;0.17)=TRUE, "Morning", IF(AND(AllData[[#This Row],[Time]]&lt;0.75, AllData[[#This Row],[Time]]&gt;=0.5)=TRUE, "Afternoon", IF(AND(AllData[[#This Row],[Time]]&lt;1, AllData[[#This Row],[Time]]&gt;=0.75)=TRUE, "Evening", "Night")))</f>
        <v>Afternoon</v>
      </c>
      <c r="G311" t="str">
        <f>_xlfn.XLOOKUP(AllData[[#This Row],[Location Name]], Locations[Location Name],Locations[Group As])</f>
        <v>Hampton Lucy</v>
      </c>
      <c r="H311" t="e" vm="2">
        <f>_xlfn.XLOOKUP(AllData[[#This Row],[Site Name]],LocationsKey[Site Name],LocationsKey[District])</f>
        <v>#VALUE!</v>
      </c>
      <c r="I311" t="e" vm="4">
        <f>_xlfn.XLOOKUP(AllData[[#This Row],[Site Name]],LocationsKey[Site Name],LocationsKey[Town])</f>
        <v>#VALUE!</v>
      </c>
      <c r="J311" t="str">
        <f>_xlfn.XLOOKUP(AllData[[#This Row],[Site Name]],LocationsKey[Site Name], LocationsKey[Waterway])</f>
        <v>Avon</v>
      </c>
      <c r="K311" t="s">
        <v>37</v>
      </c>
      <c r="L311">
        <v>52.211680000000001</v>
      </c>
      <c r="M311">
        <v>-1.6244400000000001</v>
      </c>
      <c r="N311" t="s">
        <v>23</v>
      </c>
      <c r="O311" s="219">
        <v>618</v>
      </c>
      <c r="P311">
        <v>7.1</v>
      </c>
      <c r="Q311" s="219">
        <v>5</v>
      </c>
      <c r="R311" s="7" t="str">
        <f>IF(AllData[[#This Row],[Nitrate (PPM)]]&gt;2, "Very high", IF(AllData[[#This Row],[Nitrate (PPM)]]&gt;1, "High", IF(AllData[[#This Row],[Nitrate (PPM)]]&gt;0.5, "Some evidence", IF(AllData[[#This Row],[Nitrate (PPM)]]&gt;=0, "No evidence"))))</f>
        <v>Very high</v>
      </c>
      <c r="S311" s="221">
        <v>0.69</v>
      </c>
      <c r="T311" s="7" t="str">
        <f>IF(AllData[[#This Row],[Phosphate (PPM)]]&gt;0.5, "Very high", IF(AllData[[#This Row],[Phosphate (PPM)]]&gt;0.1, "High", IF(AllData[[#This Row],[Phosphate (PPM)]]&gt;0.05, "Some evidence", IF(AllData[[#This Row],[Phosphate (PPM)]]&lt;=0.05, "No Evidence", ""))))</f>
        <v>Very high</v>
      </c>
      <c r="U311">
        <v>0</v>
      </c>
    </row>
    <row r="312" spans="1:22" x14ac:dyDescent="0.25">
      <c r="A312" t="s">
        <v>506</v>
      </c>
      <c r="B312" s="2">
        <v>45298</v>
      </c>
      <c r="C312" s="2" t="str" cm="1">
        <f t="array" ref="C3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2">
        <v>2023</v>
      </c>
      <c r="E312" s="1">
        <v>0.58333333333333337</v>
      </c>
      <c r="F312" s="2" t="str">
        <f>IF(AND(AllData[[#This Row],[Time]]&lt;0.5, AllData[[#This Row],[Time]]&gt;0.17)=TRUE, "Morning", IF(AND(AllData[[#This Row],[Time]]&lt;0.75, AllData[[#This Row],[Time]]&gt;=0.5)=TRUE, "Afternoon", IF(AND(AllData[[#This Row],[Time]]&lt;1, AllData[[#This Row],[Time]]&gt;=0.75)=TRUE, "Evening", "Night")))</f>
        <v>Afternoon</v>
      </c>
      <c r="G312" t="str">
        <f>_xlfn.XLOOKUP(AllData[[#This Row],[Location Name]], Locations[Location Name],Locations[Group As])</f>
        <v>Carrant Bredon Rd</v>
      </c>
      <c r="H312" t="e" vm="1">
        <f>_xlfn.XLOOKUP(AllData[[#This Row],[Site Name]],LocationsKey[Site Name],LocationsKey[District])</f>
        <v>#VALUE!</v>
      </c>
      <c r="I312" t="e" vm="1">
        <f>_xlfn.XLOOKUP(AllData[[#This Row],[Site Name]],LocationsKey[Site Name],LocationsKey[Town])</f>
        <v>#VALUE!</v>
      </c>
      <c r="J312" t="str">
        <f>_xlfn.XLOOKUP(AllData[[#This Row],[Site Name]],LocationsKey[Site Name], LocationsKey[Waterway])</f>
        <v>Carrant</v>
      </c>
      <c r="K312" t="s">
        <v>90</v>
      </c>
      <c r="L312">
        <v>51.996360000000003</v>
      </c>
      <c r="M312">
        <v>-2.1560489999999999</v>
      </c>
      <c r="N312" t="s">
        <v>23</v>
      </c>
      <c r="O312" s="219">
        <v>449</v>
      </c>
      <c r="P312">
        <v>7</v>
      </c>
      <c r="Q312" s="219">
        <v>4</v>
      </c>
      <c r="R312" s="7" t="str">
        <f>IF(AllData[[#This Row],[Nitrate (PPM)]]&gt;2, "Very high", IF(AllData[[#This Row],[Nitrate (PPM)]]&gt;1, "High", IF(AllData[[#This Row],[Nitrate (PPM)]]&gt;0.5, "Some evidence", IF(AllData[[#This Row],[Nitrate (PPM)]]&gt;=0, "No evidence"))))</f>
        <v>Very high</v>
      </c>
      <c r="S312" s="221">
        <v>0.5</v>
      </c>
      <c r="T312" s="7" t="str">
        <f>IF(AllData[[#This Row],[Phosphate (PPM)]]&gt;0.5, "Very high", IF(AllData[[#This Row],[Phosphate (PPM)]]&gt;0.1, "High", IF(AllData[[#This Row],[Phosphate (PPM)]]&gt;0.05, "Some evidence", IF(AllData[[#This Row],[Phosphate (PPM)]]&lt;=0.05, "No Evidence", ""))))</f>
        <v>High</v>
      </c>
      <c r="U312">
        <v>2.17</v>
      </c>
      <c r="V312" t="s">
        <v>507</v>
      </c>
    </row>
    <row r="313" spans="1:22" x14ac:dyDescent="0.25">
      <c r="A313" t="s">
        <v>508</v>
      </c>
      <c r="B313" s="2">
        <v>45299</v>
      </c>
      <c r="C313" s="2" t="str" cm="1">
        <f t="array" ref="C3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3">
        <v>2023</v>
      </c>
      <c r="E313" s="1">
        <v>0.4</v>
      </c>
      <c r="F313" s="2" t="str">
        <f>IF(AND(AllData[[#This Row],[Time]]&lt;0.5, AllData[[#This Row],[Time]]&gt;0.17)=TRUE, "Morning", IF(AND(AllData[[#This Row],[Time]]&lt;0.75, AllData[[#This Row],[Time]]&gt;=0.5)=TRUE, "Afternoon", IF(AND(AllData[[#This Row],[Time]]&lt;1, AllData[[#This Row],[Time]]&gt;=0.75)=TRUE, "Evening", "Night")))</f>
        <v>Morning</v>
      </c>
      <c r="G313" t="str">
        <f>_xlfn.XLOOKUP(AllData[[#This Row],[Location Name]], Locations[Location Name],Locations[Group As])</f>
        <v>Stour Stretton-on-Fosse Village</v>
      </c>
      <c r="H313" t="e" vm="2">
        <f>_xlfn.XLOOKUP(AllData[[#This Row],[Site Name]],LocationsKey[Site Name],LocationsKey[District])</f>
        <v>#VALUE!</v>
      </c>
      <c r="I313" t="e" vm="14">
        <f>_xlfn.XLOOKUP(AllData[[#This Row],[Site Name]],LocationsKey[Site Name],LocationsKey[Town])</f>
        <v>#VALUE!</v>
      </c>
      <c r="J313" t="str">
        <f>_xlfn.XLOOKUP(AllData[[#This Row],[Site Name]],LocationsKey[Site Name], LocationsKey[Waterway])</f>
        <v>Stour</v>
      </c>
      <c r="K313" t="s">
        <v>383</v>
      </c>
      <c r="L313">
        <v>52.046579000000001</v>
      </c>
      <c r="M313">
        <v>-1.6734560000000001</v>
      </c>
      <c r="N313" t="s">
        <v>66</v>
      </c>
      <c r="O313">
        <v>573</v>
      </c>
      <c r="P313">
        <v>5.8</v>
      </c>
      <c r="Q313">
        <v>2</v>
      </c>
      <c r="R313" s="7" t="str">
        <f>IF(AllData[[#This Row],[Nitrate (PPM)]]&gt;2, "Very high", IF(AllData[[#This Row],[Nitrate (PPM)]]&gt;1, "High", IF(AllData[[#This Row],[Nitrate (PPM)]]&gt;0.5, "Some evidence", IF(AllData[[#This Row],[Nitrate (PPM)]]&gt;=0, "No evidence"))))</f>
        <v>High</v>
      </c>
      <c r="S313" s="4">
        <v>1.07</v>
      </c>
      <c r="T313" s="7" t="str">
        <f>IF(AllData[[#This Row],[Phosphate (PPM)]]&gt;0.5, "Very high", IF(AllData[[#This Row],[Phosphate (PPM)]]&gt;0.1, "High", IF(AllData[[#This Row],[Phosphate (PPM)]]&gt;0.05, "Some evidence", IF(AllData[[#This Row],[Phosphate (PPM)]]&lt;=0.05, "No Evidence", ""))))</f>
        <v>Very high</v>
      </c>
      <c r="U313">
        <v>0.2</v>
      </c>
    </row>
    <row r="314" spans="1:22" x14ac:dyDescent="0.25">
      <c r="A314" t="s">
        <v>509</v>
      </c>
      <c r="B314" s="2">
        <v>45299</v>
      </c>
      <c r="C314" s="2" t="str" cm="1">
        <f t="array" ref="C3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4">
        <v>2023</v>
      </c>
      <c r="E314" s="1">
        <v>0.40972222222222221</v>
      </c>
      <c r="F314" s="2" t="str">
        <f>IF(AND(AllData[[#This Row],[Time]]&lt;0.5, AllData[[#This Row],[Time]]&gt;0.17)=TRUE, "Morning", IF(AND(AllData[[#This Row],[Time]]&lt;0.75, AllData[[#This Row],[Time]]&gt;=0.5)=TRUE, "Afternoon", IF(AND(AllData[[#This Row],[Time]]&lt;1, AllData[[#This Row],[Time]]&gt;=0.75)=TRUE, "Evening", "Night")))</f>
        <v>Morning</v>
      </c>
      <c r="G314" t="str">
        <f>_xlfn.XLOOKUP(AllData[[#This Row],[Location Name]], Locations[Location Name],Locations[Group As])</f>
        <v>Stour Stretton-on-Fosse Sewage Works</v>
      </c>
      <c r="H314" t="e" vm="2">
        <f>_xlfn.XLOOKUP(AllData[[#This Row],[Site Name]],LocationsKey[Site Name],LocationsKey[District])</f>
        <v>#VALUE!</v>
      </c>
      <c r="I314" t="e" vm="14">
        <f>_xlfn.XLOOKUP(AllData[[#This Row],[Site Name]],LocationsKey[Site Name],LocationsKey[Town])</f>
        <v>#VALUE!</v>
      </c>
      <c r="J314" t="str">
        <f>_xlfn.XLOOKUP(AllData[[#This Row],[Site Name]],LocationsKey[Site Name], LocationsKey[Waterway])</f>
        <v>Stour</v>
      </c>
      <c r="K314" t="s">
        <v>335</v>
      </c>
      <c r="L314">
        <v>52.045603</v>
      </c>
      <c r="M314">
        <v>-1.6719900000000001</v>
      </c>
      <c r="N314" t="s">
        <v>29</v>
      </c>
      <c r="O314">
        <v>628</v>
      </c>
      <c r="P314">
        <v>5.3</v>
      </c>
      <c r="Q314">
        <v>2</v>
      </c>
      <c r="R314" s="7" t="str">
        <f>IF(AllData[[#This Row],[Nitrate (PPM)]]&gt;2, "Very high", IF(AllData[[#This Row],[Nitrate (PPM)]]&gt;1, "High", IF(AllData[[#This Row],[Nitrate (PPM)]]&gt;0.5, "Some evidence", IF(AllData[[#This Row],[Nitrate (PPM)]]&gt;=0, "No evidence"))))</f>
        <v>High</v>
      </c>
      <c r="S314" s="4">
        <v>1.91</v>
      </c>
      <c r="T314" s="7" t="str">
        <f>IF(AllData[[#This Row],[Phosphate (PPM)]]&gt;0.5, "Very high", IF(AllData[[#This Row],[Phosphate (PPM)]]&gt;0.1, "High", IF(AllData[[#This Row],[Phosphate (PPM)]]&gt;0.05, "Some evidence", IF(AllData[[#This Row],[Phosphate (PPM)]]&lt;=0.05, "No Evidence", ""))))</f>
        <v>Very high</v>
      </c>
      <c r="U314">
        <v>0.3</v>
      </c>
    </row>
    <row r="315" spans="1:22" x14ac:dyDescent="0.25">
      <c r="A315" t="s">
        <v>510</v>
      </c>
      <c r="B315" s="2">
        <v>45299</v>
      </c>
      <c r="C315" s="2" t="str" cm="1">
        <f t="array" ref="C3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5">
        <v>2023</v>
      </c>
      <c r="E315" s="1">
        <v>0.625</v>
      </c>
      <c r="F315" s="2" t="str">
        <f>IF(AND(AllData[[#This Row],[Time]]&lt;0.5, AllData[[#This Row],[Time]]&gt;0.17)=TRUE, "Morning", IF(AND(AllData[[#This Row],[Time]]&lt;0.75, AllData[[#This Row],[Time]]&gt;=0.5)=TRUE, "Afternoon", IF(AND(AllData[[#This Row],[Time]]&lt;1, AllData[[#This Row],[Time]]&gt;=0.75)=TRUE, "Evening", "Night")))</f>
        <v>Afternoon</v>
      </c>
      <c r="G315" t="str">
        <f>_xlfn.XLOOKUP(AllData[[#This Row],[Location Name]], Locations[Location Name],Locations[Group As])</f>
        <v>Swilgate</v>
      </c>
      <c r="H315" t="e" vm="1">
        <f>_xlfn.XLOOKUP(AllData[[#This Row],[Site Name]],LocationsKey[Site Name],LocationsKey[District])</f>
        <v>#VALUE!</v>
      </c>
      <c r="I315" t="e" vm="1">
        <f>_xlfn.XLOOKUP(AllData[[#This Row],[Site Name]],LocationsKey[Site Name],LocationsKey[Town])</f>
        <v>#VALUE!</v>
      </c>
      <c r="J315" t="str">
        <f>_xlfn.XLOOKUP(AllData[[#This Row],[Site Name]],LocationsKey[Site Name], LocationsKey[Waterway])</f>
        <v>Swilgate</v>
      </c>
      <c r="K315" t="s">
        <v>84</v>
      </c>
      <c r="N315" t="s">
        <v>23</v>
      </c>
      <c r="O315">
        <v>703</v>
      </c>
      <c r="P315">
        <v>7</v>
      </c>
      <c r="Q315">
        <v>5</v>
      </c>
      <c r="R315" s="7" t="str">
        <f>IF(AllData[[#This Row],[Nitrate (PPM)]]&gt;2, "Very high", IF(AllData[[#This Row],[Nitrate (PPM)]]&gt;1, "High", IF(AllData[[#This Row],[Nitrate (PPM)]]&gt;0.5, "Some evidence", IF(AllData[[#This Row],[Nitrate (PPM)]]&gt;=0, "No evidence"))))</f>
        <v>Very high</v>
      </c>
      <c r="S315" s="4">
        <v>0.46</v>
      </c>
      <c r="T315" s="7" t="str">
        <f>IF(AllData[[#This Row],[Phosphate (PPM)]]&gt;0.5, "Very high", IF(AllData[[#This Row],[Phosphate (PPM)]]&gt;0.1, "High", IF(AllData[[#This Row],[Phosphate (PPM)]]&gt;0.05, "Some evidence", IF(AllData[[#This Row],[Phosphate (PPM)]]&lt;=0.05, "No Evidence", ""))))</f>
        <v>High</v>
      </c>
      <c r="U315">
        <v>2</v>
      </c>
      <c r="V315" t="s">
        <v>511</v>
      </c>
    </row>
    <row r="316" spans="1:22" x14ac:dyDescent="0.25">
      <c r="A316" t="s">
        <v>512</v>
      </c>
      <c r="B316" s="2">
        <v>45300</v>
      </c>
      <c r="C316" s="2" t="str" cm="1">
        <f t="array" ref="C3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6">
        <v>2023</v>
      </c>
      <c r="E316" s="1">
        <v>0.5</v>
      </c>
      <c r="F316" s="2" t="str">
        <f>IF(AND(AllData[[#This Row],[Time]]&lt;0.5, AllData[[#This Row],[Time]]&gt;0.17)=TRUE, "Morning", IF(AND(AllData[[#This Row],[Time]]&lt;0.75, AllData[[#This Row],[Time]]&gt;=0.5)=TRUE, "Afternoon", IF(AND(AllData[[#This Row],[Time]]&lt;1, AllData[[#This Row],[Time]]&gt;=0.75)=TRUE, "Evening", "Night")))</f>
        <v>Afternoon</v>
      </c>
      <c r="G316" t="str">
        <f>_xlfn.XLOOKUP(AllData[[#This Row],[Location Name]], Locations[Location Name],Locations[Group As])</f>
        <v>Barton</v>
      </c>
      <c r="H316" t="e" vm="2">
        <f>_xlfn.XLOOKUP(AllData[[#This Row],[Site Name]],LocationsKey[Site Name],LocationsKey[District])</f>
        <v>#VALUE!</v>
      </c>
      <c r="I316" t="str">
        <f>_xlfn.XLOOKUP(AllData[[#This Row],[Site Name]],LocationsKey[Site Name],LocationsKey[Town])</f>
        <v>Barton</v>
      </c>
      <c r="J316" t="str">
        <f>_xlfn.XLOOKUP(AllData[[#This Row],[Site Name]],LocationsKey[Site Name], LocationsKey[Waterway])</f>
        <v>Avon</v>
      </c>
      <c r="K316" t="s">
        <v>49</v>
      </c>
      <c r="L316">
        <v>52.161209999999997</v>
      </c>
      <c r="M316">
        <v>-1.8301499999999999</v>
      </c>
      <c r="N316" t="s">
        <v>29</v>
      </c>
      <c r="O316">
        <v>728</v>
      </c>
      <c r="P316">
        <v>8.1</v>
      </c>
      <c r="Q316">
        <v>20</v>
      </c>
      <c r="R316" s="7" t="str">
        <f>IF(AllData[[#This Row],[Nitrate (PPM)]]&gt;2, "Very high", IF(AllData[[#This Row],[Nitrate (PPM)]]&gt;1, "High", IF(AllData[[#This Row],[Nitrate (PPM)]]&gt;0.5, "Some evidence", IF(AllData[[#This Row],[Nitrate (PPM)]]&gt;=0, "No evidence"))))</f>
        <v>Very high</v>
      </c>
      <c r="S316" s="4">
        <v>0.42</v>
      </c>
      <c r="T316" s="7" t="str">
        <f>IF(AllData[[#This Row],[Phosphate (PPM)]]&gt;0.5, "Very high", IF(AllData[[#This Row],[Phosphate (PPM)]]&gt;0.1, "High", IF(AllData[[#This Row],[Phosphate (PPM)]]&gt;0.05, "Some evidence", IF(AllData[[#This Row],[Phosphate (PPM)]]&lt;=0.05, "No Evidence", ""))))</f>
        <v>High</v>
      </c>
      <c r="U316">
        <v>0</v>
      </c>
    </row>
    <row r="317" spans="1:22" x14ac:dyDescent="0.25">
      <c r="A317" t="s">
        <v>513</v>
      </c>
      <c r="B317" s="2">
        <v>45300</v>
      </c>
      <c r="C317" s="2" t="str" cm="1">
        <f t="array" ref="C3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7">
        <v>2023</v>
      </c>
      <c r="E317" s="1">
        <v>0.68055555555555558</v>
      </c>
      <c r="F317" s="2" t="str">
        <f>IF(AND(AllData[[#This Row],[Time]]&lt;0.5, AllData[[#This Row],[Time]]&gt;0.17)=TRUE, "Morning", IF(AND(AllData[[#This Row],[Time]]&lt;0.75, AllData[[#This Row],[Time]]&gt;=0.5)=TRUE, "Afternoon", IF(AND(AllData[[#This Row],[Time]]&lt;1, AllData[[#This Row],[Time]]&gt;=0.75)=TRUE, "Evening", "Night")))</f>
        <v>Afternoon</v>
      </c>
      <c r="G317" t="str">
        <f>_xlfn.XLOOKUP(AllData[[#This Row],[Location Name]], Locations[Location Name],Locations[Group As])</f>
        <v>Abbey Mill</v>
      </c>
      <c r="H317" t="e" vm="1">
        <f>_xlfn.XLOOKUP(AllData[[#This Row],[Site Name]],LocationsKey[Site Name],LocationsKey[District])</f>
        <v>#VALUE!</v>
      </c>
      <c r="I317" t="e" vm="1">
        <f>_xlfn.XLOOKUP(AllData[[#This Row],[Site Name]],LocationsKey[Site Name],LocationsKey[Town])</f>
        <v>#VALUE!</v>
      </c>
      <c r="J317" t="str">
        <f>_xlfn.XLOOKUP(AllData[[#This Row],[Site Name]],LocationsKey[Site Name], LocationsKey[Waterway])</f>
        <v>Avon</v>
      </c>
      <c r="K317" t="s">
        <v>22</v>
      </c>
      <c r="N317" t="s">
        <v>23</v>
      </c>
      <c r="O317">
        <v>623</v>
      </c>
      <c r="P317">
        <v>7.4</v>
      </c>
      <c r="Q317">
        <v>8</v>
      </c>
      <c r="R317" s="7" t="str">
        <f>IF(AllData[[#This Row],[Nitrate (PPM)]]&gt;2, "Very high", IF(AllData[[#This Row],[Nitrate (PPM)]]&gt;1, "High", IF(AllData[[#This Row],[Nitrate (PPM)]]&gt;0.5, "Some evidence", IF(AllData[[#This Row],[Nitrate (PPM)]]&gt;=0, "No evidence"))))</f>
        <v>Very high</v>
      </c>
      <c r="S317" s="4">
        <v>0.91</v>
      </c>
      <c r="T317" s="7" t="str">
        <f>IF(AllData[[#This Row],[Phosphate (PPM)]]&gt;0.5, "Very high", IF(AllData[[#This Row],[Phosphate (PPM)]]&gt;0.1, "High", IF(AllData[[#This Row],[Phosphate (PPM)]]&gt;0.05, "Some evidence", IF(AllData[[#This Row],[Phosphate (PPM)]]&lt;=0.05, "No Evidence", ""))))</f>
        <v>Very high</v>
      </c>
      <c r="U317">
        <v>2</v>
      </c>
      <c r="V317" t="s">
        <v>270</v>
      </c>
    </row>
    <row r="318" spans="1:22" x14ac:dyDescent="0.25">
      <c r="A318" t="s">
        <v>514</v>
      </c>
      <c r="B318" s="2">
        <v>45301</v>
      </c>
      <c r="C318" s="2" t="str" cm="1">
        <f t="array" ref="C3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8">
        <v>2023</v>
      </c>
      <c r="E318" s="1">
        <v>0.64583333333333337</v>
      </c>
      <c r="F318" s="2" t="str">
        <f>IF(AND(AllData[[#This Row],[Time]]&lt;0.5, AllData[[#This Row],[Time]]&gt;0.17)=TRUE, "Morning", IF(AND(AllData[[#This Row],[Time]]&lt;0.75, AllData[[#This Row],[Time]]&gt;=0.5)=TRUE, "Afternoon", IF(AND(AllData[[#This Row],[Time]]&lt;1, AllData[[#This Row],[Time]]&gt;=0.75)=TRUE, "Evening", "Night")))</f>
        <v>Afternoon</v>
      </c>
      <c r="G318" t="str">
        <f>_xlfn.XLOOKUP(AllData[[#This Row],[Location Name]], Locations[Location Name],Locations[Group As])</f>
        <v>Stour Newbold Mill</v>
      </c>
      <c r="H318" t="e" vm="2">
        <f>_xlfn.XLOOKUP(AllData[[#This Row],[Site Name]],LocationsKey[Site Name],LocationsKey[District])</f>
        <v>#VALUE!</v>
      </c>
      <c r="I318" t="e" vm="8">
        <f>_xlfn.XLOOKUP(AllData[[#This Row],[Site Name]],LocationsKey[Site Name],LocationsKey[Town])</f>
        <v>#VALUE!</v>
      </c>
      <c r="J318" t="str">
        <f>_xlfn.XLOOKUP(AllData[[#This Row],[Site Name]],LocationsKey[Site Name], LocationsKey[Waterway])</f>
        <v>Stour</v>
      </c>
      <c r="K318" t="s">
        <v>140</v>
      </c>
      <c r="L318">
        <v>52.112845999999998</v>
      </c>
      <c r="M318">
        <v>-1.633429</v>
      </c>
      <c r="N318" t="s">
        <v>29</v>
      </c>
      <c r="O318">
        <v>640</v>
      </c>
      <c r="P318">
        <v>8.1999999999999993</v>
      </c>
      <c r="Q318">
        <v>5</v>
      </c>
      <c r="R318" s="7" t="str">
        <f>IF(AllData[[#This Row],[Nitrate (PPM)]]&gt;2, "Very high", IF(AllData[[#This Row],[Nitrate (PPM)]]&gt;1, "High", IF(AllData[[#This Row],[Nitrate (PPM)]]&gt;0.5, "Some evidence", IF(AllData[[#This Row],[Nitrate (PPM)]]&gt;=0, "No evidence"))))</f>
        <v>Very high</v>
      </c>
      <c r="S318" s="4">
        <v>0.22</v>
      </c>
      <c r="T318" s="7" t="str">
        <f>IF(AllData[[#This Row],[Phosphate (PPM)]]&gt;0.5, "Very high", IF(AllData[[#This Row],[Phosphate (PPM)]]&gt;0.1, "High", IF(AllData[[#This Row],[Phosphate (PPM)]]&gt;0.05, "Some evidence", IF(AllData[[#This Row],[Phosphate (PPM)]]&lt;=0.05, "No Evidence", ""))))</f>
        <v>High</v>
      </c>
      <c r="U318">
        <v>2.5</v>
      </c>
      <c r="V318" t="s">
        <v>515</v>
      </c>
    </row>
    <row r="319" spans="1:22" x14ac:dyDescent="0.25">
      <c r="A319" t="s">
        <v>516</v>
      </c>
      <c r="B319" s="2">
        <v>45302</v>
      </c>
      <c r="C319" s="2" t="str" cm="1">
        <f t="array" ref="C3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9">
        <v>2023</v>
      </c>
      <c r="E319" s="1">
        <v>0.43333333333333335</v>
      </c>
      <c r="F319" s="2" t="str">
        <f>IF(AND(AllData[[#This Row],[Time]]&lt;0.5, AllData[[#This Row],[Time]]&gt;0.17)=TRUE, "Morning", IF(AND(AllData[[#This Row],[Time]]&lt;0.75, AllData[[#This Row],[Time]]&gt;=0.5)=TRUE, "Afternoon", IF(AND(AllData[[#This Row],[Time]]&lt;1, AllData[[#This Row],[Time]]&gt;=0.75)=TRUE, "Evening", "Night")))</f>
        <v>Morning</v>
      </c>
      <c r="G319" t="str">
        <f>_xlfn.XLOOKUP(AllData[[#This Row],[Location Name]], Locations[Location Name],Locations[Group As])</f>
        <v>Stour Willington</v>
      </c>
      <c r="H319" t="e" vm="2">
        <f>_xlfn.XLOOKUP(AllData[[#This Row],[Site Name]],LocationsKey[Site Name],LocationsKey[District])</f>
        <v>#VALUE!</v>
      </c>
      <c r="I319" t="str">
        <f>_xlfn.XLOOKUP(AllData[[#This Row],[Site Name]],LocationsKey[Site Name],LocationsKey[Town])</f>
        <v>Willington</v>
      </c>
      <c r="J319" t="str">
        <f>_xlfn.XLOOKUP(AllData[[#This Row],[Site Name]],LocationsKey[Site Name], LocationsKey[Waterway])</f>
        <v>Stour</v>
      </c>
      <c r="K319" t="s">
        <v>517</v>
      </c>
      <c r="L319">
        <v>52.050897999999997</v>
      </c>
      <c r="M319">
        <v>-1.613686</v>
      </c>
      <c r="N319" t="s">
        <v>23</v>
      </c>
      <c r="O319">
        <v>602</v>
      </c>
      <c r="P319">
        <v>6.9</v>
      </c>
      <c r="Q319">
        <v>2</v>
      </c>
      <c r="R319" s="7" t="str">
        <f>IF(AllData[[#This Row],[Nitrate (PPM)]]&gt;2, "Very high", IF(AllData[[#This Row],[Nitrate (PPM)]]&gt;1, "High", IF(AllData[[#This Row],[Nitrate (PPM)]]&gt;0.5, "Some evidence", IF(AllData[[#This Row],[Nitrate (PPM)]]&gt;=0, "No evidence"))))</f>
        <v>High</v>
      </c>
      <c r="S319" s="4">
        <v>0.18</v>
      </c>
      <c r="T319" s="7" t="str">
        <f>IF(AllData[[#This Row],[Phosphate (PPM)]]&gt;0.5, "Very high", IF(AllData[[#This Row],[Phosphate (PPM)]]&gt;0.1, "High", IF(AllData[[#This Row],[Phosphate (PPM)]]&gt;0.05, "Some evidence", IF(AllData[[#This Row],[Phosphate (PPM)]]&lt;=0.05, "No Evidence", ""))))</f>
        <v>High</v>
      </c>
      <c r="U319">
        <v>1</v>
      </c>
    </row>
    <row r="320" spans="1:22" x14ac:dyDescent="0.25">
      <c r="A320" t="s">
        <v>518</v>
      </c>
      <c r="B320" s="2">
        <v>45302</v>
      </c>
      <c r="C320" s="2" t="str" cm="1">
        <f t="array" ref="C3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0">
        <v>2023</v>
      </c>
      <c r="E320" s="1">
        <v>0.4375</v>
      </c>
      <c r="F320" s="2" t="str">
        <f>IF(AND(AllData[[#This Row],[Time]]&lt;0.5, AllData[[#This Row],[Time]]&gt;0.17)=TRUE, "Morning", IF(AND(AllData[[#This Row],[Time]]&lt;0.75, AllData[[#This Row],[Time]]&gt;=0.5)=TRUE, "Afternoon", IF(AND(AllData[[#This Row],[Time]]&lt;1, AllData[[#This Row],[Time]]&gt;=0.75)=TRUE, "Evening", "Night")))</f>
        <v>Morning</v>
      </c>
      <c r="G320" t="str">
        <f>_xlfn.XLOOKUP(AllData[[#This Row],[Location Name]], Locations[Location Name],Locations[Group As])</f>
        <v>Swilgate</v>
      </c>
      <c r="H320" t="e" vm="1">
        <f>_xlfn.XLOOKUP(AllData[[#This Row],[Site Name]],LocationsKey[Site Name],LocationsKey[District])</f>
        <v>#VALUE!</v>
      </c>
      <c r="I320" t="e" vm="1">
        <f>_xlfn.XLOOKUP(AllData[[#This Row],[Site Name]],LocationsKey[Site Name],LocationsKey[Town])</f>
        <v>#VALUE!</v>
      </c>
      <c r="J320" t="str">
        <f>_xlfn.XLOOKUP(AllData[[#This Row],[Site Name]],LocationsKey[Site Name], LocationsKey[Waterway])</f>
        <v>Swilgate</v>
      </c>
      <c r="K320" t="s">
        <v>84</v>
      </c>
      <c r="L320">
        <v>51.988615000000003</v>
      </c>
      <c r="M320">
        <v>-2.1637019999999998</v>
      </c>
      <c r="N320" t="s">
        <v>23</v>
      </c>
      <c r="O320">
        <v>846</v>
      </c>
      <c r="P320">
        <v>5.0999999999999996</v>
      </c>
      <c r="Q320">
        <v>4</v>
      </c>
      <c r="R320" s="7" t="str">
        <f>IF(AllData[[#This Row],[Nitrate (PPM)]]&gt;2, "Very high", IF(AllData[[#This Row],[Nitrate (PPM)]]&gt;1, "High", IF(AllData[[#This Row],[Nitrate (PPM)]]&gt;0.5, "Some evidence", IF(AllData[[#This Row],[Nitrate (PPM)]]&gt;=0, "No evidence"))))</f>
        <v>Very high</v>
      </c>
      <c r="S320" s="4">
        <v>0.47</v>
      </c>
      <c r="T320" s="7" t="str">
        <f>IF(AllData[[#This Row],[Phosphate (PPM)]]&gt;0.5, "Very high", IF(AllData[[#This Row],[Phosphate (PPM)]]&gt;0.1, "High", IF(AllData[[#This Row],[Phosphate (PPM)]]&gt;0.05, "Some evidence", IF(AllData[[#This Row],[Phosphate (PPM)]]&lt;=0.05, "No Evidence", ""))))</f>
        <v>High</v>
      </c>
      <c r="U320">
        <v>1</v>
      </c>
    </row>
    <row r="321" spans="1:22" x14ac:dyDescent="0.25">
      <c r="A321" t="s">
        <v>519</v>
      </c>
      <c r="B321" s="2">
        <v>45302</v>
      </c>
      <c r="C321" s="2" t="str" cm="1">
        <f t="array" ref="C3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1">
        <v>2023</v>
      </c>
      <c r="E321" s="1">
        <v>0.64583333333333337</v>
      </c>
      <c r="F321" s="2" t="str">
        <f>IF(AND(AllData[[#This Row],[Time]]&lt;0.5, AllData[[#This Row],[Time]]&gt;0.17)=TRUE, "Morning", IF(AND(AllData[[#This Row],[Time]]&lt;0.75, AllData[[#This Row],[Time]]&gt;=0.5)=TRUE, "Afternoon", IF(AND(AllData[[#This Row],[Time]]&lt;1, AllData[[#This Row],[Time]]&gt;=0.75)=TRUE, "Evening", "Night")))</f>
        <v>Afternoon</v>
      </c>
      <c r="G321" t="str">
        <f>_xlfn.XLOOKUP(AllData[[#This Row],[Location Name]], Locations[Location Name],Locations[Group As])</f>
        <v>Alveston Weir</v>
      </c>
      <c r="H321" t="e" vm="2">
        <f>_xlfn.XLOOKUP(AllData[[#This Row],[Site Name]],LocationsKey[Site Name],LocationsKey[District])</f>
        <v>#VALUE!</v>
      </c>
      <c r="I321" t="e" vm="13">
        <f>_xlfn.XLOOKUP(AllData[[#This Row],[Site Name]],LocationsKey[Site Name],LocationsKey[Town])</f>
        <v>#VALUE!</v>
      </c>
      <c r="J321" t="str">
        <f>_xlfn.XLOOKUP(AllData[[#This Row],[Site Name]],LocationsKey[Site Name], LocationsKey[Waterway])</f>
        <v>Avon</v>
      </c>
      <c r="K321" t="s">
        <v>286</v>
      </c>
      <c r="L321">
        <v>52.212290000000003</v>
      </c>
      <c r="M321">
        <v>-1.66</v>
      </c>
      <c r="N321" t="s">
        <v>29</v>
      </c>
      <c r="O321">
        <v>719</v>
      </c>
      <c r="P321">
        <v>5.7</v>
      </c>
      <c r="Q321">
        <v>10</v>
      </c>
      <c r="R321" s="7" t="str">
        <f>IF(AllData[[#This Row],[Nitrate (PPM)]]&gt;2, "Very high", IF(AllData[[#This Row],[Nitrate (PPM)]]&gt;1, "High", IF(AllData[[#This Row],[Nitrate (PPM)]]&gt;0.5, "Some evidence", IF(AllData[[#This Row],[Nitrate (PPM)]]&gt;=0, "No evidence"))))</f>
        <v>Very high</v>
      </c>
      <c r="S321" s="4">
        <v>0.51</v>
      </c>
      <c r="T321" s="7" t="str">
        <f>IF(AllData[[#This Row],[Phosphate (PPM)]]&gt;0.5, "Very high", IF(AllData[[#This Row],[Phosphate (PPM)]]&gt;0.1, "High", IF(AllData[[#This Row],[Phosphate (PPM)]]&gt;0.05, "Some evidence", IF(AllData[[#This Row],[Phosphate (PPM)]]&lt;=0.05, "No Evidence", ""))))</f>
        <v>Very high</v>
      </c>
      <c r="U321">
        <v>1</v>
      </c>
      <c r="V321" t="s">
        <v>520</v>
      </c>
    </row>
    <row r="322" spans="1:22" x14ac:dyDescent="0.25">
      <c r="A322" t="s">
        <v>521</v>
      </c>
      <c r="B322" s="2">
        <v>45302</v>
      </c>
      <c r="C322" s="2" t="str" cm="1">
        <f t="array" ref="C3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2">
        <v>2023</v>
      </c>
      <c r="E322" s="1">
        <v>0.64583333333333337</v>
      </c>
      <c r="F322" s="2" t="str">
        <f>IF(AND(AllData[[#This Row],[Time]]&lt;0.5, AllData[[#This Row],[Time]]&gt;0.17)=TRUE, "Morning", IF(AND(AllData[[#This Row],[Time]]&lt;0.75, AllData[[#This Row],[Time]]&gt;=0.5)=TRUE, "Afternoon", IF(AND(AllData[[#This Row],[Time]]&lt;1, AllData[[#This Row],[Time]]&gt;=0.75)=TRUE, "Evening", "Night")))</f>
        <v>Afternoon</v>
      </c>
      <c r="G322" t="str">
        <f>_xlfn.XLOOKUP(AllData[[#This Row],[Location Name]], Locations[Location Name],Locations[Group As])</f>
        <v>Swiffen Bank</v>
      </c>
      <c r="H322" t="e" vm="2">
        <f>_xlfn.XLOOKUP(AllData[[#This Row],[Site Name]],LocationsKey[Site Name],LocationsKey[District])</f>
        <v>#VALUE!</v>
      </c>
      <c r="I322" t="e" vm="13">
        <f>_xlfn.XLOOKUP(AllData[[#This Row],[Site Name]],LocationsKey[Site Name],LocationsKey[Town])</f>
        <v>#VALUE!</v>
      </c>
      <c r="J322" t="str">
        <f>_xlfn.XLOOKUP(AllData[[#This Row],[Site Name]],LocationsKey[Site Name], LocationsKey[Waterway])</f>
        <v>Avon</v>
      </c>
      <c r="K322" t="s">
        <v>284</v>
      </c>
      <c r="L322">
        <v>52.206477999999997</v>
      </c>
      <c r="M322">
        <v>-1.653894</v>
      </c>
      <c r="N322" t="s">
        <v>29</v>
      </c>
      <c r="O322">
        <v>701</v>
      </c>
      <c r="P322">
        <v>6.5</v>
      </c>
      <c r="Q322">
        <v>5</v>
      </c>
      <c r="R322" s="7" t="str">
        <f>IF(AllData[[#This Row],[Nitrate (PPM)]]&gt;2, "Very high", IF(AllData[[#This Row],[Nitrate (PPM)]]&gt;1, "High", IF(AllData[[#This Row],[Nitrate (PPM)]]&gt;0.5, "Some evidence", IF(AllData[[#This Row],[Nitrate (PPM)]]&gt;=0, "No evidence"))))</f>
        <v>Very high</v>
      </c>
      <c r="S322" s="4">
        <v>0.46</v>
      </c>
      <c r="T322" s="7" t="str">
        <f>IF(AllData[[#This Row],[Phosphate (PPM)]]&gt;0.5, "Very high", IF(AllData[[#This Row],[Phosphate (PPM)]]&gt;0.1, "High", IF(AllData[[#This Row],[Phosphate (PPM)]]&gt;0.05, "Some evidence", IF(AllData[[#This Row],[Phosphate (PPM)]]&lt;=0.05, "No Evidence", ""))))</f>
        <v>High</v>
      </c>
      <c r="U322">
        <v>0</v>
      </c>
      <c r="V322" t="s">
        <v>522</v>
      </c>
    </row>
    <row r="323" spans="1:22" x14ac:dyDescent="0.25">
      <c r="A323" t="s">
        <v>523</v>
      </c>
      <c r="B323" s="2">
        <v>45303</v>
      </c>
      <c r="C323" s="2" t="str" cm="1">
        <f t="array" ref="C3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3">
        <v>2023</v>
      </c>
      <c r="E323" s="1">
        <v>0.49722222222222223</v>
      </c>
      <c r="F323" s="2" t="str">
        <f>IF(AND(AllData[[#This Row],[Time]]&lt;0.5, AllData[[#This Row],[Time]]&gt;0.17)=TRUE, "Morning", IF(AND(AllData[[#This Row],[Time]]&lt;0.75, AllData[[#This Row],[Time]]&gt;=0.5)=TRUE, "Afternoon", IF(AND(AllData[[#This Row],[Time]]&lt;1, AllData[[#This Row],[Time]]&gt;=0.75)=TRUE, "Evening", "Night")))</f>
        <v>Morning</v>
      </c>
      <c r="G323" t="str">
        <f>_xlfn.XLOOKUP(AllData[[#This Row],[Location Name]], Locations[Location Name],Locations[Group As])</f>
        <v>Preston-on-Stour River Bridge</v>
      </c>
      <c r="H323" t="e" vm="2">
        <f>_xlfn.XLOOKUP(AllData[[#This Row],[Site Name]],LocationsKey[Site Name],LocationsKey[District])</f>
        <v>#VALUE!</v>
      </c>
      <c r="I323" t="e" vm="9">
        <f>_xlfn.XLOOKUP(AllData[[#This Row],[Site Name]],LocationsKey[Site Name],LocationsKey[Town])</f>
        <v>#VALUE!</v>
      </c>
      <c r="J323" t="str">
        <f>_xlfn.XLOOKUP(AllData[[#This Row],[Site Name]],LocationsKey[Site Name], LocationsKey[Waterway])</f>
        <v>Stour</v>
      </c>
      <c r="K323" t="s">
        <v>163</v>
      </c>
      <c r="L323">
        <v>52.146529000000001</v>
      </c>
      <c r="M323">
        <v>-1.6994359999999999</v>
      </c>
      <c r="N323" t="s">
        <v>29</v>
      </c>
      <c r="O323">
        <v>651</v>
      </c>
      <c r="P323">
        <v>5.9</v>
      </c>
      <c r="Q323">
        <v>5</v>
      </c>
      <c r="R323" s="7" t="str">
        <f>IF(AllData[[#This Row],[Nitrate (PPM)]]&gt;2, "Very high", IF(AllData[[#This Row],[Nitrate (PPM)]]&gt;1, "High", IF(AllData[[#This Row],[Nitrate (PPM)]]&gt;0.5, "Some evidence", IF(AllData[[#This Row],[Nitrate (PPM)]]&gt;=0, "No evidence"))))</f>
        <v>Very high</v>
      </c>
      <c r="S323" s="4">
        <v>0.15</v>
      </c>
      <c r="T323" s="7" t="str">
        <f>IF(AllData[[#This Row],[Phosphate (PPM)]]&gt;0.5, "Very high", IF(AllData[[#This Row],[Phosphate (PPM)]]&gt;0.1, "High", IF(AllData[[#This Row],[Phosphate (PPM)]]&gt;0.05, "Some evidence", IF(AllData[[#This Row],[Phosphate (PPM)]]&lt;=0.05, "No Evidence", ""))))</f>
        <v>High</v>
      </c>
      <c r="U323">
        <v>1.5</v>
      </c>
      <c r="V323" t="s">
        <v>524</v>
      </c>
    </row>
    <row r="324" spans="1:22" x14ac:dyDescent="0.25">
      <c r="A324" t="s">
        <v>525</v>
      </c>
      <c r="B324" s="2">
        <v>45304</v>
      </c>
      <c r="C324" s="2" t="str" cm="1">
        <f t="array" ref="C3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4">
        <v>2023</v>
      </c>
      <c r="E324" s="1">
        <v>0.41736111111111113</v>
      </c>
      <c r="F324" s="2" t="str">
        <f>IF(AND(AllData[[#This Row],[Time]]&lt;0.5, AllData[[#This Row],[Time]]&gt;0.17)=TRUE, "Morning", IF(AND(AllData[[#This Row],[Time]]&lt;0.75, AllData[[#This Row],[Time]]&gt;=0.5)=TRUE, "Afternoon", IF(AND(AllData[[#This Row],[Time]]&lt;1, AllData[[#This Row],[Time]]&gt;=0.75)=TRUE, "Evening", "Night")))</f>
        <v>Morning</v>
      </c>
      <c r="G324" t="str">
        <f>_xlfn.XLOOKUP(AllData[[#This Row],[Location Name]], Locations[Location Name],Locations[Group As])</f>
        <v>The Ford, Langley</v>
      </c>
      <c r="H324" t="e" vm="2">
        <f>_xlfn.XLOOKUP(AllData[[#This Row],[Site Name]],LocationsKey[Site Name],LocationsKey[District])</f>
        <v>#VALUE!</v>
      </c>
      <c r="I324" t="str">
        <f>_xlfn.XLOOKUP(AllData[[#This Row],[Site Name]],LocationsKey[Site Name],LocationsKey[Town])</f>
        <v>Langley</v>
      </c>
      <c r="J324" t="str">
        <f>_xlfn.XLOOKUP(AllData[[#This Row],[Site Name]],LocationsKey[Site Name], LocationsKey[Waterway])</f>
        <v>Langley Ford</v>
      </c>
      <c r="K324" t="s">
        <v>526</v>
      </c>
      <c r="L324">
        <v>52.259639</v>
      </c>
      <c r="M324">
        <v>-1.7181999999999999</v>
      </c>
      <c r="N324" t="s">
        <v>29</v>
      </c>
      <c r="O324">
        <v>687</v>
      </c>
      <c r="P324">
        <v>6</v>
      </c>
      <c r="Q324">
        <v>10</v>
      </c>
      <c r="R324" s="7" t="str">
        <f>IF(AllData[[#This Row],[Nitrate (PPM)]]&gt;2, "Very high", IF(AllData[[#This Row],[Nitrate (PPM)]]&gt;1, "High", IF(AllData[[#This Row],[Nitrate (PPM)]]&gt;0.5, "Some evidence", IF(AllData[[#This Row],[Nitrate (PPM)]]&gt;=0, "No evidence"))))</f>
        <v>Very high</v>
      </c>
      <c r="S324" s="4">
        <v>0.15</v>
      </c>
      <c r="T324" s="7" t="str">
        <f>IF(AllData[[#This Row],[Phosphate (PPM)]]&gt;0.5, "Very high", IF(AllData[[#This Row],[Phosphate (PPM)]]&gt;0.1, "High", IF(AllData[[#This Row],[Phosphate (PPM)]]&gt;0.05, "Some evidence", IF(AllData[[#This Row],[Phosphate (PPM)]]&lt;=0.05, "No Evidence", ""))))</f>
        <v>High</v>
      </c>
      <c r="U324">
        <v>0.3</v>
      </c>
      <c r="V324" t="s">
        <v>527</v>
      </c>
    </row>
    <row r="325" spans="1:22" x14ac:dyDescent="0.25">
      <c r="A325" t="s">
        <v>528</v>
      </c>
      <c r="B325" s="2">
        <v>45304</v>
      </c>
      <c r="C325" s="2" t="str" cm="1">
        <f t="array" ref="C3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5">
        <v>2023</v>
      </c>
      <c r="E325" s="1">
        <v>0.47916666666666669</v>
      </c>
      <c r="F325" s="2" t="str">
        <f>IF(AND(AllData[[#This Row],[Time]]&lt;0.5, AllData[[#This Row],[Time]]&gt;0.17)=TRUE, "Morning", IF(AND(AllData[[#This Row],[Time]]&lt;0.75, AllData[[#This Row],[Time]]&gt;=0.5)=TRUE, "Afternoon", IF(AND(AllData[[#This Row],[Time]]&lt;1, AllData[[#This Row],[Time]]&gt;=0.75)=TRUE, "Evening", "Night")))</f>
        <v>Morning</v>
      </c>
      <c r="G325" t="str">
        <f>_xlfn.XLOOKUP(AllData[[#This Row],[Location Name]], Locations[Location Name],Locations[Group As])</f>
        <v>Clifford Chambers Mill Bridge</v>
      </c>
      <c r="H325" t="e" vm="2">
        <f>_xlfn.XLOOKUP(AllData[[#This Row],[Site Name]],LocationsKey[Site Name],LocationsKey[District])</f>
        <v>#VALUE!</v>
      </c>
      <c r="I325" t="e" vm="12">
        <f>_xlfn.XLOOKUP(AllData[[#This Row],[Site Name]],LocationsKey[Site Name],LocationsKey[Town])</f>
        <v>#VALUE!</v>
      </c>
      <c r="J325" t="str">
        <f>_xlfn.XLOOKUP(AllData[[#This Row],[Site Name]],LocationsKey[Site Name], LocationsKey[Waterway])</f>
        <v>Stour</v>
      </c>
      <c r="K325" t="s">
        <v>263</v>
      </c>
      <c r="L325">
        <v>52.166370000000001</v>
      </c>
      <c r="M325">
        <v>-1.708032</v>
      </c>
      <c r="N325" t="s">
        <v>66</v>
      </c>
      <c r="O325">
        <v>668</v>
      </c>
      <c r="P325">
        <v>13.2</v>
      </c>
      <c r="Q325">
        <v>4</v>
      </c>
      <c r="R325" s="7" t="str">
        <f>IF(AllData[[#This Row],[Nitrate (PPM)]]&gt;2, "Very high", IF(AllData[[#This Row],[Nitrate (PPM)]]&gt;1, "High", IF(AllData[[#This Row],[Nitrate (PPM)]]&gt;0.5, "Some evidence", IF(AllData[[#This Row],[Nitrate (PPM)]]&gt;=0, "No evidence"))))</f>
        <v>Very high</v>
      </c>
      <c r="S325" s="4">
        <v>0.27</v>
      </c>
      <c r="T325" s="7" t="str">
        <f>IF(AllData[[#This Row],[Phosphate (PPM)]]&gt;0.5, "Very high", IF(AllData[[#This Row],[Phosphate (PPM)]]&gt;0.1, "High", IF(AllData[[#This Row],[Phosphate (PPM)]]&gt;0.05, "Some evidence", IF(AllData[[#This Row],[Phosphate (PPM)]]&lt;=0.05, "No Evidence", ""))))</f>
        <v>High</v>
      </c>
      <c r="U325">
        <v>1.1000000000000001</v>
      </c>
      <c r="V325" t="s">
        <v>529</v>
      </c>
    </row>
    <row r="326" spans="1:22" x14ac:dyDescent="0.25">
      <c r="A326" t="s">
        <v>530</v>
      </c>
      <c r="B326" s="2">
        <v>45304</v>
      </c>
      <c r="C326" s="2" t="str" cm="1">
        <f t="array" ref="C3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6">
        <v>2023</v>
      </c>
      <c r="E326" s="1">
        <v>0.48958333333333331</v>
      </c>
      <c r="F326" s="2" t="str">
        <f>IF(AND(AllData[[#This Row],[Time]]&lt;0.5, AllData[[#This Row],[Time]]&gt;0.17)=TRUE, "Morning", IF(AND(AllData[[#This Row],[Time]]&lt;0.75, AllData[[#This Row],[Time]]&gt;=0.5)=TRUE, "Afternoon", IF(AND(AllData[[#This Row],[Time]]&lt;1, AllData[[#This Row],[Time]]&gt;=0.75)=TRUE, "Evening", "Night")))</f>
        <v>Morning</v>
      </c>
      <c r="G326" t="str">
        <f>_xlfn.XLOOKUP(AllData[[#This Row],[Location Name]], Locations[Location Name],Locations[Group As])</f>
        <v>Clifford Chambers Road Bridge</v>
      </c>
      <c r="H326" t="e" vm="2">
        <f>_xlfn.XLOOKUP(AllData[[#This Row],[Site Name]],LocationsKey[Site Name],LocationsKey[District])</f>
        <v>#VALUE!</v>
      </c>
      <c r="I326" t="e" vm="12">
        <f>_xlfn.XLOOKUP(AllData[[#This Row],[Site Name]],LocationsKey[Site Name],LocationsKey[Town])</f>
        <v>#VALUE!</v>
      </c>
      <c r="J326" t="str">
        <f>_xlfn.XLOOKUP(AllData[[#This Row],[Site Name]],LocationsKey[Site Name], LocationsKey[Waterway])</f>
        <v>Stour</v>
      </c>
      <c r="K326" t="s">
        <v>427</v>
      </c>
      <c r="L326">
        <v>52.172840000000001</v>
      </c>
      <c r="M326">
        <v>-1.71377</v>
      </c>
      <c r="N326" t="s">
        <v>80</v>
      </c>
      <c r="O326">
        <v>666</v>
      </c>
      <c r="P326">
        <v>13.4</v>
      </c>
      <c r="Q326">
        <v>5</v>
      </c>
      <c r="R326" s="7" t="str">
        <f>IF(AllData[[#This Row],[Nitrate (PPM)]]&gt;2, "Very high", IF(AllData[[#This Row],[Nitrate (PPM)]]&gt;1, "High", IF(AllData[[#This Row],[Nitrate (PPM)]]&gt;0.5, "Some evidence", IF(AllData[[#This Row],[Nitrate (PPM)]]&gt;=0, "No evidence"))))</f>
        <v>Very high</v>
      </c>
      <c r="S326" s="4">
        <v>0.3</v>
      </c>
      <c r="T326" s="7" t="str">
        <f>IF(AllData[[#This Row],[Phosphate (PPM)]]&gt;0.5, "Very high", IF(AllData[[#This Row],[Phosphate (PPM)]]&gt;0.1, "High", IF(AllData[[#This Row],[Phosphate (PPM)]]&gt;0.05, "Some evidence", IF(AllData[[#This Row],[Phosphate (PPM)]]&lt;=0.05, "No Evidence", ""))))</f>
        <v>High</v>
      </c>
      <c r="U326">
        <v>1</v>
      </c>
    </row>
    <row r="327" spans="1:22" x14ac:dyDescent="0.25">
      <c r="A327" t="s">
        <v>531</v>
      </c>
      <c r="B327" s="2">
        <v>45304</v>
      </c>
      <c r="C327" s="2" t="str" cm="1">
        <f t="array" ref="C3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7">
        <v>2023</v>
      </c>
      <c r="E327" s="1">
        <v>0.52083333333333337</v>
      </c>
      <c r="F327" s="2" t="str">
        <f>IF(AND(AllData[[#This Row],[Time]]&lt;0.5, AllData[[#This Row],[Time]]&gt;0.17)=TRUE, "Morning", IF(AND(AllData[[#This Row],[Time]]&lt;0.75, AllData[[#This Row],[Time]]&gt;=0.5)=TRUE, "Afternoon", IF(AND(AllData[[#This Row],[Time]]&lt;1, AllData[[#This Row],[Time]]&gt;=0.75)=TRUE, "Evening", "Night")))</f>
        <v>Afternoon</v>
      </c>
      <c r="G327" t="str">
        <f>_xlfn.XLOOKUP(AllData[[#This Row],[Location Name]], Locations[Location Name],Locations[Group As])</f>
        <v>Carrant Bredon Rd</v>
      </c>
      <c r="H327" t="e" vm="1">
        <f>_xlfn.XLOOKUP(AllData[[#This Row],[Site Name]],LocationsKey[Site Name],LocationsKey[District])</f>
        <v>#VALUE!</v>
      </c>
      <c r="I327" t="e" vm="1">
        <f>_xlfn.XLOOKUP(AllData[[#This Row],[Site Name]],LocationsKey[Site Name],LocationsKey[Town])</f>
        <v>#VALUE!</v>
      </c>
      <c r="J327" t="str">
        <f>_xlfn.XLOOKUP(AllData[[#This Row],[Site Name]],LocationsKey[Site Name], LocationsKey[Waterway])</f>
        <v>Carrant</v>
      </c>
      <c r="K327" t="s">
        <v>90</v>
      </c>
      <c r="L327">
        <v>51.996360000000003</v>
      </c>
      <c r="M327">
        <v>-2.1560489999999999</v>
      </c>
      <c r="N327" t="s">
        <v>23</v>
      </c>
      <c r="O327">
        <v>761</v>
      </c>
      <c r="P327">
        <v>7.1</v>
      </c>
      <c r="Q327">
        <v>6</v>
      </c>
      <c r="R327" s="7" t="str">
        <f>IF(AllData[[#This Row],[Nitrate (PPM)]]&gt;2, "Very high", IF(AllData[[#This Row],[Nitrate (PPM)]]&gt;1, "High", IF(AllData[[#This Row],[Nitrate (PPM)]]&gt;0.5, "Some evidence", IF(AllData[[#This Row],[Nitrate (PPM)]]&gt;=0, "No evidence"))))</f>
        <v>Very high</v>
      </c>
      <c r="S327" s="4">
        <v>0.37</v>
      </c>
      <c r="T327" s="7" t="str">
        <f>IF(AllData[[#This Row],[Phosphate (PPM)]]&gt;0.5, "Very high", IF(AllData[[#This Row],[Phosphate (PPM)]]&gt;0.1, "High", IF(AllData[[#This Row],[Phosphate (PPM)]]&gt;0.05, "Some evidence", IF(AllData[[#This Row],[Phosphate (PPM)]]&lt;=0.05, "No Evidence", ""))))</f>
        <v>High</v>
      </c>
      <c r="U327">
        <v>0.3</v>
      </c>
      <c r="V327" t="s">
        <v>532</v>
      </c>
    </row>
    <row r="328" spans="1:22" x14ac:dyDescent="0.25">
      <c r="A328" t="s">
        <v>533</v>
      </c>
      <c r="B328" s="2">
        <v>45304</v>
      </c>
      <c r="C328" s="2" t="str" cm="1">
        <f t="array" ref="C3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8">
        <v>2023</v>
      </c>
      <c r="E328" s="1">
        <v>0.625</v>
      </c>
      <c r="F328" s="2" t="str">
        <f>IF(AND(AllData[[#This Row],[Time]]&lt;0.5, AllData[[#This Row],[Time]]&gt;0.17)=TRUE, "Morning", IF(AND(AllData[[#This Row],[Time]]&lt;0.75, AllData[[#This Row],[Time]]&gt;=0.5)=TRUE, "Afternoon", IF(AND(AllData[[#This Row],[Time]]&lt;1, AllData[[#This Row],[Time]]&gt;=0.75)=TRUE, "Evening", "Night")))</f>
        <v>Afternoon</v>
      </c>
      <c r="G328" t="str">
        <f>_xlfn.XLOOKUP(AllData[[#This Row],[Location Name]], Locations[Location Name],Locations[Group As])</f>
        <v>Bell Brook 1</v>
      </c>
      <c r="H328" t="e" vm="2">
        <f>_xlfn.XLOOKUP(AllData[[#This Row],[Site Name]],LocationsKey[Site Name],LocationsKey[District])</f>
        <v>#VALUE!</v>
      </c>
      <c r="I328" t="e" vm="15">
        <f>_xlfn.XLOOKUP(AllData[[#This Row],[Site Name]],LocationsKey[Site Name],LocationsKey[Town])</f>
        <v>#VALUE!</v>
      </c>
      <c r="J328" t="str">
        <f>_xlfn.XLOOKUP(AllData[[#This Row],[Site Name]],LocationsKey[Site Name], LocationsKey[Waterway])</f>
        <v>Bell Brook</v>
      </c>
      <c r="K328" t="s">
        <v>534</v>
      </c>
      <c r="L328">
        <v>52.244900000000001</v>
      </c>
      <c r="M328">
        <v>-1.6617</v>
      </c>
      <c r="N328" t="s">
        <v>23</v>
      </c>
      <c r="O328">
        <v>722</v>
      </c>
      <c r="P328">
        <v>6.2</v>
      </c>
      <c r="Q328">
        <v>3</v>
      </c>
      <c r="R328" s="7" t="str">
        <f>IF(AllData[[#This Row],[Nitrate (PPM)]]&gt;2, "Very high", IF(AllData[[#This Row],[Nitrate (PPM)]]&gt;1, "High", IF(AllData[[#This Row],[Nitrate (PPM)]]&gt;0.5, "Some evidence", IF(AllData[[#This Row],[Nitrate (PPM)]]&gt;=0, "No evidence"))))</f>
        <v>Very high</v>
      </c>
      <c r="S328" s="4">
        <v>1.33</v>
      </c>
      <c r="T328" s="7" t="str">
        <f>IF(AllData[[#This Row],[Phosphate (PPM)]]&gt;0.5, "Very high", IF(AllData[[#This Row],[Phosphate (PPM)]]&gt;0.1, "High", IF(AllData[[#This Row],[Phosphate (PPM)]]&gt;0.05, "Some evidence", IF(AllData[[#This Row],[Phosphate (PPM)]]&lt;=0.05, "No Evidence", ""))))</f>
        <v>Very high</v>
      </c>
      <c r="U328">
        <v>0.5</v>
      </c>
      <c r="V328" t="s">
        <v>535</v>
      </c>
    </row>
    <row r="329" spans="1:22" x14ac:dyDescent="0.25">
      <c r="A329" t="s">
        <v>536</v>
      </c>
      <c r="B329" s="2">
        <v>45304</v>
      </c>
      <c r="C329" s="2" t="str" cm="1">
        <f t="array" ref="C3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9">
        <v>2023</v>
      </c>
      <c r="E329" s="1">
        <v>0.625</v>
      </c>
      <c r="F329" s="2" t="str">
        <f>IF(AND(AllData[[#This Row],[Time]]&lt;0.5, AllData[[#This Row],[Time]]&gt;0.17)=TRUE, "Morning", IF(AND(AllData[[#This Row],[Time]]&lt;0.75, AllData[[#This Row],[Time]]&gt;=0.5)=TRUE, "Afternoon", IF(AND(AllData[[#This Row],[Time]]&lt;1, AllData[[#This Row],[Time]]&gt;=0.75)=TRUE, "Evening", "Night")))</f>
        <v>Afternoon</v>
      </c>
      <c r="G329" t="str">
        <f>_xlfn.XLOOKUP(AllData[[#This Row],[Location Name]], Locations[Location Name],Locations[Group As])</f>
        <v>Sherbourne Brook 1</v>
      </c>
      <c r="H329" t="e" vm="2">
        <f>_xlfn.XLOOKUP(AllData[[#This Row],[Site Name]],LocationsKey[Site Name],LocationsKey[District])</f>
        <v>#VALUE!</v>
      </c>
      <c r="I329" t="e" vm="16">
        <f>_xlfn.XLOOKUP(AllData[[#This Row],[Site Name]],LocationsKey[Site Name],LocationsKey[Town])</f>
        <v>#VALUE!</v>
      </c>
      <c r="J329" t="str">
        <f>_xlfn.XLOOKUP(AllData[[#This Row],[Site Name]],LocationsKey[Site Name], LocationsKey[Waterway])</f>
        <v>Sherbourne Brook</v>
      </c>
      <c r="K329" t="s">
        <v>570</v>
      </c>
      <c r="L329">
        <v>52.252499999999998</v>
      </c>
      <c r="M329">
        <v>-1.6685000000000001</v>
      </c>
      <c r="N329" t="s">
        <v>66</v>
      </c>
      <c r="O329">
        <v>102</v>
      </c>
      <c r="P329">
        <v>7.4</v>
      </c>
      <c r="Q329">
        <v>10</v>
      </c>
      <c r="R329" s="7" t="str">
        <f>IF(AllData[[#This Row],[Nitrate (PPM)]]&gt;2, "Very high", IF(AllData[[#This Row],[Nitrate (PPM)]]&gt;1, "High", IF(AllData[[#This Row],[Nitrate (PPM)]]&gt;0.5, "Some evidence", IF(AllData[[#This Row],[Nitrate (PPM)]]&gt;=0, "No evidence"))))</f>
        <v>Very high</v>
      </c>
      <c r="S329" s="4">
        <v>0.51</v>
      </c>
      <c r="T329" s="7" t="str">
        <f>IF(AllData[[#This Row],[Phosphate (PPM)]]&gt;0.5, "Very high", IF(AllData[[#This Row],[Phosphate (PPM)]]&gt;0.1, "High", IF(AllData[[#This Row],[Phosphate (PPM)]]&gt;0.05, "Some evidence", IF(AllData[[#This Row],[Phosphate (PPM)]]&lt;=0.05, "No Evidence", ""))))</f>
        <v>Very high</v>
      </c>
      <c r="U329">
        <v>0.5</v>
      </c>
      <c r="V329" t="s">
        <v>538</v>
      </c>
    </row>
    <row r="330" spans="1:22" x14ac:dyDescent="0.25">
      <c r="A330" t="s">
        <v>539</v>
      </c>
      <c r="B330" s="2">
        <v>45304</v>
      </c>
      <c r="C330" s="2" t="str" cm="1">
        <f t="array" ref="C3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0">
        <v>2023</v>
      </c>
      <c r="E330" s="1">
        <v>0.65347222222222223</v>
      </c>
      <c r="F330" s="2" t="str">
        <f>IF(AND(AllData[[#This Row],[Time]]&lt;0.5, AllData[[#This Row],[Time]]&gt;0.17)=TRUE, "Morning", IF(AND(AllData[[#This Row],[Time]]&lt;0.75, AllData[[#This Row],[Time]]&gt;=0.5)=TRUE, "Afternoon", IF(AND(AllData[[#This Row],[Time]]&lt;1, AllData[[#This Row],[Time]]&gt;=0.75)=TRUE, "Evening", "Night")))</f>
        <v>Afternoon</v>
      </c>
      <c r="G330" t="str">
        <f>_xlfn.XLOOKUP(AllData[[#This Row],[Location Name]], Locations[Location Name],Locations[Group As])</f>
        <v>Abbey Mill</v>
      </c>
      <c r="H330" t="e" vm="1">
        <f>_xlfn.XLOOKUP(AllData[[#This Row],[Site Name]],LocationsKey[Site Name],LocationsKey[District])</f>
        <v>#VALUE!</v>
      </c>
      <c r="I330" t="e" vm="1">
        <f>_xlfn.XLOOKUP(AllData[[#This Row],[Site Name]],LocationsKey[Site Name],LocationsKey[Town])</f>
        <v>#VALUE!</v>
      </c>
      <c r="J330" t="str">
        <f>_xlfn.XLOOKUP(AllData[[#This Row],[Site Name]],LocationsKey[Site Name], LocationsKey[Waterway])</f>
        <v>Avon</v>
      </c>
      <c r="K330" t="s">
        <v>22</v>
      </c>
      <c r="L330">
        <v>51.991370000000003</v>
      </c>
      <c r="M330">
        <v>-2.1625640000000002</v>
      </c>
      <c r="N330" t="s">
        <v>23</v>
      </c>
      <c r="O330">
        <v>709</v>
      </c>
      <c r="P330">
        <v>6</v>
      </c>
      <c r="Q330">
        <v>4</v>
      </c>
      <c r="R330" s="7" t="str">
        <f>IF(AllData[[#This Row],[Nitrate (PPM)]]&gt;2, "Very high", IF(AllData[[#This Row],[Nitrate (PPM)]]&gt;1, "High", IF(AllData[[#This Row],[Nitrate (PPM)]]&gt;0.5, "Some evidence", IF(AllData[[#This Row],[Nitrate (PPM)]]&gt;=0, "No evidence"))))</f>
        <v>Very high</v>
      </c>
      <c r="S330" s="4">
        <v>0.56999999999999995</v>
      </c>
      <c r="T330" s="7" t="str">
        <f>IF(AllData[[#This Row],[Phosphate (PPM)]]&gt;0.5, "Very high", IF(AllData[[#This Row],[Phosphate (PPM)]]&gt;0.1, "High", IF(AllData[[#This Row],[Phosphate (PPM)]]&gt;0.05, "Some evidence", IF(AllData[[#This Row],[Phosphate (PPM)]]&lt;=0.05, "No Evidence", ""))))</f>
        <v>Very high</v>
      </c>
      <c r="U330">
        <v>0.5</v>
      </c>
    </row>
    <row r="331" spans="1:22" x14ac:dyDescent="0.25">
      <c r="A331" t="s">
        <v>540</v>
      </c>
      <c r="B331" s="2">
        <v>45305</v>
      </c>
      <c r="C331" s="2" t="str" cm="1">
        <f t="array" ref="C3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1">
        <v>2023</v>
      </c>
      <c r="E331" s="1">
        <v>0.42222222222222222</v>
      </c>
      <c r="F331" s="2" t="str">
        <f>IF(AND(AllData[[#This Row],[Time]]&lt;0.5, AllData[[#This Row],[Time]]&gt;0.17)=TRUE, "Morning", IF(AND(AllData[[#This Row],[Time]]&lt;0.75, AllData[[#This Row],[Time]]&gt;=0.5)=TRUE, "Afternoon", IF(AND(AllData[[#This Row],[Time]]&lt;1, AllData[[#This Row],[Time]]&gt;=0.75)=TRUE, "Evening", "Night")))</f>
        <v>Morning</v>
      </c>
      <c r="G331" t="str">
        <f>_xlfn.XLOOKUP(AllData[[#This Row],[Location Name]], Locations[Location Name],Locations[Group As])</f>
        <v>Fell Mill Footbridge</v>
      </c>
      <c r="H331" t="e" vm="2">
        <f>_xlfn.XLOOKUP(AllData[[#This Row],[Site Name]],LocationsKey[Site Name],LocationsKey[District])</f>
        <v>#VALUE!</v>
      </c>
      <c r="I331" t="e" vm="10">
        <f>_xlfn.XLOOKUP(AllData[[#This Row],[Site Name]],LocationsKey[Site Name],LocationsKey[Town])</f>
        <v>#VALUE!</v>
      </c>
      <c r="J331" t="str">
        <f>_xlfn.XLOOKUP(AllData[[#This Row],[Site Name]],LocationsKey[Site Name], LocationsKey[Waterway])</f>
        <v>Stour</v>
      </c>
      <c r="K331" t="s">
        <v>496</v>
      </c>
      <c r="L331">
        <v>52.070131000000003</v>
      </c>
      <c r="M331">
        <v>-1.6114869999999999</v>
      </c>
      <c r="N331" t="s">
        <v>29</v>
      </c>
      <c r="O331">
        <v>504</v>
      </c>
      <c r="P331">
        <v>6.9</v>
      </c>
      <c r="Q331">
        <v>10</v>
      </c>
      <c r="R331" s="7" t="str">
        <f>IF(AllData[[#This Row],[Nitrate (PPM)]]&gt;2, "Very high", IF(AllData[[#This Row],[Nitrate (PPM)]]&gt;1, "High", IF(AllData[[#This Row],[Nitrate (PPM)]]&gt;0.5, "Some evidence", IF(AllData[[#This Row],[Nitrate (PPM)]]&gt;=0, "No evidence"))))</f>
        <v>Very high</v>
      </c>
      <c r="S331" s="4">
        <v>0.24</v>
      </c>
      <c r="T331" s="7" t="str">
        <f>IF(AllData[[#This Row],[Phosphate (PPM)]]&gt;0.5, "Very high", IF(AllData[[#This Row],[Phosphate (PPM)]]&gt;0.1, "High", IF(AllData[[#This Row],[Phosphate (PPM)]]&gt;0.05, "Some evidence", IF(AllData[[#This Row],[Phosphate (PPM)]]&lt;=0.05, "No Evidence", ""))))</f>
        <v>High</v>
      </c>
      <c r="U331">
        <v>1</v>
      </c>
    </row>
    <row r="332" spans="1:22" x14ac:dyDescent="0.25">
      <c r="A332" t="s">
        <v>542</v>
      </c>
      <c r="B332" s="2">
        <v>45305</v>
      </c>
      <c r="C332" s="2" t="str" cm="1">
        <f t="array" ref="C3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2">
        <v>2023</v>
      </c>
      <c r="E332" s="1">
        <v>0.42708333333333331</v>
      </c>
      <c r="F332" s="2" t="str">
        <f>IF(AND(AllData[[#This Row],[Time]]&lt;0.5, AllData[[#This Row],[Time]]&gt;0.17)=TRUE, "Morning", IF(AND(AllData[[#This Row],[Time]]&lt;0.75, AllData[[#This Row],[Time]]&gt;=0.5)=TRUE, "Afternoon", IF(AND(AllData[[#This Row],[Time]]&lt;1, AllData[[#This Row],[Time]]&gt;=0.75)=TRUE, "Evening", "Night")))</f>
        <v>Morning</v>
      </c>
      <c r="G332" t="str">
        <f>_xlfn.XLOOKUP(AllData[[#This Row],[Location Name]], Locations[Location Name],Locations[Group As])</f>
        <v>Lucy's Mill Bridge</v>
      </c>
      <c r="H332" t="e" vm="2">
        <f>_xlfn.XLOOKUP(AllData[[#This Row],[Site Name]],LocationsKey[Site Name],LocationsKey[District])</f>
        <v>#VALUE!</v>
      </c>
      <c r="I332" t="e" vm="7">
        <f>_xlfn.XLOOKUP(AllData[[#This Row],[Site Name]],LocationsKey[Site Name],LocationsKey[Town])</f>
        <v>#VALUE!</v>
      </c>
      <c r="J332" t="str">
        <f>_xlfn.XLOOKUP(AllData[[#This Row],[Site Name]],LocationsKey[Site Name], LocationsKey[Waterway])</f>
        <v>Avon</v>
      </c>
      <c r="K332" t="s">
        <v>216</v>
      </c>
      <c r="L332">
        <v>52.183698999999997</v>
      </c>
      <c r="M332">
        <v>-1.707816</v>
      </c>
      <c r="N332" t="s">
        <v>29</v>
      </c>
      <c r="P332">
        <v>8</v>
      </c>
      <c r="Q332">
        <v>20</v>
      </c>
      <c r="R332" s="7" t="str">
        <f>IF(AllData[[#This Row],[Nitrate (PPM)]]&gt;2, "Very high", IF(AllData[[#This Row],[Nitrate (PPM)]]&gt;1, "High", IF(AllData[[#This Row],[Nitrate (PPM)]]&gt;0.5, "Some evidence", IF(AllData[[#This Row],[Nitrate (PPM)]]&gt;=0, "No evidence"))))</f>
        <v>Very high</v>
      </c>
      <c r="S332" s="4">
        <v>0.19</v>
      </c>
      <c r="T332" s="7" t="str">
        <f>IF(AllData[[#This Row],[Phosphate (PPM)]]&gt;0.5, "Very high", IF(AllData[[#This Row],[Phosphate (PPM)]]&gt;0.1, "High", IF(AllData[[#This Row],[Phosphate (PPM)]]&gt;0.05, "Some evidence", IF(AllData[[#This Row],[Phosphate (PPM)]]&lt;=0.05, "No Evidence", ""))))</f>
        <v>High</v>
      </c>
      <c r="U332">
        <v>0.8</v>
      </c>
    </row>
    <row r="333" spans="1:22" x14ac:dyDescent="0.25">
      <c r="A333" t="s">
        <v>541</v>
      </c>
      <c r="B333" s="2">
        <v>45305</v>
      </c>
      <c r="C333" s="2" t="str" cm="1">
        <f t="array" ref="C3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3">
        <v>2023</v>
      </c>
      <c r="E333" s="1">
        <v>0.63541666666666663</v>
      </c>
      <c r="F333" s="2" t="str">
        <f>IF(AND(AllData[[#This Row],[Time]]&lt;0.5, AllData[[#This Row],[Time]]&gt;0.17)=TRUE, "Morning", IF(AND(AllData[[#This Row],[Time]]&lt;0.75, AllData[[#This Row],[Time]]&gt;=0.5)=TRUE, "Afternoon", IF(AND(AllData[[#This Row],[Time]]&lt;1, AllData[[#This Row],[Time]]&gt;=0.75)=TRUE, "Evening", "Night")))</f>
        <v>Afternoon</v>
      </c>
      <c r="G333" t="str">
        <f>_xlfn.XLOOKUP(AllData[[#This Row],[Location Name]], Locations[Location Name],Locations[Group As])</f>
        <v>Hampton Lucy</v>
      </c>
      <c r="H333" t="e" vm="2">
        <f>_xlfn.XLOOKUP(AllData[[#This Row],[Site Name]],LocationsKey[Site Name],LocationsKey[District])</f>
        <v>#VALUE!</v>
      </c>
      <c r="I333" t="e" vm="4">
        <f>_xlfn.XLOOKUP(AllData[[#This Row],[Site Name]],LocationsKey[Site Name],LocationsKey[Town])</f>
        <v>#VALUE!</v>
      </c>
      <c r="J333" t="str">
        <f>_xlfn.XLOOKUP(AllData[[#This Row],[Site Name]],LocationsKey[Site Name], LocationsKey[Waterway])</f>
        <v>Avon</v>
      </c>
      <c r="K333" t="s">
        <v>37</v>
      </c>
      <c r="L333">
        <v>52.211680000000001</v>
      </c>
      <c r="M333">
        <v>-1.6244400000000001</v>
      </c>
      <c r="N333" t="s">
        <v>23</v>
      </c>
      <c r="O333">
        <v>802</v>
      </c>
      <c r="P333">
        <v>8.1</v>
      </c>
      <c r="Q333">
        <v>7</v>
      </c>
      <c r="R333" s="7" t="str">
        <f>IF(AllData[[#This Row],[Nitrate (PPM)]]&gt;2, "Very high", IF(AllData[[#This Row],[Nitrate (PPM)]]&gt;1, "High", IF(AllData[[#This Row],[Nitrate (PPM)]]&gt;0.5, "Some evidence", IF(AllData[[#This Row],[Nitrate (PPM)]]&gt;=0, "No evidence"))))</f>
        <v>Very high</v>
      </c>
      <c r="S333" s="4">
        <v>0.4</v>
      </c>
      <c r="T333" s="7" t="str">
        <f>IF(AllData[[#This Row],[Phosphate (PPM)]]&gt;0.5, "Very high", IF(AllData[[#This Row],[Phosphate (PPM)]]&gt;0.1, "High", IF(AllData[[#This Row],[Phosphate (PPM)]]&gt;0.05, "Some evidence", IF(AllData[[#This Row],[Phosphate (PPM)]]&lt;=0.05, "No Evidence", ""))))</f>
        <v>High</v>
      </c>
      <c r="U333">
        <v>0</v>
      </c>
    </row>
    <row r="334" spans="1:22" x14ac:dyDescent="0.25">
      <c r="A334" t="s">
        <v>543</v>
      </c>
      <c r="B334" s="2">
        <v>45306</v>
      </c>
      <c r="C334" s="2" t="str" cm="1">
        <f t="array" ref="C3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4">
        <v>2023</v>
      </c>
      <c r="E334" s="1">
        <v>0.41111111111111109</v>
      </c>
      <c r="F334" s="2" t="str">
        <f>IF(AND(AllData[[#This Row],[Time]]&lt;0.5, AllData[[#This Row],[Time]]&gt;0.17)=TRUE, "Morning", IF(AND(AllData[[#This Row],[Time]]&lt;0.75, AllData[[#This Row],[Time]]&gt;=0.5)=TRUE, "Afternoon", IF(AND(AllData[[#This Row],[Time]]&lt;1, AllData[[#This Row],[Time]]&gt;=0.75)=TRUE, "Evening", "Night")))</f>
        <v>Morning</v>
      </c>
      <c r="G334" t="str">
        <f>_xlfn.XLOOKUP(AllData[[#This Row],[Location Name]], Locations[Location Name],Locations[Group As])</f>
        <v>Stour Stretton-on-Fosse Village</v>
      </c>
      <c r="H334" t="e" vm="2">
        <f>_xlfn.XLOOKUP(AllData[[#This Row],[Site Name]],LocationsKey[Site Name],LocationsKey[District])</f>
        <v>#VALUE!</v>
      </c>
      <c r="I334" t="e" vm="14">
        <f>_xlfn.XLOOKUP(AllData[[#This Row],[Site Name]],LocationsKey[Site Name],LocationsKey[Town])</f>
        <v>#VALUE!</v>
      </c>
      <c r="J334" t="str">
        <f>_xlfn.XLOOKUP(AllData[[#This Row],[Site Name]],LocationsKey[Site Name], LocationsKey[Waterway])</f>
        <v>Stour</v>
      </c>
      <c r="K334" t="s">
        <v>544</v>
      </c>
      <c r="L334">
        <v>52.046470999999997</v>
      </c>
      <c r="M334">
        <v>-1.673462</v>
      </c>
      <c r="N334" t="s">
        <v>66</v>
      </c>
      <c r="O334">
        <v>722</v>
      </c>
      <c r="P334">
        <v>4.3</v>
      </c>
      <c r="Q334">
        <v>2</v>
      </c>
      <c r="R334" s="7" t="str">
        <f>IF(AllData[[#This Row],[Nitrate (PPM)]]&gt;2, "Very high", IF(AllData[[#This Row],[Nitrate (PPM)]]&gt;1, "High", IF(AllData[[#This Row],[Nitrate (PPM)]]&gt;0.5, "Some evidence", IF(AllData[[#This Row],[Nitrate (PPM)]]&gt;=0, "No evidence"))))</f>
        <v>High</v>
      </c>
      <c r="S334" s="4">
        <v>1.47</v>
      </c>
      <c r="T334" s="7" t="str">
        <f>IF(AllData[[#This Row],[Phosphate (PPM)]]&gt;0.5, "Very high", IF(AllData[[#This Row],[Phosphate (PPM)]]&gt;0.1, "High", IF(AllData[[#This Row],[Phosphate (PPM)]]&gt;0.05, "Some evidence", IF(AllData[[#This Row],[Phosphate (PPM)]]&lt;=0.05, "No Evidence", ""))))</f>
        <v>Very high</v>
      </c>
      <c r="U334">
        <v>0.2</v>
      </c>
    </row>
    <row r="335" spans="1:22" x14ac:dyDescent="0.25">
      <c r="A335" t="s">
        <v>545</v>
      </c>
      <c r="B335" s="2">
        <v>45306</v>
      </c>
      <c r="C335" s="2" t="str" cm="1">
        <f t="array" ref="C3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5">
        <v>2023</v>
      </c>
      <c r="E335" s="1">
        <v>0.41736111111111113</v>
      </c>
      <c r="F335" s="2" t="str">
        <f>IF(AND(AllData[[#This Row],[Time]]&lt;0.5, AllData[[#This Row],[Time]]&gt;0.17)=TRUE, "Morning", IF(AND(AllData[[#This Row],[Time]]&lt;0.75, AllData[[#This Row],[Time]]&gt;=0.5)=TRUE, "Afternoon", IF(AND(AllData[[#This Row],[Time]]&lt;1, AllData[[#This Row],[Time]]&gt;=0.75)=TRUE, "Evening", "Night")))</f>
        <v>Morning</v>
      </c>
      <c r="G335" t="str">
        <f>_xlfn.XLOOKUP(AllData[[#This Row],[Location Name]], Locations[Location Name],Locations[Group As])</f>
        <v>Stour Stretton-on-Fosse Sewage Works</v>
      </c>
      <c r="H335" t="e" vm="2">
        <f>_xlfn.XLOOKUP(AllData[[#This Row],[Site Name]],LocationsKey[Site Name],LocationsKey[District])</f>
        <v>#VALUE!</v>
      </c>
      <c r="I335" t="e" vm="14">
        <f>_xlfn.XLOOKUP(AllData[[#This Row],[Site Name]],LocationsKey[Site Name],LocationsKey[Town])</f>
        <v>#VALUE!</v>
      </c>
      <c r="J335" t="str">
        <f>_xlfn.XLOOKUP(AllData[[#This Row],[Site Name]],LocationsKey[Site Name], LocationsKey[Waterway])</f>
        <v>Stour</v>
      </c>
      <c r="K335" t="s">
        <v>335</v>
      </c>
      <c r="L335">
        <v>52.045656999999999</v>
      </c>
      <c r="M335">
        <v>-1.6719440000000001</v>
      </c>
      <c r="N335" t="s">
        <v>29</v>
      </c>
      <c r="O335">
        <v>760</v>
      </c>
      <c r="P335">
        <v>3.5</v>
      </c>
      <c r="Q335">
        <v>3</v>
      </c>
      <c r="R335" s="7" t="str">
        <f>IF(AllData[[#This Row],[Nitrate (PPM)]]&gt;2, "Very high", IF(AllData[[#This Row],[Nitrate (PPM)]]&gt;1, "High", IF(AllData[[#This Row],[Nitrate (PPM)]]&gt;0.5, "Some evidence", IF(AllData[[#This Row],[Nitrate (PPM)]]&gt;=0, "No evidence"))))</f>
        <v>Very high</v>
      </c>
      <c r="S335" s="4">
        <v>2.5</v>
      </c>
      <c r="T335" s="7" t="str">
        <f>IF(AllData[[#This Row],[Phosphate (PPM)]]&gt;0.5, "Very high", IF(AllData[[#This Row],[Phosphate (PPM)]]&gt;0.1, "High", IF(AllData[[#This Row],[Phosphate (PPM)]]&gt;0.05, "Some evidence", IF(AllData[[#This Row],[Phosphate (PPM)]]&lt;=0.05, "No Evidence", ""))))</f>
        <v>Very high</v>
      </c>
      <c r="U335">
        <v>0.25</v>
      </c>
      <c r="V335" t="s">
        <v>546</v>
      </c>
    </row>
    <row r="336" spans="1:22" x14ac:dyDescent="0.25">
      <c r="A336" t="s">
        <v>547</v>
      </c>
      <c r="B336" s="2">
        <v>45307</v>
      </c>
      <c r="C336" s="2" t="str" cm="1">
        <f t="array" ref="C3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6">
        <v>2023</v>
      </c>
      <c r="E336" s="1">
        <v>0.3923611111111111</v>
      </c>
      <c r="F336" s="2" t="str">
        <f>IF(AND(AllData[[#This Row],[Time]]&lt;0.5, AllData[[#This Row],[Time]]&gt;0.17)=TRUE, "Morning", IF(AND(AllData[[#This Row],[Time]]&lt;0.75, AllData[[#This Row],[Time]]&gt;=0.5)=TRUE, "Afternoon", IF(AND(AllData[[#This Row],[Time]]&lt;1, AllData[[#This Row],[Time]]&gt;=0.75)=TRUE, "Evening", "Night")))</f>
        <v>Morning</v>
      </c>
      <c r="G336" t="str">
        <f>_xlfn.XLOOKUP(AllData[[#This Row],[Location Name]], Locations[Location Name],Locations[Group As])</f>
        <v>Swiffen Bank</v>
      </c>
      <c r="H336" t="e" vm="2">
        <f>_xlfn.XLOOKUP(AllData[[#This Row],[Site Name]],LocationsKey[Site Name],LocationsKey[District])</f>
        <v>#VALUE!</v>
      </c>
      <c r="I336" t="e" vm="13">
        <f>_xlfn.XLOOKUP(AllData[[#This Row],[Site Name]],LocationsKey[Site Name],LocationsKey[Town])</f>
        <v>#VALUE!</v>
      </c>
      <c r="J336" t="str">
        <f>_xlfn.XLOOKUP(AllData[[#This Row],[Site Name]],LocationsKey[Site Name], LocationsKey[Waterway])</f>
        <v>Avon</v>
      </c>
      <c r="K336" t="s">
        <v>284</v>
      </c>
      <c r="L336">
        <v>52.206477999999997</v>
      </c>
      <c r="M336">
        <v>-1.653894</v>
      </c>
      <c r="N336" t="s">
        <v>29</v>
      </c>
      <c r="O336">
        <v>811</v>
      </c>
      <c r="P336">
        <v>6.8</v>
      </c>
      <c r="Q336">
        <v>5</v>
      </c>
      <c r="R336" s="7" t="str">
        <f>IF(AllData[[#This Row],[Nitrate (PPM)]]&gt;2, "Very high", IF(AllData[[#This Row],[Nitrate (PPM)]]&gt;1, "High", IF(AllData[[#This Row],[Nitrate (PPM)]]&gt;0.5, "Some evidence", IF(AllData[[#This Row],[Nitrate (PPM)]]&gt;=0, "No evidence"))))</f>
        <v>Very high</v>
      </c>
      <c r="S336" s="4">
        <v>0.5</v>
      </c>
      <c r="T336" s="7" t="str">
        <f>IF(AllData[[#This Row],[Phosphate (PPM)]]&gt;0.5, "Very high", IF(AllData[[#This Row],[Phosphate (PPM)]]&gt;0.1, "High", IF(AllData[[#This Row],[Phosphate (PPM)]]&gt;0.05, "Some evidence", IF(AllData[[#This Row],[Phosphate (PPM)]]&lt;=0.05, "No Evidence", ""))))</f>
        <v>High</v>
      </c>
      <c r="U336">
        <v>0</v>
      </c>
    </row>
    <row r="337" spans="1:22" x14ac:dyDescent="0.25">
      <c r="A337" t="s">
        <v>548</v>
      </c>
      <c r="B337" s="2">
        <v>45307</v>
      </c>
      <c r="C337" s="2" t="str" cm="1">
        <f t="array" ref="C3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7">
        <v>2023</v>
      </c>
      <c r="E337" s="1">
        <v>0.39583333333333331</v>
      </c>
      <c r="F337" s="2" t="str">
        <f>IF(AND(AllData[[#This Row],[Time]]&lt;0.5, AllData[[#This Row],[Time]]&gt;0.17)=TRUE, "Morning", IF(AND(AllData[[#This Row],[Time]]&lt;0.75, AllData[[#This Row],[Time]]&gt;=0.5)=TRUE, "Afternoon", IF(AND(AllData[[#This Row],[Time]]&lt;1, AllData[[#This Row],[Time]]&gt;=0.75)=TRUE, "Evening", "Night")))</f>
        <v>Morning</v>
      </c>
      <c r="G337" t="str">
        <f>_xlfn.XLOOKUP(AllData[[#This Row],[Location Name]], Locations[Location Name],Locations[Group As])</f>
        <v>Alveston Weir</v>
      </c>
      <c r="H337" t="e" vm="2">
        <f>_xlfn.XLOOKUP(AllData[[#This Row],[Site Name]],LocationsKey[Site Name],LocationsKey[District])</f>
        <v>#VALUE!</v>
      </c>
      <c r="I337" t="e" vm="13">
        <f>_xlfn.XLOOKUP(AllData[[#This Row],[Site Name]],LocationsKey[Site Name],LocationsKey[Town])</f>
        <v>#VALUE!</v>
      </c>
      <c r="J337" t="str">
        <f>_xlfn.XLOOKUP(AllData[[#This Row],[Site Name]],LocationsKey[Site Name], LocationsKey[Waterway])</f>
        <v>Avon</v>
      </c>
      <c r="K337" t="s">
        <v>286</v>
      </c>
      <c r="L337">
        <v>52.212288999999998</v>
      </c>
      <c r="M337">
        <v>-1.660452</v>
      </c>
      <c r="N337" t="s">
        <v>29</v>
      </c>
      <c r="O337">
        <v>765</v>
      </c>
      <c r="P337">
        <v>5.7</v>
      </c>
      <c r="Q337">
        <v>5</v>
      </c>
      <c r="R337" s="7" t="str">
        <f>IF(AllData[[#This Row],[Nitrate (PPM)]]&gt;2, "Very high", IF(AllData[[#This Row],[Nitrate (PPM)]]&gt;1, "High", IF(AllData[[#This Row],[Nitrate (PPM)]]&gt;0.5, "Some evidence", IF(AllData[[#This Row],[Nitrate (PPM)]]&gt;=0, "No evidence"))))</f>
        <v>Very high</v>
      </c>
      <c r="S337" s="4">
        <v>0.49</v>
      </c>
      <c r="T337" s="7" t="str">
        <f>IF(AllData[[#This Row],[Phosphate (PPM)]]&gt;0.5, "Very high", IF(AllData[[#This Row],[Phosphate (PPM)]]&gt;0.1, "High", IF(AllData[[#This Row],[Phosphate (PPM)]]&gt;0.05, "Some evidence", IF(AllData[[#This Row],[Phosphate (PPM)]]&lt;=0.05, "No Evidence", ""))))</f>
        <v>High</v>
      </c>
      <c r="U337">
        <v>-1</v>
      </c>
    </row>
    <row r="338" spans="1:22" x14ac:dyDescent="0.25">
      <c r="A338" t="s">
        <v>549</v>
      </c>
      <c r="B338" s="2">
        <v>45309</v>
      </c>
      <c r="C338" s="2" t="str" cm="1">
        <f t="array" ref="C3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8">
        <v>2023</v>
      </c>
      <c r="E338" s="1">
        <v>0.46111111111111114</v>
      </c>
      <c r="F338" s="2" t="str">
        <f>IF(AND(AllData[[#This Row],[Time]]&lt;0.5, AllData[[#This Row],[Time]]&gt;0.17)=TRUE, "Morning", IF(AND(AllData[[#This Row],[Time]]&lt;0.75, AllData[[#This Row],[Time]]&gt;=0.5)=TRUE, "Afternoon", IF(AND(AllData[[#This Row],[Time]]&lt;1, AllData[[#This Row],[Time]]&gt;=0.75)=TRUE, "Evening", "Night")))</f>
        <v>Morning</v>
      </c>
      <c r="G338" t="str">
        <f>_xlfn.XLOOKUP(AllData[[#This Row],[Location Name]], Locations[Location Name],Locations[Group As])</f>
        <v>Stour Willington</v>
      </c>
      <c r="H338" t="e" vm="2">
        <f>_xlfn.XLOOKUP(AllData[[#This Row],[Site Name]],LocationsKey[Site Name],LocationsKey[District])</f>
        <v>#VALUE!</v>
      </c>
      <c r="I338" t="str">
        <f>_xlfn.XLOOKUP(AllData[[#This Row],[Site Name]],LocationsKey[Site Name],LocationsKey[Town])</f>
        <v>Willington</v>
      </c>
      <c r="J338" t="str">
        <f>_xlfn.XLOOKUP(AllData[[#This Row],[Site Name]],LocationsKey[Site Name], LocationsKey[Waterway])</f>
        <v>Stour</v>
      </c>
      <c r="K338" t="s">
        <v>517</v>
      </c>
      <c r="L338">
        <v>52.051000000000002</v>
      </c>
      <c r="M338">
        <v>-1.6140000000000001</v>
      </c>
      <c r="N338" t="s">
        <v>23</v>
      </c>
      <c r="O338">
        <v>614</v>
      </c>
      <c r="P338">
        <v>5.4</v>
      </c>
      <c r="Q338">
        <v>2</v>
      </c>
      <c r="R338" s="7" t="str">
        <f>IF(AllData[[#This Row],[Nitrate (PPM)]]&gt;2, "Very high", IF(AllData[[#This Row],[Nitrate (PPM)]]&gt;1, "High", IF(AllData[[#This Row],[Nitrate (PPM)]]&gt;0.5, "Some evidence", IF(AllData[[#This Row],[Nitrate (PPM)]]&gt;=0, "No evidence"))))</f>
        <v>High</v>
      </c>
      <c r="S338" s="4">
        <v>0.16</v>
      </c>
      <c r="T338" s="7" t="str">
        <f>IF(AllData[[#This Row],[Phosphate (PPM)]]&gt;0.5, "Very high", IF(AllData[[#This Row],[Phosphate (PPM)]]&gt;0.1, "High", IF(AllData[[#This Row],[Phosphate (PPM)]]&gt;0.05, "Some evidence", IF(AllData[[#This Row],[Phosphate (PPM)]]&lt;=0.05, "No Evidence", ""))))</f>
        <v>High</v>
      </c>
      <c r="U338">
        <v>0.5</v>
      </c>
    </row>
    <row r="339" spans="1:22" x14ac:dyDescent="0.25">
      <c r="A339" t="s">
        <v>550</v>
      </c>
      <c r="B339" s="2">
        <v>45309</v>
      </c>
      <c r="C339" s="2" t="str" cm="1">
        <f t="array" ref="C3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9">
        <v>2023</v>
      </c>
      <c r="E339" s="1">
        <v>0.625</v>
      </c>
      <c r="F339" s="2" t="str">
        <f>IF(AND(AllData[[#This Row],[Time]]&lt;0.5, AllData[[#This Row],[Time]]&gt;0.17)=TRUE, "Morning", IF(AND(AllData[[#This Row],[Time]]&lt;0.75, AllData[[#This Row],[Time]]&gt;=0.5)=TRUE, "Afternoon", IF(AND(AllData[[#This Row],[Time]]&lt;1, AllData[[#This Row],[Time]]&gt;=0.75)=TRUE, "Evening", "Night")))</f>
        <v>Afternoon</v>
      </c>
      <c r="G339" t="str">
        <f>_xlfn.XLOOKUP(AllData[[#This Row],[Location Name]], Locations[Location Name],Locations[Group As])</f>
        <v>Stour Newbold Mill</v>
      </c>
      <c r="H339" t="e" vm="2">
        <f>_xlfn.XLOOKUP(AllData[[#This Row],[Site Name]],LocationsKey[Site Name],LocationsKey[District])</f>
        <v>#VALUE!</v>
      </c>
      <c r="I339" t="e" vm="8">
        <f>_xlfn.XLOOKUP(AllData[[#This Row],[Site Name]],LocationsKey[Site Name],LocationsKey[Town])</f>
        <v>#VALUE!</v>
      </c>
      <c r="J339" t="str">
        <f>_xlfn.XLOOKUP(AllData[[#This Row],[Site Name]],LocationsKey[Site Name], LocationsKey[Waterway])</f>
        <v>Stour</v>
      </c>
      <c r="K339" t="s">
        <v>140</v>
      </c>
      <c r="L339">
        <v>52.112881999999999</v>
      </c>
      <c r="M339">
        <v>-1.6335120000000001</v>
      </c>
      <c r="N339" t="s">
        <v>29</v>
      </c>
      <c r="O339">
        <v>610</v>
      </c>
      <c r="P339">
        <v>7.2</v>
      </c>
      <c r="Q339">
        <v>5</v>
      </c>
      <c r="R339" s="7" t="str">
        <f>IF(AllData[[#This Row],[Nitrate (PPM)]]&gt;2, "Very high", IF(AllData[[#This Row],[Nitrate (PPM)]]&gt;1, "High", IF(AllData[[#This Row],[Nitrate (PPM)]]&gt;0.5, "Some evidence", IF(AllData[[#This Row],[Nitrate (PPM)]]&gt;=0, "No evidence"))))</f>
        <v>Very high</v>
      </c>
      <c r="S339" s="4">
        <v>0.35</v>
      </c>
      <c r="T339" s="7" t="str">
        <f>IF(AllData[[#This Row],[Phosphate (PPM)]]&gt;0.5, "Very high", IF(AllData[[#This Row],[Phosphate (PPM)]]&gt;0.1, "High", IF(AllData[[#This Row],[Phosphate (PPM)]]&gt;0.05, "Some evidence", IF(AllData[[#This Row],[Phosphate (PPM)]]&lt;=0.05, "No Evidence", ""))))</f>
        <v>High</v>
      </c>
      <c r="U339">
        <v>2.5</v>
      </c>
      <c r="V339" t="s">
        <v>551</v>
      </c>
    </row>
    <row r="340" spans="1:22" x14ac:dyDescent="0.25">
      <c r="A340" t="s">
        <v>552</v>
      </c>
      <c r="B340" s="2">
        <v>45310</v>
      </c>
      <c r="C340" s="2" t="str" cm="1">
        <f t="array" ref="C3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0">
        <v>2023</v>
      </c>
      <c r="E340" s="1">
        <v>0.41666666666666669</v>
      </c>
      <c r="F340" s="2" t="str">
        <f>IF(AND(AllData[[#This Row],[Time]]&lt;0.5, AllData[[#This Row],[Time]]&gt;0.17)=TRUE, "Morning", IF(AND(AllData[[#This Row],[Time]]&lt;0.75, AllData[[#This Row],[Time]]&gt;=0.5)=TRUE, "Afternoon", IF(AND(AllData[[#This Row],[Time]]&lt;1, AllData[[#This Row],[Time]]&gt;=0.75)=TRUE, "Evening", "Night")))</f>
        <v>Morning</v>
      </c>
      <c r="G340" t="str">
        <f>_xlfn.XLOOKUP(AllData[[#This Row],[Location Name]], Locations[Location Name],Locations[Group As])</f>
        <v>Abbey Mill</v>
      </c>
      <c r="H340" t="e" vm="1">
        <f>_xlfn.XLOOKUP(AllData[[#This Row],[Site Name]],LocationsKey[Site Name],LocationsKey[District])</f>
        <v>#VALUE!</v>
      </c>
      <c r="I340" t="e" vm="1">
        <f>_xlfn.XLOOKUP(AllData[[#This Row],[Site Name]],LocationsKey[Site Name],LocationsKey[Town])</f>
        <v>#VALUE!</v>
      </c>
      <c r="J340" t="str">
        <f>_xlfn.XLOOKUP(AllData[[#This Row],[Site Name]],LocationsKey[Site Name], LocationsKey[Waterway])</f>
        <v>Avon</v>
      </c>
      <c r="K340" t="s">
        <v>22</v>
      </c>
      <c r="N340" t="s">
        <v>23</v>
      </c>
      <c r="O340">
        <v>890</v>
      </c>
      <c r="P340">
        <v>6</v>
      </c>
      <c r="Q340">
        <v>4</v>
      </c>
      <c r="R340" s="7" t="str">
        <f>IF(AllData[[#This Row],[Nitrate (PPM)]]&gt;2, "Very high", IF(AllData[[#This Row],[Nitrate (PPM)]]&gt;1, "High", IF(AllData[[#This Row],[Nitrate (PPM)]]&gt;0.5, "Some evidence", IF(AllData[[#This Row],[Nitrate (PPM)]]&gt;=0, "No evidence"))))</f>
        <v>Very high</v>
      </c>
      <c r="S340" s="4">
        <v>0.7</v>
      </c>
      <c r="T340" s="7" t="str">
        <f>IF(AllData[[#This Row],[Phosphate (PPM)]]&gt;0.5, "Very high", IF(AllData[[#This Row],[Phosphate (PPM)]]&gt;0.1, "High", IF(AllData[[#This Row],[Phosphate (PPM)]]&gt;0.05, "Some evidence", IF(AllData[[#This Row],[Phosphate (PPM)]]&lt;=0.05, "No Evidence", ""))))</f>
        <v>Very high</v>
      </c>
      <c r="U340">
        <v>0</v>
      </c>
    </row>
    <row r="341" spans="1:22" x14ac:dyDescent="0.25">
      <c r="A341" t="s">
        <v>553</v>
      </c>
      <c r="B341" s="2">
        <v>45310</v>
      </c>
      <c r="C341" s="2" t="str" cm="1">
        <f t="array" ref="C3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1">
        <v>2023</v>
      </c>
      <c r="E341" s="1">
        <v>0.45833333333333331</v>
      </c>
      <c r="F341" s="2" t="str">
        <f>IF(AND(AllData[[#This Row],[Time]]&lt;0.5, AllData[[#This Row],[Time]]&gt;0.17)=TRUE, "Morning", IF(AND(AllData[[#This Row],[Time]]&lt;0.75, AllData[[#This Row],[Time]]&gt;=0.5)=TRUE, "Afternoon", IF(AND(AllData[[#This Row],[Time]]&lt;1, AllData[[#This Row],[Time]]&gt;=0.75)=TRUE, "Evening", "Night")))</f>
        <v>Morning</v>
      </c>
      <c r="G341" t="str">
        <f>_xlfn.XLOOKUP(AllData[[#This Row],[Location Name]], Locations[Location Name],Locations[Group As])</f>
        <v>Swilgate</v>
      </c>
      <c r="H341" t="e" vm="1">
        <f>_xlfn.XLOOKUP(AllData[[#This Row],[Site Name]],LocationsKey[Site Name],LocationsKey[District])</f>
        <v>#VALUE!</v>
      </c>
      <c r="I341" t="e" vm="1">
        <f>_xlfn.XLOOKUP(AllData[[#This Row],[Site Name]],LocationsKey[Site Name],LocationsKey[Town])</f>
        <v>#VALUE!</v>
      </c>
      <c r="J341" t="str">
        <f>_xlfn.XLOOKUP(AllData[[#This Row],[Site Name]],LocationsKey[Site Name], LocationsKey[Waterway])</f>
        <v>Swilgate</v>
      </c>
      <c r="K341" t="s">
        <v>84</v>
      </c>
      <c r="N341" t="s">
        <v>23</v>
      </c>
      <c r="O341">
        <v>846</v>
      </c>
      <c r="P341">
        <v>2.6</v>
      </c>
      <c r="Q341">
        <v>3</v>
      </c>
      <c r="R341" s="7" t="str">
        <f>IF(AllData[[#This Row],[Nitrate (PPM)]]&gt;2, "Very high", IF(AllData[[#This Row],[Nitrate (PPM)]]&gt;1, "High", IF(AllData[[#This Row],[Nitrate (PPM)]]&gt;0.5, "Some evidence", IF(AllData[[#This Row],[Nitrate (PPM)]]&gt;=0, "No evidence"))))</f>
        <v>Very high</v>
      </c>
      <c r="S341" s="4">
        <v>0.41</v>
      </c>
      <c r="T341" s="7" t="str">
        <f>IF(AllData[[#This Row],[Phosphate (PPM)]]&gt;0.5, "Very high", IF(AllData[[#This Row],[Phosphate (PPM)]]&gt;0.1, "High", IF(AllData[[#This Row],[Phosphate (PPM)]]&gt;0.05, "Some evidence", IF(AllData[[#This Row],[Phosphate (PPM)]]&lt;=0.05, "No Evidence", ""))))</f>
        <v>High</v>
      </c>
      <c r="U341">
        <v>0</v>
      </c>
    </row>
    <row r="342" spans="1:22" x14ac:dyDescent="0.25">
      <c r="A342" t="s">
        <v>554</v>
      </c>
      <c r="B342" s="2">
        <v>45310</v>
      </c>
      <c r="C342" s="2" t="str" cm="1">
        <f t="array" ref="C3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2">
        <v>2023</v>
      </c>
      <c r="E342" s="1">
        <v>0.57986111111111116</v>
      </c>
      <c r="F342" s="2" t="str">
        <f>IF(AND(AllData[[#This Row],[Time]]&lt;0.5, AllData[[#This Row],[Time]]&gt;0.17)=TRUE, "Morning", IF(AND(AllData[[#This Row],[Time]]&lt;0.75, AllData[[#This Row],[Time]]&gt;=0.5)=TRUE, "Afternoon", IF(AND(AllData[[#This Row],[Time]]&lt;1, AllData[[#This Row],[Time]]&gt;=0.75)=TRUE, "Evening", "Night")))</f>
        <v>Afternoon</v>
      </c>
      <c r="G342" t="str">
        <f>_xlfn.XLOOKUP(AllData[[#This Row],[Location Name]], Locations[Location Name],Locations[Group As])</f>
        <v>Lower Lode</v>
      </c>
      <c r="H342" t="e" vm="1">
        <f>_xlfn.XLOOKUP(AllData[[#This Row],[Site Name]],LocationsKey[Site Name],LocationsKey[District])</f>
        <v>#VALUE!</v>
      </c>
      <c r="I342" t="e" vm="1">
        <f>_xlfn.XLOOKUP(AllData[[#This Row],[Site Name]],LocationsKey[Site Name],LocationsKey[Town])</f>
        <v>#VALUE!</v>
      </c>
      <c r="J342" t="str">
        <f>_xlfn.XLOOKUP(AllData[[#This Row],[Site Name]],LocationsKey[Site Name], LocationsKey[Waterway])</f>
        <v>Avon</v>
      </c>
      <c r="K342" t="s">
        <v>555</v>
      </c>
      <c r="L342">
        <v>51.984904999999998</v>
      </c>
      <c r="M342">
        <v>-2.1742240000000002</v>
      </c>
      <c r="N342" t="s">
        <v>29</v>
      </c>
      <c r="O342" s="219">
        <v>867</v>
      </c>
      <c r="P342">
        <v>5.7</v>
      </c>
      <c r="Q342" s="219">
        <v>10</v>
      </c>
      <c r="R342" s="7" t="str">
        <f>IF(AllData[[#This Row],[Nitrate (PPM)]]&gt;2, "Very high", IF(AllData[[#This Row],[Nitrate (PPM)]]&gt;1, "High", IF(AllData[[#This Row],[Nitrate (PPM)]]&gt;0.5, "Some evidence", IF(AllData[[#This Row],[Nitrate (PPM)]]&gt;=0, "No evidence"))))</f>
        <v>Very high</v>
      </c>
      <c r="S342" s="221">
        <v>0.5</v>
      </c>
      <c r="T342" s="7" t="str">
        <f>IF(AllData[[#This Row],[Phosphate (PPM)]]&gt;0.5, "Very high", IF(AllData[[#This Row],[Phosphate (PPM)]]&gt;0.1, "High", IF(AllData[[#This Row],[Phosphate (PPM)]]&gt;0.05, "Some evidence", IF(AllData[[#This Row],[Phosphate (PPM)]]&lt;=0.05, "No Evidence", ""))))</f>
        <v>High</v>
      </c>
      <c r="U342">
        <v>0</v>
      </c>
    </row>
    <row r="343" spans="1:22" x14ac:dyDescent="0.25">
      <c r="A343" t="s">
        <v>556</v>
      </c>
      <c r="B343" s="2">
        <v>45311</v>
      </c>
      <c r="C343" s="2" t="str" cm="1">
        <f t="array" ref="C3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3">
        <v>2023</v>
      </c>
      <c r="E343" s="1">
        <v>0.40694444444444444</v>
      </c>
      <c r="F343" s="2" t="str">
        <f>IF(AND(AllData[[#This Row],[Time]]&lt;0.5, AllData[[#This Row],[Time]]&gt;0.17)=TRUE, "Morning", IF(AND(AllData[[#This Row],[Time]]&lt;0.75, AllData[[#This Row],[Time]]&gt;=0.5)=TRUE, "Afternoon", IF(AND(AllData[[#This Row],[Time]]&lt;1, AllData[[#This Row],[Time]]&gt;=0.75)=TRUE, "Evening", "Night")))</f>
        <v>Morning</v>
      </c>
      <c r="G343" t="str">
        <f>_xlfn.XLOOKUP(AllData[[#This Row],[Location Name]], Locations[Location Name],Locations[Group As])</f>
        <v>The Ford, Langley</v>
      </c>
      <c r="H343" t="e" vm="2">
        <f>_xlfn.XLOOKUP(AllData[[#This Row],[Site Name]],LocationsKey[Site Name],LocationsKey[District])</f>
        <v>#VALUE!</v>
      </c>
      <c r="I343" t="str">
        <f>_xlfn.XLOOKUP(AllData[[#This Row],[Site Name]],LocationsKey[Site Name],LocationsKey[Town])</f>
        <v>Langley</v>
      </c>
      <c r="J343" t="str">
        <f>_xlfn.XLOOKUP(AllData[[#This Row],[Site Name]],LocationsKey[Site Name], LocationsKey[Waterway])</f>
        <v>Langley Ford</v>
      </c>
      <c r="K343" t="s">
        <v>557</v>
      </c>
      <c r="L343">
        <v>52.259639</v>
      </c>
      <c r="M343">
        <v>-1.7181999999999999</v>
      </c>
      <c r="N343" t="s">
        <v>29</v>
      </c>
      <c r="O343">
        <v>742</v>
      </c>
      <c r="P343">
        <v>5.0999999999999996</v>
      </c>
      <c r="Q343">
        <v>5</v>
      </c>
      <c r="R343" s="7" t="str">
        <f>IF(AllData[[#This Row],[Nitrate (PPM)]]&gt;2, "Very high", IF(AllData[[#This Row],[Nitrate (PPM)]]&gt;1, "High", IF(AllData[[#This Row],[Nitrate (PPM)]]&gt;0.5, "Some evidence", IF(AllData[[#This Row],[Nitrate (PPM)]]&gt;=0, "No evidence"))))</f>
        <v>Very high</v>
      </c>
      <c r="S343" s="4">
        <v>0.59</v>
      </c>
      <c r="T343" s="7" t="str">
        <f>IF(AllData[[#This Row],[Phosphate (PPM)]]&gt;0.5, "Very high", IF(AllData[[#This Row],[Phosphate (PPM)]]&gt;0.1, "High", IF(AllData[[#This Row],[Phosphate (PPM)]]&gt;0.05, "Some evidence", IF(AllData[[#This Row],[Phosphate (PPM)]]&lt;=0.05, "No Evidence", ""))))</f>
        <v>Very high</v>
      </c>
      <c r="U343">
        <v>0.28000000000000003</v>
      </c>
      <c r="V343" t="s">
        <v>558</v>
      </c>
    </row>
    <row r="344" spans="1:22" x14ac:dyDescent="0.25">
      <c r="A344" t="s">
        <v>559</v>
      </c>
      <c r="B344" s="2">
        <v>45311</v>
      </c>
      <c r="C344" s="2" t="str" cm="1">
        <f t="array" ref="C3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4">
        <v>2023</v>
      </c>
      <c r="E344" s="1">
        <v>0.47916666666666669</v>
      </c>
      <c r="F344" s="2" t="str">
        <f>IF(AND(AllData[[#This Row],[Time]]&lt;0.5, AllData[[#This Row],[Time]]&gt;0.17)=TRUE, "Morning", IF(AND(AllData[[#This Row],[Time]]&lt;0.75, AllData[[#This Row],[Time]]&gt;=0.5)=TRUE, "Afternoon", IF(AND(AllData[[#This Row],[Time]]&lt;1, AllData[[#This Row],[Time]]&gt;=0.75)=TRUE, "Evening", "Night")))</f>
        <v>Morning</v>
      </c>
      <c r="G344" t="str">
        <f>_xlfn.XLOOKUP(AllData[[#This Row],[Location Name]], Locations[Location Name],Locations[Group As])</f>
        <v>Clifford Chambers Mill Bridge</v>
      </c>
      <c r="H344" t="e" vm="2">
        <f>_xlfn.XLOOKUP(AllData[[#This Row],[Site Name]],LocationsKey[Site Name],LocationsKey[District])</f>
        <v>#VALUE!</v>
      </c>
      <c r="I344" t="e" vm="12">
        <f>_xlfn.XLOOKUP(AllData[[#This Row],[Site Name]],LocationsKey[Site Name],LocationsKey[Town])</f>
        <v>#VALUE!</v>
      </c>
      <c r="J344" t="str">
        <f>_xlfn.XLOOKUP(AllData[[#This Row],[Site Name]],LocationsKey[Site Name], LocationsKey[Waterway])</f>
        <v>Stour</v>
      </c>
      <c r="K344" t="s">
        <v>263</v>
      </c>
      <c r="L344">
        <v>52.166370000000001</v>
      </c>
      <c r="M344">
        <v>-1.708032</v>
      </c>
      <c r="N344" t="s">
        <v>66</v>
      </c>
      <c r="O344">
        <v>671</v>
      </c>
      <c r="P344">
        <v>10.199999999999999</v>
      </c>
      <c r="Q344">
        <v>7</v>
      </c>
      <c r="R344" s="7" t="str">
        <f>IF(AllData[[#This Row],[Nitrate (PPM)]]&gt;2, "Very high", IF(AllData[[#This Row],[Nitrate (PPM)]]&gt;1, "High", IF(AllData[[#This Row],[Nitrate (PPM)]]&gt;0.5, "Some evidence", IF(AllData[[#This Row],[Nitrate (PPM)]]&gt;=0, "No evidence"))))</f>
        <v>Very high</v>
      </c>
      <c r="S344" s="4">
        <v>0.24</v>
      </c>
      <c r="T344" s="7" t="str">
        <f>IF(AllData[[#This Row],[Phosphate (PPM)]]&gt;0.5, "Very high", IF(AllData[[#This Row],[Phosphate (PPM)]]&gt;0.1, "High", IF(AllData[[#This Row],[Phosphate (PPM)]]&gt;0.05, "Some evidence", IF(AllData[[#This Row],[Phosphate (PPM)]]&lt;=0.05, "No Evidence", ""))))</f>
        <v>High</v>
      </c>
      <c r="U344">
        <v>1.4</v>
      </c>
      <c r="V344" t="s">
        <v>560</v>
      </c>
    </row>
    <row r="345" spans="1:22" x14ac:dyDescent="0.25">
      <c r="A345" t="s">
        <v>561</v>
      </c>
      <c r="B345" s="2">
        <v>45311</v>
      </c>
      <c r="C345" s="2" t="str" cm="1">
        <f t="array" ref="C3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5">
        <v>2023</v>
      </c>
      <c r="E345" s="1">
        <v>0.47916666666666669</v>
      </c>
      <c r="F345" s="2" t="str">
        <f>IF(AND(AllData[[#This Row],[Time]]&lt;0.5, AllData[[#This Row],[Time]]&gt;0.17)=TRUE, "Morning", IF(AND(AllData[[#This Row],[Time]]&lt;0.75, AllData[[#This Row],[Time]]&gt;=0.5)=TRUE, "Afternoon", IF(AND(AllData[[#This Row],[Time]]&lt;1, AllData[[#This Row],[Time]]&gt;=0.75)=TRUE, "Evening", "Night")))</f>
        <v>Morning</v>
      </c>
      <c r="G345" t="str">
        <f>_xlfn.XLOOKUP(AllData[[#This Row],[Location Name]], Locations[Location Name],Locations[Group As])</f>
        <v>Fell Mill Footbridge</v>
      </c>
      <c r="H345" t="e" vm="2">
        <f>_xlfn.XLOOKUP(AllData[[#This Row],[Site Name]],LocationsKey[Site Name],LocationsKey[District])</f>
        <v>#VALUE!</v>
      </c>
      <c r="I345" t="e" vm="10">
        <f>_xlfn.XLOOKUP(AllData[[#This Row],[Site Name]],LocationsKey[Site Name],LocationsKey[Town])</f>
        <v>#VALUE!</v>
      </c>
      <c r="J345" t="str">
        <f>_xlfn.XLOOKUP(AllData[[#This Row],[Site Name]],LocationsKey[Site Name], LocationsKey[Waterway])</f>
        <v>Stour</v>
      </c>
      <c r="K345" t="s">
        <v>496</v>
      </c>
      <c r="L345">
        <v>52.070131000000003</v>
      </c>
      <c r="M345">
        <v>-1.6114869999999999</v>
      </c>
      <c r="N345" t="s">
        <v>29</v>
      </c>
      <c r="O345">
        <v>607</v>
      </c>
      <c r="P345">
        <v>4.5999999999999996</v>
      </c>
      <c r="Q345">
        <v>10</v>
      </c>
      <c r="R345" s="7" t="str">
        <f>IF(AllData[[#This Row],[Nitrate (PPM)]]&gt;2, "Very high", IF(AllData[[#This Row],[Nitrate (PPM)]]&gt;1, "High", IF(AllData[[#This Row],[Nitrate (PPM)]]&gt;0.5, "Some evidence", IF(AllData[[#This Row],[Nitrate (PPM)]]&gt;=0, "No evidence"))))</f>
        <v>Very high</v>
      </c>
      <c r="S345" s="4">
        <v>0.24</v>
      </c>
      <c r="T345" s="7" t="str">
        <f>IF(AllData[[#This Row],[Phosphate (PPM)]]&gt;0.5, "Very high", IF(AllData[[#This Row],[Phosphate (PPM)]]&gt;0.1, "High", IF(AllData[[#This Row],[Phosphate (PPM)]]&gt;0.05, "Some evidence", IF(AllData[[#This Row],[Phosphate (PPM)]]&lt;=0.05, "No Evidence", ""))))</f>
        <v>High</v>
      </c>
      <c r="U345">
        <v>0.8</v>
      </c>
    </row>
    <row r="346" spans="1:22" x14ac:dyDescent="0.25">
      <c r="A346" t="s">
        <v>563</v>
      </c>
      <c r="B346" s="2">
        <v>45311</v>
      </c>
      <c r="C346" s="2" t="str" cm="1">
        <f t="array" ref="C3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6">
        <v>2023</v>
      </c>
      <c r="E346" s="1">
        <v>0.48958333333333331</v>
      </c>
      <c r="F346" s="2" t="str">
        <f>IF(AND(AllData[[#This Row],[Time]]&lt;0.5, AllData[[#This Row],[Time]]&gt;0.17)=TRUE, "Morning", IF(AND(AllData[[#This Row],[Time]]&lt;0.75, AllData[[#This Row],[Time]]&gt;=0.5)=TRUE, "Afternoon", IF(AND(AllData[[#This Row],[Time]]&lt;1, AllData[[#This Row],[Time]]&gt;=0.75)=TRUE, "Evening", "Night")))</f>
        <v>Morning</v>
      </c>
      <c r="G346" t="str">
        <f>_xlfn.XLOOKUP(AllData[[#This Row],[Location Name]], Locations[Location Name],Locations[Group As])</f>
        <v>Carrant Bredon Rd</v>
      </c>
      <c r="H346" t="e" vm="1">
        <f>_xlfn.XLOOKUP(AllData[[#This Row],[Site Name]],LocationsKey[Site Name],LocationsKey[District])</f>
        <v>#VALUE!</v>
      </c>
      <c r="I346" t="e" vm="1">
        <f>_xlfn.XLOOKUP(AllData[[#This Row],[Site Name]],LocationsKey[Site Name],LocationsKey[Town])</f>
        <v>#VALUE!</v>
      </c>
      <c r="J346" t="str">
        <f>_xlfn.XLOOKUP(AllData[[#This Row],[Site Name]],LocationsKey[Site Name], LocationsKey[Waterway])</f>
        <v>Carrant</v>
      </c>
      <c r="K346" t="s">
        <v>90</v>
      </c>
      <c r="L346">
        <v>51.996360000000003</v>
      </c>
      <c r="M346">
        <v>-2.1560489999999999</v>
      </c>
      <c r="N346" t="s">
        <v>23</v>
      </c>
      <c r="O346">
        <v>751</v>
      </c>
      <c r="P346">
        <v>5.6</v>
      </c>
      <c r="Q346">
        <v>7</v>
      </c>
      <c r="R346" s="7" t="str">
        <f>IF(AllData[[#This Row],[Nitrate (PPM)]]&gt;2, "Very high", IF(AllData[[#This Row],[Nitrate (PPM)]]&gt;1, "High", IF(AllData[[#This Row],[Nitrate (PPM)]]&gt;0.5, "Some evidence", IF(AllData[[#This Row],[Nitrate (PPM)]]&gt;=0, "No evidence"))))</f>
        <v>Very high</v>
      </c>
      <c r="S346" s="4">
        <v>0.33</v>
      </c>
      <c r="T346" s="7" t="str">
        <f>IF(AllData[[#This Row],[Phosphate (PPM)]]&gt;0.5, "Very high", IF(AllData[[#This Row],[Phosphate (PPM)]]&gt;0.1, "High", IF(AllData[[#This Row],[Phosphate (PPM)]]&gt;0.05, "Some evidence", IF(AllData[[#This Row],[Phosphate (PPM)]]&lt;=0.05, "No Evidence", ""))))</f>
        <v>High</v>
      </c>
      <c r="U346">
        <v>0.02</v>
      </c>
    </row>
    <row r="347" spans="1:22" x14ac:dyDescent="0.25">
      <c r="A347" t="s">
        <v>562</v>
      </c>
      <c r="B347" s="2">
        <v>45311</v>
      </c>
      <c r="C347" s="2" t="str" cm="1">
        <f t="array" ref="C3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7">
        <v>2023</v>
      </c>
      <c r="E347" s="1">
        <v>0.48958333333333331</v>
      </c>
      <c r="F347" s="2" t="str">
        <f>IF(AND(AllData[[#This Row],[Time]]&lt;0.5, AllData[[#This Row],[Time]]&gt;0.17)=TRUE, "Morning", IF(AND(AllData[[#This Row],[Time]]&lt;0.75, AllData[[#This Row],[Time]]&gt;=0.5)=TRUE, "Afternoon", IF(AND(AllData[[#This Row],[Time]]&lt;1, AllData[[#This Row],[Time]]&gt;=0.75)=TRUE, "Evening", "Night")))</f>
        <v>Morning</v>
      </c>
      <c r="G347" t="str">
        <f>_xlfn.XLOOKUP(AllData[[#This Row],[Location Name]], Locations[Location Name],Locations[Group As])</f>
        <v>Clifford Chambers Road Bridge</v>
      </c>
      <c r="H347" t="e" vm="2">
        <f>_xlfn.XLOOKUP(AllData[[#This Row],[Site Name]],LocationsKey[Site Name],LocationsKey[District])</f>
        <v>#VALUE!</v>
      </c>
      <c r="I347" t="e" vm="12">
        <f>_xlfn.XLOOKUP(AllData[[#This Row],[Site Name]],LocationsKey[Site Name],LocationsKey[Town])</f>
        <v>#VALUE!</v>
      </c>
      <c r="J347" t="str">
        <f>_xlfn.XLOOKUP(AllData[[#This Row],[Site Name]],LocationsKey[Site Name], LocationsKey[Waterway])</f>
        <v>Stour</v>
      </c>
      <c r="K347" t="s">
        <v>427</v>
      </c>
      <c r="L347">
        <v>52.172840000000001</v>
      </c>
      <c r="M347">
        <v>-1.71377</v>
      </c>
      <c r="N347" t="s">
        <v>80</v>
      </c>
      <c r="O347">
        <v>660</v>
      </c>
      <c r="P347">
        <v>10.199999999999999</v>
      </c>
      <c r="Q347">
        <v>9</v>
      </c>
      <c r="R347" s="7" t="str">
        <f>IF(AllData[[#This Row],[Nitrate (PPM)]]&gt;2, "Very high", IF(AllData[[#This Row],[Nitrate (PPM)]]&gt;1, "High", IF(AllData[[#This Row],[Nitrate (PPM)]]&gt;0.5, "Some evidence", IF(AllData[[#This Row],[Nitrate (PPM)]]&gt;=0, "No evidence"))))</f>
        <v>Very high</v>
      </c>
      <c r="S347" s="4">
        <v>0.32</v>
      </c>
      <c r="T347" s="7" t="str">
        <f>IF(AllData[[#This Row],[Phosphate (PPM)]]&gt;0.5, "Very high", IF(AllData[[#This Row],[Phosphate (PPM)]]&gt;0.1, "High", IF(AllData[[#This Row],[Phosphate (PPM)]]&gt;0.05, "Some evidence", IF(AllData[[#This Row],[Phosphate (PPM)]]&lt;=0.05, "No Evidence", ""))))</f>
        <v>High</v>
      </c>
      <c r="U347">
        <v>0.6</v>
      </c>
    </row>
    <row r="348" spans="1:22" x14ac:dyDescent="0.25">
      <c r="A348" t="s">
        <v>573</v>
      </c>
      <c r="B348" s="2">
        <v>45312</v>
      </c>
      <c r="C348" s="2" t="str" cm="1">
        <f t="array" ref="C3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8">
        <v>2023</v>
      </c>
      <c r="E348" s="1">
        <v>0.42708333333333331</v>
      </c>
      <c r="F348" s="2" t="str">
        <f>IF(AND(AllData[[#This Row],[Time]]&lt;0.5, AllData[[#This Row],[Time]]&gt;0.17)=TRUE, "Morning", IF(AND(AllData[[#This Row],[Time]]&lt;0.75, AllData[[#This Row],[Time]]&gt;=0.5)=TRUE, "Afternoon", IF(AND(AllData[[#This Row],[Time]]&lt;1, AllData[[#This Row],[Time]]&gt;=0.75)=TRUE, "Evening", "Night")))</f>
        <v>Morning</v>
      </c>
      <c r="G348" t="str">
        <f>_xlfn.XLOOKUP(AllData[[#This Row],[Location Name]], Locations[Location Name],Locations[Group As])</f>
        <v>Lucy's Mill Bridge</v>
      </c>
      <c r="H348" t="e" vm="2">
        <f>_xlfn.XLOOKUP(AllData[[#This Row],[Site Name]],LocationsKey[Site Name],LocationsKey[District])</f>
        <v>#VALUE!</v>
      </c>
      <c r="I348" t="e" vm="7">
        <f>_xlfn.XLOOKUP(AllData[[#This Row],[Site Name]],LocationsKey[Site Name],LocationsKey[Town])</f>
        <v>#VALUE!</v>
      </c>
      <c r="J348" t="str">
        <f>_xlfn.XLOOKUP(AllData[[#This Row],[Site Name]],LocationsKey[Site Name], LocationsKey[Waterway])</f>
        <v>Avon</v>
      </c>
      <c r="K348" t="s">
        <v>216</v>
      </c>
      <c r="L348">
        <v>52.183698999999997</v>
      </c>
      <c r="M348">
        <v>-1.707816</v>
      </c>
      <c r="N348" t="s">
        <v>29</v>
      </c>
      <c r="P348">
        <v>6</v>
      </c>
      <c r="Q348">
        <v>5</v>
      </c>
      <c r="R348" s="7" t="str">
        <f>IF(AllData[[#This Row],[Nitrate (PPM)]]&gt;2, "Very high", IF(AllData[[#This Row],[Nitrate (PPM)]]&gt;1, "High", IF(AllData[[#This Row],[Nitrate (PPM)]]&gt;0.5, "Some evidence", IF(AllData[[#This Row],[Nitrate (PPM)]]&gt;=0, "No evidence"))))</f>
        <v>Very high</v>
      </c>
      <c r="S348" s="4">
        <v>0.28999999999999998</v>
      </c>
      <c r="T348" s="7" t="str">
        <f>IF(AllData[[#This Row],[Phosphate (PPM)]]&gt;0.5, "Very high", IF(AllData[[#This Row],[Phosphate (PPM)]]&gt;0.1, "High", IF(AllData[[#This Row],[Phosphate (PPM)]]&gt;0.05, "Some evidence", IF(AllData[[#This Row],[Phosphate (PPM)]]&lt;=0.05, "No Evidence", ""))))</f>
        <v>High</v>
      </c>
      <c r="U348">
        <v>0.7</v>
      </c>
    </row>
    <row r="349" spans="1:22" x14ac:dyDescent="0.25">
      <c r="A349" t="s">
        <v>564</v>
      </c>
      <c r="B349" s="2">
        <v>45312</v>
      </c>
      <c r="C349" s="2" t="str" cm="1">
        <f t="array" ref="C3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9">
        <v>2023</v>
      </c>
      <c r="E349" s="1">
        <v>0.51388888888888884</v>
      </c>
      <c r="F349" s="2" t="str">
        <f>IF(AND(AllData[[#This Row],[Time]]&lt;0.5, AllData[[#This Row],[Time]]&gt;0.17)=TRUE, "Morning", IF(AND(AllData[[#This Row],[Time]]&lt;0.75, AllData[[#This Row],[Time]]&gt;=0.5)=TRUE, "Afternoon", IF(AND(AllData[[#This Row],[Time]]&lt;1, AllData[[#This Row],[Time]]&gt;=0.75)=TRUE, "Evening", "Night")))</f>
        <v>Afternoon</v>
      </c>
      <c r="G349" t="str">
        <f>_xlfn.XLOOKUP(AllData[[#This Row],[Location Name]], Locations[Location Name],Locations[Group As])</f>
        <v>Hampton Wood</v>
      </c>
      <c r="H349" t="e" vm="2">
        <f>_xlfn.XLOOKUP(AllData[[#This Row],[Site Name]],LocationsKey[Site Name],LocationsKey[District])</f>
        <v>#VALUE!</v>
      </c>
      <c r="I349" t="e" vm="3">
        <f>_xlfn.XLOOKUP(AllData[[#This Row],[Site Name]],LocationsKey[Site Name],LocationsKey[Town])</f>
        <v>#VALUE!</v>
      </c>
      <c r="J349" t="str">
        <f>_xlfn.XLOOKUP(AllData[[#This Row],[Site Name]],LocationsKey[Site Name], LocationsKey[Waterway])</f>
        <v>Avon</v>
      </c>
      <c r="K349" t="s">
        <v>34</v>
      </c>
      <c r="L349">
        <v>52.238149999999997</v>
      </c>
      <c r="M349">
        <v>-1.6245799999999999</v>
      </c>
      <c r="N349" t="s">
        <v>29</v>
      </c>
      <c r="O349">
        <v>852</v>
      </c>
      <c r="P349">
        <v>8.1</v>
      </c>
      <c r="Q349">
        <v>7</v>
      </c>
      <c r="R349" s="7" t="str">
        <f>IF(AllData[[#This Row],[Nitrate (PPM)]]&gt;2, "Very high", IF(AllData[[#This Row],[Nitrate (PPM)]]&gt;1, "High", IF(AllData[[#This Row],[Nitrate (PPM)]]&gt;0.5, "Some evidence", IF(AllData[[#This Row],[Nitrate (PPM)]]&gt;=0, "No evidence"))))</f>
        <v>Very high</v>
      </c>
      <c r="S349" s="4">
        <v>0.69</v>
      </c>
      <c r="T349" s="7" t="str">
        <f>IF(AllData[[#This Row],[Phosphate (PPM)]]&gt;0.5, "Very high", IF(AllData[[#This Row],[Phosphate (PPM)]]&gt;0.1, "High", IF(AllData[[#This Row],[Phosphate (PPM)]]&gt;0.05, "Some evidence", IF(AllData[[#This Row],[Phosphate (PPM)]]&lt;=0.05, "No Evidence", ""))))</f>
        <v>Very high</v>
      </c>
      <c r="U349">
        <v>0</v>
      </c>
    </row>
    <row r="350" spans="1:22" x14ac:dyDescent="0.25">
      <c r="A350" t="s">
        <v>565</v>
      </c>
      <c r="B350" s="2">
        <v>45312</v>
      </c>
      <c r="C350" s="2" t="str" cm="1">
        <f t="array" ref="C3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0">
        <v>2023</v>
      </c>
      <c r="E350" s="1">
        <v>0.54166666666666663</v>
      </c>
      <c r="F350" s="2" t="str">
        <f>IF(AND(AllData[[#This Row],[Time]]&lt;0.5, AllData[[#This Row],[Time]]&gt;0.17)=TRUE, "Morning", IF(AND(AllData[[#This Row],[Time]]&lt;0.75, AllData[[#This Row],[Time]]&gt;=0.5)=TRUE, "Afternoon", IF(AND(AllData[[#This Row],[Time]]&lt;1, AllData[[#This Row],[Time]]&gt;=0.75)=TRUE, "Evening", "Night")))</f>
        <v>Afternoon</v>
      </c>
      <c r="G350" t="str">
        <f>_xlfn.XLOOKUP(AllData[[#This Row],[Location Name]], Locations[Location Name],Locations[Group As])</f>
        <v>Hampton Lucy</v>
      </c>
      <c r="H350" t="e" vm="2">
        <f>_xlfn.XLOOKUP(AllData[[#This Row],[Site Name]],LocationsKey[Site Name],LocationsKey[District])</f>
        <v>#VALUE!</v>
      </c>
      <c r="I350" t="e" vm="4">
        <f>_xlfn.XLOOKUP(AllData[[#This Row],[Site Name]],LocationsKey[Site Name],LocationsKey[Town])</f>
        <v>#VALUE!</v>
      </c>
      <c r="J350" t="str">
        <f>_xlfn.XLOOKUP(AllData[[#This Row],[Site Name]],LocationsKey[Site Name], LocationsKey[Waterway])</f>
        <v>Avon</v>
      </c>
      <c r="K350" t="s">
        <v>37</v>
      </c>
      <c r="L350">
        <v>52.211680000000001</v>
      </c>
      <c r="M350">
        <v>-1.6244400000000001</v>
      </c>
      <c r="N350" t="s">
        <v>23</v>
      </c>
      <c r="O350" s="219">
        <v>876</v>
      </c>
      <c r="P350">
        <v>7.6</v>
      </c>
      <c r="Q350" s="219">
        <v>10</v>
      </c>
      <c r="R350" s="7" t="str">
        <f>IF(AllData[[#This Row],[Nitrate (PPM)]]&gt;2, "Very high", IF(AllData[[#This Row],[Nitrate (PPM)]]&gt;1, "High", IF(AllData[[#This Row],[Nitrate (PPM)]]&gt;0.5, "Some evidence", IF(AllData[[#This Row],[Nitrate (PPM)]]&gt;=0, "No evidence"))))</f>
        <v>Very high</v>
      </c>
      <c r="S350" s="221">
        <v>0.61</v>
      </c>
      <c r="T350" s="7" t="str">
        <f>IF(AllData[[#This Row],[Phosphate (PPM)]]&gt;0.5, "Very high", IF(AllData[[#This Row],[Phosphate (PPM)]]&gt;0.1, "High", IF(AllData[[#This Row],[Phosphate (PPM)]]&gt;0.05, "Some evidence", IF(AllData[[#This Row],[Phosphate (PPM)]]&lt;=0.05, "No Evidence", ""))))</f>
        <v>Very high</v>
      </c>
      <c r="U350">
        <v>0</v>
      </c>
    </row>
    <row r="351" spans="1:22" x14ac:dyDescent="0.25">
      <c r="A351" t="s">
        <v>566</v>
      </c>
      <c r="B351" s="2">
        <v>45312</v>
      </c>
      <c r="C351" s="2" t="str" cm="1">
        <f t="array" ref="C3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1">
        <v>2023</v>
      </c>
      <c r="E351" s="1">
        <v>0.61736111111111114</v>
      </c>
      <c r="F351" s="2" t="str">
        <f>IF(AND(AllData[[#This Row],[Time]]&lt;0.5, AllData[[#This Row],[Time]]&gt;0.17)=TRUE, "Morning", IF(AND(AllData[[#This Row],[Time]]&lt;0.75, AllData[[#This Row],[Time]]&gt;=0.5)=TRUE, "Afternoon", IF(AND(AllData[[#This Row],[Time]]&lt;1, AllData[[#This Row],[Time]]&gt;=0.75)=TRUE, "Evening", "Night")))</f>
        <v>Afternoon</v>
      </c>
      <c r="G351" t="str">
        <f>_xlfn.XLOOKUP(AllData[[#This Row],[Location Name]], Locations[Location Name],Locations[Group As])</f>
        <v>Black Bear</v>
      </c>
      <c r="H351" t="e" vm="1">
        <f>_xlfn.XLOOKUP(AllData[[#This Row],[Site Name]],LocationsKey[Site Name],LocationsKey[District])</f>
        <v>#VALUE!</v>
      </c>
      <c r="I351" t="e" vm="1">
        <f>_xlfn.XLOOKUP(AllData[[#This Row],[Site Name]],LocationsKey[Site Name],LocationsKey[Town])</f>
        <v>#VALUE!</v>
      </c>
      <c r="J351" t="str">
        <f>_xlfn.XLOOKUP(AllData[[#This Row],[Site Name]],LocationsKey[Site Name], LocationsKey[Waterway])</f>
        <v>Avon</v>
      </c>
      <c r="K351" t="s">
        <v>567</v>
      </c>
      <c r="L351">
        <v>51.997546999999997</v>
      </c>
      <c r="M351">
        <v>-2.156412</v>
      </c>
      <c r="N351" t="s">
        <v>23</v>
      </c>
      <c r="O351">
        <v>841</v>
      </c>
      <c r="P351">
        <v>6.8</v>
      </c>
      <c r="Q351">
        <v>8</v>
      </c>
      <c r="R351" s="7" t="str">
        <f>IF(AllData[[#This Row],[Nitrate (PPM)]]&gt;2, "Very high", IF(AllData[[#This Row],[Nitrate (PPM)]]&gt;1, "High", IF(AllData[[#This Row],[Nitrate (PPM)]]&gt;0.5, "Some evidence", IF(AllData[[#This Row],[Nitrate (PPM)]]&gt;=0, "No evidence"))))</f>
        <v>Very high</v>
      </c>
      <c r="S351" s="4">
        <v>1.01</v>
      </c>
      <c r="T351" s="7" t="str">
        <f>IF(AllData[[#This Row],[Phosphate (PPM)]]&gt;0.5, "Very high", IF(AllData[[#This Row],[Phosphate (PPM)]]&gt;0.1, "High", IF(AllData[[#This Row],[Phosphate (PPM)]]&gt;0.05, "Some evidence", IF(AllData[[#This Row],[Phosphate (PPM)]]&lt;=0.05, "No Evidence", ""))))</f>
        <v>Very high</v>
      </c>
      <c r="U351">
        <v>0</v>
      </c>
    </row>
    <row r="352" spans="1:22" x14ac:dyDescent="0.25">
      <c r="A352" t="s">
        <v>568</v>
      </c>
      <c r="B352" s="2">
        <v>45312</v>
      </c>
      <c r="C352" s="2" t="str" cm="1">
        <f t="array" ref="C3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2">
        <v>2023</v>
      </c>
      <c r="E352" s="1">
        <v>0.625</v>
      </c>
      <c r="F352" s="2" t="str">
        <f>IF(AND(AllData[[#This Row],[Time]]&lt;0.5, AllData[[#This Row],[Time]]&gt;0.17)=TRUE, "Morning", IF(AND(AllData[[#This Row],[Time]]&lt;0.75, AllData[[#This Row],[Time]]&gt;=0.5)=TRUE, "Afternoon", IF(AND(AllData[[#This Row],[Time]]&lt;1, AllData[[#This Row],[Time]]&gt;=0.75)=TRUE, "Evening", "Night")))</f>
        <v>Afternoon</v>
      </c>
      <c r="G352" t="str">
        <f>_xlfn.XLOOKUP(AllData[[#This Row],[Location Name]], Locations[Location Name],Locations[Group As])</f>
        <v>Bell Brook 1</v>
      </c>
      <c r="H352" t="e" vm="2">
        <f>_xlfn.XLOOKUP(AllData[[#This Row],[Site Name]],LocationsKey[Site Name],LocationsKey[District])</f>
        <v>#VALUE!</v>
      </c>
      <c r="I352" t="e" vm="15">
        <f>_xlfn.XLOOKUP(AllData[[#This Row],[Site Name]],LocationsKey[Site Name],LocationsKey[Town])</f>
        <v>#VALUE!</v>
      </c>
      <c r="J352" t="str">
        <f>_xlfn.XLOOKUP(AllData[[#This Row],[Site Name]],LocationsKey[Site Name], LocationsKey[Waterway])</f>
        <v>Bell Brook</v>
      </c>
      <c r="K352" t="s">
        <v>534</v>
      </c>
      <c r="L352">
        <v>52.244900000000001</v>
      </c>
      <c r="M352">
        <v>-1.6617</v>
      </c>
      <c r="N352" t="s">
        <v>23</v>
      </c>
      <c r="O352">
        <v>736</v>
      </c>
      <c r="P352">
        <v>8.6999999999999993</v>
      </c>
      <c r="Q352">
        <v>8</v>
      </c>
      <c r="R352" s="7" t="str">
        <f>IF(AllData[[#This Row],[Nitrate (PPM)]]&gt;2, "Very high", IF(AllData[[#This Row],[Nitrate (PPM)]]&gt;1, "High", IF(AllData[[#This Row],[Nitrate (PPM)]]&gt;0.5, "Some evidence", IF(AllData[[#This Row],[Nitrate (PPM)]]&gt;=0, "No evidence"))))</f>
        <v>Very high</v>
      </c>
      <c r="S352" s="4">
        <v>0.45</v>
      </c>
      <c r="T352" s="7" t="str">
        <f>IF(AllData[[#This Row],[Phosphate (PPM)]]&gt;0.5, "Very high", IF(AllData[[#This Row],[Phosphate (PPM)]]&gt;0.1, "High", IF(AllData[[#This Row],[Phosphate (PPM)]]&gt;0.05, "Some evidence", IF(AllData[[#This Row],[Phosphate (PPM)]]&lt;=0.05, "No Evidence", ""))))</f>
        <v>High</v>
      </c>
      <c r="U352">
        <v>0.5</v>
      </c>
    </row>
    <row r="353" spans="1:22" x14ac:dyDescent="0.25">
      <c r="A353" t="s">
        <v>569</v>
      </c>
      <c r="B353" s="2">
        <v>45312</v>
      </c>
      <c r="C353" s="2" t="str" cm="1">
        <f t="array" ref="C3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3">
        <v>2023</v>
      </c>
      <c r="E353" s="1">
        <v>0.625</v>
      </c>
      <c r="F353" s="2" t="str">
        <f>IF(AND(AllData[[#This Row],[Time]]&lt;0.5, AllData[[#This Row],[Time]]&gt;0.17)=TRUE, "Morning", IF(AND(AllData[[#This Row],[Time]]&lt;0.75, AllData[[#This Row],[Time]]&gt;=0.5)=TRUE, "Afternoon", IF(AND(AllData[[#This Row],[Time]]&lt;1, AllData[[#This Row],[Time]]&gt;=0.75)=TRUE, "Evening", "Night")))</f>
        <v>Afternoon</v>
      </c>
      <c r="G353" t="str">
        <f>_xlfn.XLOOKUP(AllData[[#This Row],[Location Name]], Locations[Location Name],Locations[Group As])</f>
        <v>Sherbourne Brook 1</v>
      </c>
      <c r="H353" t="e" vm="2">
        <f>_xlfn.XLOOKUP(AllData[[#This Row],[Site Name]],LocationsKey[Site Name],LocationsKey[District])</f>
        <v>#VALUE!</v>
      </c>
      <c r="I353" t="e" vm="16">
        <f>_xlfn.XLOOKUP(AllData[[#This Row],[Site Name]],LocationsKey[Site Name],LocationsKey[Town])</f>
        <v>#VALUE!</v>
      </c>
      <c r="J353" t="str">
        <f>_xlfn.XLOOKUP(AllData[[#This Row],[Site Name]],LocationsKey[Site Name], LocationsKey[Waterway])</f>
        <v>Sherbourne Brook</v>
      </c>
      <c r="K353" t="s">
        <v>570</v>
      </c>
      <c r="L353">
        <v>52.252499999999998</v>
      </c>
      <c r="M353">
        <v>-1.6685000000000001</v>
      </c>
      <c r="N353" t="s">
        <v>23</v>
      </c>
      <c r="O353">
        <v>1020</v>
      </c>
      <c r="P353">
        <v>8.8000000000000007</v>
      </c>
      <c r="Q353">
        <v>10</v>
      </c>
      <c r="R353" s="7" t="str">
        <f>IF(AllData[[#This Row],[Nitrate (PPM)]]&gt;2, "Very high", IF(AllData[[#This Row],[Nitrate (PPM)]]&gt;1, "High", IF(AllData[[#This Row],[Nitrate (PPM)]]&gt;0.5, "Some evidence", IF(AllData[[#This Row],[Nitrate (PPM)]]&gt;=0, "No evidence"))))</f>
        <v>Very high</v>
      </c>
      <c r="S353" s="4">
        <v>0.4</v>
      </c>
      <c r="T353" s="7" t="str">
        <f>IF(AllData[[#This Row],[Phosphate (PPM)]]&gt;0.5, "Very high", IF(AllData[[#This Row],[Phosphate (PPM)]]&gt;0.1, "High", IF(AllData[[#This Row],[Phosphate (PPM)]]&gt;0.05, "Some evidence", IF(AllData[[#This Row],[Phosphate (PPM)]]&lt;=0.05, "No Evidence", ""))))</f>
        <v>High</v>
      </c>
      <c r="U353">
        <v>0.5</v>
      </c>
    </row>
    <row r="354" spans="1:22" x14ac:dyDescent="0.25">
      <c r="A354" t="s">
        <v>572</v>
      </c>
      <c r="B354" s="2">
        <v>45312</v>
      </c>
      <c r="C354" s="2" t="str" cm="1">
        <f t="array" ref="C3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4">
        <v>2023</v>
      </c>
      <c r="E354" s="1">
        <v>0.6875</v>
      </c>
      <c r="F354" s="2" t="str">
        <f>IF(AND(AllData[[#This Row],[Time]]&lt;0.5, AllData[[#This Row],[Time]]&gt;0.17)=TRUE, "Morning", IF(AND(AllData[[#This Row],[Time]]&lt;0.75, AllData[[#This Row],[Time]]&gt;=0.5)=TRUE, "Afternoon", IF(AND(AllData[[#This Row],[Time]]&lt;1, AllData[[#This Row],[Time]]&gt;=0.75)=TRUE, "Evening", "Night")))</f>
        <v>Afternoon</v>
      </c>
      <c r="G354" t="str">
        <f>_xlfn.XLOOKUP(AllData[[#This Row],[Location Name]], Locations[Location Name],Locations[Group As])</f>
        <v>Avonbank Drive</v>
      </c>
      <c r="H354" t="e" vm="2">
        <f>_xlfn.XLOOKUP(AllData[[#This Row],[Site Name]],LocationsKey[Site Name],LocationsKey[District])</f>
        <v>#VALUE!</v>
      </c>
      <c r="I354" t="e" vm="7">
        <f>_xlfn.XLOOKUP(AllData[[#This Row],[Site Name]],LocationsKey[Site Name],LocationsKey[Town])</f>
        <v>#VALUE!</v>
      </c>
      <c r="J354" t="str">
        <f>_xlfn.XLOOKUP(AllData[[#This Row],[Site Name]],LocationsKey[Site Name], LocationsKey[Waterway])</f>
        <v>Avon</v>
      </c>
      <c r="K354" t="s">
        <v>103</v>
      </c>
      <c r="L354">
        <v>52.177</v>
      </c>
      <c r="M354">
        <v>-1.736</v>
      </c>
      <c r="N354" t="s">
        <v>66</v>
      </c>
      <c r="O354">
        <v>976</v>
      </c>
      <c r="P354">
        <v>15.2</v>
      </c>
      <c r="Q354">
        <v>5</v>
      </c>
      <c r="R354" s="7" t="str">
        <f>IF(AllData[[#This Row],[Nitrate (PPM)]]&gt;2, "Very high", IF(AllData[[#This Row],[Nitrate (PPM)]]&gt;1, "High", IF(AllData[[#This Row],[Nitrate (PPM)]]&gt;0.5, "Some evidence", IF(AllData[[#This Row],[Nitrate (PPM)]]&gt;=0, "No evidence"))))</f>
        <v>Very high</v>
      </c>
      <c r="S354" s="4">
        <v>0.49</v>
      </c>
      <c r="T354" s="7" t="str">
        <f>IF(AllData[[#This Row],[Phosphate (PPM)]]&gt;0.5, "Very high", IF(AllData[[#This Row],[Phosphate (PPM)]]&gt;0.1, "High", IF(AllData[[#This Row],[Phosphate (PPM)]]&gt;0.05, "Some evidence", IF(AllData[[#This Row],[Phosphate (PPM)]]&lt;=0.05, "No Evidence", ""))))</f>
        <v>High</v>
      </c>
      <c r="U354">
        <v>0.66</v>
      </c>
    </row>
    <row r="355" spans="1:22" x14ac:dyDescent="0.25">
      <c r="A355" t="s">
        <v>571</v>
      </c>
      <c r="B355" s="2">
        <v>45312</v>
      </c>
      <c r="C355" s="2" t="str" cm="1">
        <f t="array" ref="C3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5">
        <v>2023</v>
      </c>
      <c r="E355" s="1">
        <v>0.6875</v>
      </c>
      <c r="F355" s="2" t="str">
        <f>IF(AND(AllData[[#This Row],[Time]]&lt;0.5, AllData[[#This Row],[Time]]&gt;0.17)=TRUE, "Morning", IF(AND(AllData[[#This Row],[Time]]&lt;0.75, AllData[[#This Row],[Time]]&gt;=0.5)=TRUE, "Afternoon", IF(AND(AllData[[#This Row],[Time]]&lt;1, AllData[[#This Row],[Time]]&gt;=0.75)=TRUE, "Evening", "Night")))</f>
        <v>Afternoon</v>
      </c>
      <c r="G355" t="str">
        <f>_xlfn.XLOOKUP(AllData[[#This Row],[Location Name]], Locations[Location Name],Locations[Group As])</f>
        <v>Pitch 16</v>
      </c>
      <c r="H355" t="e" vm="2">
        <f>_xlfn.XLOOKUP(AllData[[#This Row],[Site Name]],LocationsKey[Site Name],LocationsKey[District])</f>
        <v>#VALUE!</v>
      </c>
      <c r="I355" t="e" vm="7">
        <f>_xlfn.XLOOKUP(AllData[[#This Row],[Site Name]],LocationsKey[Site Name],LocationsKey[Town])</f>
        <v>#VALUE!</v>
      </c>
      <c r="J355" t="str">
        <f>_xlfn.XLOOKUP(AllData[[#This Row],[Site Name]],LocationsKey[Site Name], LocationsKey[Waterway])</f>
        <v>Avon</v>
      </c>
      <c r="K355" t="s">
        <v>69</v>
      </c>
      <c r="N355" t="s">
        <v>29</v>
      </c>
      <c r="O355">
        <v>933</v>
      </c>
      <c r="P355">
        <v>14.6</v>
      </c>
      <c r="Q355">
        <v>5</v>
      </c>
      <c r="R355" s="7" t="str">
        <f>IF(AllData[[#This Row],[Nitrate (PPM)]]&gt;2, "Very high", IF(AllData[[#This Row],[Nitrate (PPM)]]&gt;1, "High", IF(AllData[[#This Row],[Nitrate (PPM)]]&gt;0.5, "Some evidence", IF(AllData[[#This Row],[Nitrate (PPM)]]&gt;=0, "No evidence"))))</f>
        <v>Very high</v>
      </c>
      <c r="S355" s="4">
        <v>0.47</v>
      </c>
      <c r="T355" s="7" t="str">
        <f>IF(AllData[[#This Row],[Phosphate (PPM)]]&gt;0.5, "Very high", IF(AllData[[#This Row],[Phosphate (PPM)]]&gt;0.1, "High", IF(AllData[[#This Row],[Phosphate (PPM)]]&gt;0.05, "Some evidence", IF(AllData[[#This Row],[Phosphate (PPM)]]&lt;=0.05, "No Evidence", ""))))</f>
        <v>High</v>
      </c>
      <c r="U355">
        <v>0.66</v>
      </c>
    </row>
    <row r="356" spans="1:22" x14ac:dyDescent="0.25">
      <c r="A356" t="s">
        <v>574</v>
      </c>
      <c r="B356" s="2">
        <v>45313</v>
      </c>
      <c r="C356" s="2" t="str" cm="1">
        <f t="array" ref="C3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6">
        <v>2023</v>
      </c>
      <c r="E356" s="1">
        <v>0.38194444444444442</v>
      </c>
      <c r="F356" s="2" t="str">
        <f>IF(AND(AllData[[#This Row],[Time]]&lt;0.5, AllData[[#This Row],[Time]]&gt;0.17)=TRUE, "Morning", IF(AND(AllData[[#This Row],[Time]]&lt;0.75, AllData[[#This Row],[Time]]&gt;=0.5)=TRUE, "Afternoon", IF(AND(AllData[[#This Row],[Time]]&lt;1, AllData[[#This Row],[Time]]&gt;=0.75)=TRUE, "Evening", "Night")))</f>
        <v>Morning</v>
      </c>
      <c r="G356" t="str">
        <f>_xlfn.XLOOKUP(AllData[[#This Row],[Location Name]], Locations[Location Name],Locations[Group As])</f>
        <v>Alveston Weir</v>
      </c>
      <c r="H356" t="e" vm="2">
        <f>_xlfn.XLOOKUP(AllData[[#This Row],[Site Name]],LocationsKey[Site Name],LocationsKey[District])</f>
        <v>#VALUE!</v>
      </c>
      <c r="I356" t="e" vm="13">
        <f>_xlfn.XLOOKUP(AllData[[#This Row],[Site Name]],LocationsKey[Site Name],LocationsKey[Town])</f>
        <v>#VALUE!</v>
      </c>
      <c r="J356" t="str">
        <f>_xlfn.XLOOKUP(AllData[[#This Row],[Site Name]],LocationsKey[Site Name], LocationsKey[Waterway])</f>
        <v>Avon</v>
      </c>
      <c r="K356" t="s">
        <v>286</v>
      </c>
      <c r="L356">
        <v>52.212288999999998</v>
      </c>
      <c r="M356">
        <v>-1.660452</v>
      </c>
      <c r="N356" t="s">
        <v>29</v>
      </c>
      <c r="O356">
        <v>716</v>
      </c>
      <c r="P356">
        <v>9.8000000000000007</v>
      </c>
      <c r="Q356">
        <v>5</v>
      </c>
      <c r="R356" s="7" t="str">
        <f>IF(AllData[[#This Row],[Nitrate (PPM)]]&gt;2, "Very high", IF(AllData[[#This Row],[Nitrate (PPM)]]&gt;1, "High", IF(AllData[[#This Row],[Nitrate (PPM)]]&gt;0.5, "Some evidence", IF(AllData[[#This Row],[Nitrate (PPM)]]&gt;=0, "No evidence"))))</f>
        <v>Very high</v>
      </c>
      <c r="S356" s="4">
        <v>0.59</v>
      </c>
      <c r="T356" s="7" t="str">
        <f>IF(AllData[[#This Row],[Phosphate (PPM)]]&gt;0.5, "Very high", IF(AllData[[#This Row],[Phosphate (PPM)]]&gt;0.1, "High", IF(AllData[[#This Row],[Phosphate (PPM)]]&gt;0.05, "Some evidence", IF(AllData[[#This Row],[Phosphate (PPM)]]&lt;=0.05, "No Evidence", ""))))</f>
        <v>Very high</v>
      </c>
      <c r="U356">
        <v>0</v>
      </c>
    </row>
    <row r="357" spans="1:22" x14ac:dyDescent="0.25">
      <c r="A357" t="s">
        <v>575</v>
      </c>
      <c r="B357" s="2">
        <v>45313</v>
      </c>
      <c r="C357" s="2" t="str" cm="1">
        <f t="array" ref="C3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7">
        <v>2023</v>
      </c>
      <c r="E357" s="1">
        <v>0.3923611111111111</v>
      </c>
      <c r="F357" s="2" t="str">
        <f>IF(AND(AllData[[#This Row],[Time]]&lt;0.5, AllData[[#This Row],[Time]]&gt;0.17)=TRUE, "Morning", IF(AND(AllData[[#This Row],[Time]]&lt;0.75, AllData[[#This Row],[Time]]&gt;=0.5)=TRUE, "Afternoon", IF(AND(AllData[[#This Row],[Time]]&lt;1, AllData[[#This Row],[Time]]&gt;=0.75)=TRUE, "Evening", "Night")))</f>
        <v>Morning</v>
      </c>
      <c r="G357" t="str">
        <f>_xlfn.XLOOKUP(AllData[[#This Row],[Location Name]], Locations[Location Name],Locations[Group As])</f>
        <v>Swiffen Bank</v>
      </c>
      <c r="H357" t="e" vm="2">
        <f>_xlfn.XLOOKUP(AllData[[#This Row],[Site Name]],LocationsKey[Site Name],LocationsKey[District])</f>
        <v>#VALUE!</v>
      </c>
      <c r="I357" t="e" vm="13">
        <f>_xlfn.XLOOKUP(AllData[[#This Row],[Site Name]],LocationsKey[Site Name],LocationsKey[Town])</f>
        <v>#VALUE!</v>
      </c>
      <c r="J357" t="str">
        <f>_xlfn.XLOOKUP(AllData[[#This Row],[Site Name]],LocationsKey[Site Name], LocationsKey[Waterway])</f>
        <v>Avon</v>
      </c>
      <c r="K357" t="s">
        <v>284</v>
      </c>
      <c r="L357">
        <v>52.206496000000001</v>
      </c>
      <c r="M357">
        <v>-1.65418</v>
      </c>
      <c r="N357" t="s">
        <v>29</v>
      </c>
      <c r="O357">
        <v>701</v>
      </c>
      <c r="P357">
        <v>8</v>
      </c>
      <c r="Q357">
        <v>5</v>
      </c>
      <c r="R357" s="7" t="str">
        <f>IF(AllData[[#This Row],[Nitrate (PPM)]]&gt;2, "Very high", IF(AllData[[#This Row],[Nitrate (PPM)]]&gt;1, "High", IF(AllData[[#This Row],[Nitrate (PPM)]]&gt;0.5, "Some evidence", IF(AllData[[#This Row],[Nitrate (PPM)]]&gt;=0, "No evidence"))))</f>
        <v>Very high</v>
      </c>
      <c r="S357" s="4">
        <v>0.5</v>
      </c>
      <c r="T357" s="7" t="str">
        <f>IF(AllData[[#This Row],[Phosphate (PPM)]]&gt;0.5, "Very high", IF(AllData[[#This Row],[Phosphate (PPM)]]&gt;0.1, "High", IF(AllData[[#This Row],[Phosphate (PPM)]]&gt;0.05, "Some evidence", IF(AllData[[#This Row],[Phosphate (PPM)]]&lt;=0.05, "No Evidence", ""))))</f>
        <v>High</v>
      </c>
      <c r="U357">
        <v>0</v>
      </c>
    </row>
    <row r="358" spans="1:22" x14ac:dyDescent="0.25">
      <c r="A358" t="s">
        <v>576</v>
      </c>
      <c r="B358" s="2">
        <v>45313</v>
      </c>
      <c r="C358" s="2" t="str" cm="1">
        <f t="array" ref="C3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8">
        <v>2023</v>
      </c>
      <c r="E358" s="1">
        <v>0.40347222222222223</v>
      </c>
      <c r="F358" s="2" t="str">
        <f>IF(AND(AllData[[#This Row],[Time]]&lt;0.5, AllData[[#This Row],[Time]]&gt;0.17)=TRUE, "Morning", IF(AND(AllData[[#This Row],[Time]]&lt;0.75, AllData[[#This Row],[Time]]&gt;=0.5)=TRUE, "Afternoon", IF(AND(AllData[[#This Row],[Time]]&lt;1, AllData[[#This Row],[Time]]&gt;=0.75)=TRUE, "Evening", "Night")))</f>
        <v>Morning</v>
      </c>
      <c r="G358" t="str">
        <f>_xlfn.XLOOKUP(AllData[[#This Row],[Location Name]], Locations[Location Name],Locations[Group As])</f>
        <v>Stour Stretton-on-Fosse Village</v>
      </c>
      <c r="H358" t="e" vm="2">
        <f>_xlfn.XLOOKUP(AllData[[#This Row],[Site Name]],LocationsKey[Site Name],LocationsKey[District])</f>
        <v>#VALUE!</v>
      </c>
      <c r="I358" t="e" vm="14">
        <f>_xlfn.XLOOKUP(AllData[[#This Row],[Site Name]],LocationsKey[Site Name],LocationsKey[Town])</f>
        <v>#VALUE!</v>
      </c>
      <c r="J358" t="str">
        <f>_xlfn.XLOOKUP(AllData[[#This Row],[Site Name]],LocationsKey[Site Name], LocationsKey[Waterway])</f>
        <v>Stour</v>
      </c>
      <c r="K358" t="s">
        <v>544</v>
      </c>
      <c r="L358">
        <v>52.046604000000002</v>
      </c>
      <c r="M358">
        <v>-1.6733880000000001</v>
      </c>
      <c r="N358" t="s">
        <v>66</v>
      </c>
      <c r="O358">
        <v>376</v>
      </c>
      <c r="P358">
        <v>7.1</v>
      </c>
      <c r="Q358">
        <v>2</v>
      </c>
      <c r="R358" s="7" t="str">
        <f>IF(AllData[[#This Row],[Nitrate (PPM)]]&gt;2, "Very high", IF(AllData[[#This Row],[Nitrate (PPM)]]&gt;1, "High", IF(AllData[[#This Row],[Nitrate (PPM)]]&gt;0.5, "Some evidence", IF(AllData[[#This Row],[Nitrate (PPM)]]&gt;=0, "No evidence"))))</f>
        <v>High</v>
      </c>
      <c r="S358" s="4">
        <v>0.49</v>
      </c>
      <c r="T358" s="7" t="str">
        <f>IF(AllData[[#This Row],[Phosphate (PPM)]]&gt;0.5, "Very high", IF(AllData[[#This Row],[Phosphate (PPM)]]&gt;0.1, "High", IF(AllData[[#This Row],[Phosphate (PPM)]]&gt;0.05, "Some evidence", IF(AllData[[#This Row],[Phosphate (PPM)]]&lt;=0.05, "No Evidence", ""))))</f>
        <v>High</v>
      </c>
      <c r="U358">
        <v>0.35</v>
      </c>
      <c r="V358" t="s">
        <v>577</v>
      </c>
    </row>
    <row r="359" spans="1:22" x14ac:dyDescent="0.25">
      <c r="A359" t="s">
        <v>578</v>
      </c>
      <c r="B359" s="2">
        <v>45313</v>
      </c>
      <c r="C359" s="2" t="str" cm="1">
        <f t="array" ref="C3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9">
        <v>2023</v>
      </c>
      <c r="E359" s="1">
        <v>0.41805555555555557</v>
      </c>
      <c r="F359" s="2" t="str">
        <f>IF(AND(AllData[[#This Row],[Time]]&lt;0.5, AllData[[#This Row],[Time]]&gt;0.17)=TRUE, "Morning", IF(AND(AllData[[#This Row],[Time]]&lt;0.75, AllData[[#This Row],[Time]]&gt;=0.5)=TRUE, "Afternoon", IF(AND(AllData[[#This Row],[Time]]&lt;1, AllData[[#This Row],[Time]]&gt;=0.75)=TRUE, "Evening", "Night")))</f>
        <v>Morning</v>
      </c>
      <c r="G359" t="str">
        <f>_xlfn.XLOOKUP(AllData[[#This Row],[Location Name]], Locations[Location Name],Locations[Group As])</f>
        <v>Stour Stretton-on-Fosse Sewage Works</v>
      </c>
      <c r="H359" t="e" vm="2">
        <f>_xlfn.XLOOKUP(AllData[[#This Row],[Site Name]],LocationsKey[Site Name],LocationsKey[District])</f>
        <v>#VALUE!</v>
      </c>
      <c r="I359" t="e" vm="14">
        <f>_xlfn.XLOOKUP(AllData[[#This Row],[Site Name]],LocationsKey[Site Name],LocationsKey[Town])</f>
        <v>#VALUE!</v>
      </c>
      <c r="J359" t="str">
        <f>_xlfn.XLOOKUP(AllData[[#This Row],[Site Name]],LocationsKey[Site Name], LocationsKey[Waterway])</f>
        <v>Stour</v>
      </c>
      <c r="K359" t="s">
        <v>335</v>
      </c>
      <c r="L359">
        <v>52.045608999999999</v>
      </c>
      <c r="M359">
        <v>-1.6719980000000001</v>
      </c>
      <c r="N359" t="s">
        <v>29</v>
      </c>
      <c r="O359">
        <v>369</v>
      </c>
      <c r="P359">
        <v>6.5</v>
      </c>
      <c r="Q359">
        <v>3.5</v>
      </c>
      <c r="R359" s="7" t="str">
        <f>IF(AllData[[#This Row],[Nitrate (PPM)]]&gt;2, "Very high", IF(AllData[[#This Row],[Nitrate (PPM)]]&gt;1, "High", IF(AllData[[#This Row],[Nitrate (PPM)]]&gt;0.5, "Some evidence", IF(AllData[[#This Row],[Nitrate (PPM)]]&gt;=0, "No evidence"))))</f>
        <v>Very high</v>
      </c>
      <c r="S359" s="4">
        <v>0.71</v>
      </c>
      <c r="T359" s="7" t="str">
        <f>IF(AllData[[#This Row],[Phosphate (PPM)]]&gt;0.5, "Very high", IF(AllData[[#This Row],[Phosphate (PPM)]]&gt;0.1, "High", IF(AllData[[#This Row],[Phosphate (PPM)]]&gt;0.05, "Some evidence", IF(AllData[[#This Row],[Phosphate (PPM)]]&lt;=0.05, "No Evidence", ""))))</f>
        <v>Very high</v>
      </c>
      <c r="U359">
        <v>0.45</v>
      </c>
      <c r="V359" t="s">
        <v>579</v>
      </c>
    </row>
    <row r="360" spans="1:22" x14ac:dyDescent="0.25">
      <c r="A360" t="s">
        <v>580</v>
      </c>
      <c r="B360" s="2">
        <v>45313</v>
      </c>
      <c r="C360" s="2" t="str" cm="1">
        <f t="array" ref="C3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0">
        <v>2023</v>
      </c>
      <c r="E360" s="1">
        <v>0.49236111111111114</v>
      </c>
      <c r="F360" s="2" t="str">
        <f>IF(AND(AllData[[#This Row],[Time]]&lt;0.5, AllData[[#This Row],[Time]]&gt;0.17)=TRUE, "Morning", IF(AND(AllData[[#This Row],[Time]]&lt;0.75, AllData[[#This Row],[Time]]&gt;=0.5)=TRUE, "Afternoon", IF(AND(AllData[[#This Row],[Time]]&lt;1, AllData[[#This Row],[Time]]&gt;=0.75)=TRUE, "Evening", "Night")))</f>
        <v>Morning</v>
      </c>
      <c r="G360" t="str">
        <f>_xlfn.XLOOKUP(AllData[[#This Row],[Location Name]], Locations[Location Name],Locations[Group As])</f>
        <v>Pershore Bridges</v>
      </c>
      <c r="H360" t="e" vm="17">
        <f>_xlfn.XLOOKUP(AllData[[#This Row],[Site Name]],LocationsKey[Site Name],LocationsKey[District])</f>
        <v>#VALUE!</v>
      </c>
      <c r="I360" t="e" vm="18">
        <f>_xlfn.XLOOKUP(AllData[[#This Row],[Site Name]],LocationsKey[Site Name],LocationsKey[Town])</f>
        <v>#VALUE!</v>
      </c>
      <c r="J360" t="str">
        <f>_xlfn.XLOOKUP(AllData[[#This Row],[Site Name]],LocationsKey[Site Name], LocationsKey[Waterway])</f>
        <v>Avon</v>
      </c>
      <c r="K360" t="s">
        <v>581</v>
      </c>
      <c r="L360">
        <v>52.104452999999999</v>
      </c>
      <c r="M360">
        <v>-2.071342</v>
      </c>
      <c r="O360">
        <v>925</v>
      </c>
      <c r="P360">
        <v>10.9</v>
      </c>
      <c r="Q360">
        <v>10</v>
      </c>
      <c r="R360" s="7" t="str">
        <f>IF(AllData[[#This Row],[Nitrate (PPM)]]&gt;2, "Very high", IF(AllData[[#This Row],[Nitrate (PPM)]]&gt;1, "High", IF(AllData[[#This Row],[Nitrate (PPM)]]&gt;0.5, "Some evidence", IF(AllData[[#This Row],[Nitrate (PPM)]]&gt;=0, "No evidence"))))</f>
        <v>Very high</v>
      </c>
      <c r="S360" s="4">
        <v>0.73</v>
      </c>
      <c r="T360" s="7" t="str">
        <f>IF(AllData[[#This Row],[Phosphate (PPM)]]&gt;0.5, "Very high", IF(AllData[[#This Row],[Phosphate (PPM)]]&gt;0.1, "High", IF(AllData[[#This Row],[Phosphate (PPM)]]&gt;0.05, "Some evidence", IF(AllData[[#This Row],[Phosphate (PPM)]]&lt;=0.05, "No Evidence", ""))))</f>
        <v>Very high</v>
      </c>
      <c r="U360">
        <v>3.46</v>
      </c>
    </row>
    <row r="361" spans="1:22" x14ac:dyDescent="0.25">
      <c r="A361" t="s">
        <v>582</v>
      </c>
      <c r="B361" s="2">
        <v>45313</v>
      </c>
      <c r="C361" s="2" t="str" cm="1">
        <f t="array" ref="C3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1">
        <v>2023</v>
      </c>
      <c r="E361" s="1">
        <v>0.50069444444444444</v>
      </c>
      <c r="F361" s="2" t="str">
        <f>IF(AND(AllData[[#This Row],[Time]]&lt;0.5, AllData[[#This Row],[Time]]&gt;0.17)=TRUE, "Morning", IF(AND(AllData[[#This Row],[Time]]&lt;0.75, AllData[[#This Row],[Time]]&gt;=0.5)=TRUE, "Afternoon", IF(AND(AllData[[#This Row],[Time]]&lt;1, AllData[[#This Row],[Time]]&gt;=0.75)=TRUE, "Evening", "Night")))</f>
        <v>Afternoon</v>
      </c>
      <c r="G361" t="str">
        <f>_xlfn.XLOOKUP(AllData[[#This Row],[Location Name]], Locations[Location Name],Locations[Group As])</f>
        <v>Pershore Leisure Centre</v>
      </c>
      <c r="H361" t="e" vm="17">
        <f>_xlfn.XLOOKUP(AllData[[#This Row],[Site Name]],LocationsKey[Site Name],LocationsKey[District])</f>
        <v>#VALUE!</v>
      </c>
      <c r="I361" t="e" vm="18">
        <f>_xlfn.XLOOKUP(AllData[[#This Row],[Site Name]],LocationsKey[Site Name],LocationsKey[Town])</f>
        <v>#VALUE!</v>
      </c>
      <c r="J361" t="str">
        <f>_xlfn.XLOOKUP(AllData[[#This Row],[Site Name]],LocationsKey[Site Name], LocationsKey[Waterway])</f>
        <v>Avon</v>
      </c>
      <c r="K361" t="s">
        <v>583</v>
      </c>
      <c r="L361">
        <v>52.104145000000003</v>
      </c>
      <c r="M361">
        <v>-2.0707439999999999</v>
      </c>
      <c r="O361">
        <v>930</v>
      </c>
      <c r="P361">
        <v>9.9</v>
      </c>
      <c r="Q361">
        <v>10</v>
      </c>
      <c r="R361" s="7" t="str">
        <f>IF(AllData[[#This Row],[Nitrate (PPM)]]&gt;2, "Very high", IF(AllData[[#This Row],[Nitrate (PPM)]]&gt;1, "High", IF(AllData[[#This Row],[Nitrate (PPM)]]&gt;0.5, "Some evidence", IF(AllData[[#This Row],[Nitrate (PPM)]]&gt;=0, "No evidence"))))</f>
        <v>Very high</v>
      </c>
      <c r="S361" s="4">
        <v>0.66</v>
      </c>
      <c r="T361" s="7" t="str">
        <f>IF(AllData[[#This Row],[Phosphate (PPM)]]&gt;0.5, "Very high", IF(AllData[[#This Row],[Phosphate (PPM)]]&gt;0.1, "High", IF(AllData[[#This Row],[Phosphate (PPM)]]&gt;0.05, "Some evidence", IF(AllData[[#This Row],[Phosphate (PPM)]]&lt;=0.05, "No Evidence", ""))))</f>
        <v>Very high</v>
      </c>
      <c r="U361">
        <v>3.46</v>
      </c>
    </row>
    <row r="362" spans="1:22" x14ac:dyDescent="0.25">
      <c r="A362" t="s">
        <v>584</v>
      </c>
      <c r="B362" s="2">
        <v>45315</v>
      </c>
      <c r="C362" s="2" t="str" cm="1">
        <f t="array" ref="C3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2">
        <v>2023</v>
      </c>
      <c r="E362" s="1">
        <v>0.64583333333333337</v>
      </c>
      <c r="F362" s="2" t="str">
        <f>IF(AND(AllData[[#This Row],[Time]]&lt;0.5, AllData[[#This Row],[Time]]&gt;0.17)=TRUE, "Morning", IF(AND(AllData[[#This Row],[Time]]&lt;0.75, AllData[[#This Row],[Time]]&gt;=0.5)=TRUE, "Afternoon", IF(AND(AllData[[#This Row],[Time]]&lt;1, AllData[[#This Row],[Time]]&gt;=0.75)=TRUE, "Evening", "Night")))</f>
        <v>Afternoon</v>
      </c>
      <c r="G362" t="str">
        <f>_xlfn.XLOOKUP(AllData[[#This Row],[Location Name]], Locations[Location Name],Locations[Group As])</f>
        <v>Stour Newbold Mill</v>
      </c>
      <c r="H362" t="e" vm="2">
        <f>_xlfn.XLOOKUP(AllData[[#This Row],[Site Name]],LocationsKey[Site Name],LocationsKey[District])</f>
        <v>#VALUE!</v>
      </c>
      <c r="I362" t="e" vm="8">
        <f>_xlfn.XLOOKUP(AllData[[#This Row],[Site Name]],LocationsKey[Site Name],LocationsKey[Town])</f>
        <v>#VALUE!</v>
      </c>
      <c r="J362" t="str">
        <f>_xlfn.XLOOKUP(AllData[[#This Row],[Site Name]],LocationsKey[Site Name], LocationsKey[Waterway])</f>
        <v>Stour</v>
      </c>
      <c r="K362" t="s">
        <v>140</v>
      </c>
      <c r="L362">
        <v>52.112775999999997</v>
      </c>
      <c r="M362">
        <v>-1.6335150000000001</v>
      </c>
      <c r="N362" t="s">
        <v>29</v>
      </c>
      <c r="O362">
        <v>621</v>
      </c>
      <c r="P362">
        <v>9.8000000000000007</v>
      </c>
      <c r="Q362">
        <v>5</v>
      </c>
      <c r="R362" s="7" t="str">
        <f>IF(AllData[[#This Row],[Nitrate (PPM)]]&gt;2, "Very high", IF(AllData[[#This Row],[Nitrate (PPM)]]&gt;1, "High", IF(AllData[[#This Row],[Nitrate (PPM)]]&gt;0.5, "Some evidence", IF(AllData[[#This Row],[Nitrate (PPM)]]&gt;=0, "No evidence"))))</f>
        <v>Very high</v>
      </c>
      <c r="S362" s="4">
        <v>0.38</v>
      </c>
      <c r="T362" s="7" t="str">
        <f>IF(AllData[[#This Row],[Phosphate (PPM)]]&gt;0.5, "Very high", IF(AllData[[#This Row],[Phosphate (PPM)]]&gt;0.1, "High", IF(AllData[[#This Row],[Phosphate (PPM)]]&gt;0.05, "Some evidence", IF(AllData[[#This Row],[Phosphate (PPM)]]&lt;=0.05, "No Evidence", ""))))</f>
        <v>High</v>
      </c>
      <c r="U362">
        <v>2.5</v>
      </c>
      <c r="V362" t="s">
        <v>585</v>
      </c>
    </row>
    <row r="363" spans="1:22" x14ac:dyDescent="0.25">
      <c r="A363" t="s">
        <v>586</v>
      </c>
      <c r="B363" s="2">
        <v>45316</v>
      </c>
      <c r="C363" s="2" t="str" cm="1">
        <f t="array" ref="C3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3">
        <v>2023</v>
      </c>
      <c r="E363" s="1">
        <v>0.4236111111111111</v>
      </c>
      <c r="F363" s="2" t="str">
        <f>IF(AND(AllData[[#This Row],[Time]]&lt;0.5, AllData[[#This Row],[Time]]&gt;0.17)=TRUE, "Morning", IF(AND(AllData[[#This Row],[Time]]&lt;0.75, AllData[[#This Row],[Time]]&gt;=0.5)=TRUE, "Afternoon", IF(AND(AllData[[#This Row],[Time]]&lt;1, AllData[[#This Row],[Time]]&gt;=0.75)=TRUE, "Evening", "Night")))</f>
        <v>Morning</v>
      </c>
      <c r="G363" t="str">
        <f>_xlfn.XLOOKUP(AllData[[#This Row],[Location Name]], Locations[Location Name],Locations[Group As])</f>
        <v>Stour Willington</v>
      </c>
      <c r="H363" t="e" vm="2">
        <f>_xlfn.XLOOKUP(AllData[[#This Row],[Site Name]],LocationsKey[Site Name],LocationsKey[District])</f>
        <v>#VALUE!</v>
      </c>
      <c r="I363" t="str">
        <f>_xlfn.XLOOKUP(AllData[[#This Row],[Site Name]],LocationsKey[Site Name],LocationsKey[Town])</f>
        <v>Willington</v>
      </c>
      <c r="J363" t="str">
        <f>_xlfn.XLOOKUP(AllData[[#This Row],[Site Name]],LocationsKey[Site Name], LocationsKey[Waterway])</f>
        <v>Stour</v>
      </c>
      <c r="K363" t="s">
        <v>517</v>
      </c>
      <c r="L363">
        <v>52.051000000000002</v>
      </c>
      <c r="M363">
        <v>-1.6140000000000001</v>
      </c>
      <c r="N363" t="s">
        <v>23</v>
      </c>
      <c r="O363">
        <v>620</v>
      </c>
      <c r="P363">
        <v>11.6</v>
      </c>
      <c r="Q363">
        <v>2</v>
      </c>
      <c r="R363" s="7" t="str">
        <f>IF(AllData[[#This Row],[Nitrate (PPM)]]&gt;2, "Very high", IF(AllData[[#This Row],[Nitrate (PPM)]]&gt;1, "High", IF(AllData[[#This Row],[Nitrate (PPM)]]&gt;0.5, "Some evidence", IF(AllData[[#This Row],[Nitrate (PPM)]]&gt;=0, "No evidence"))))</f>
        <v>High</v>
      </c>
      <c r="S363" s="4">
        <v>0.23</v>
      </c>
      <c r="T363" s="7" t="str">
        <f>IF(AllData[[#This Row],[Phosphate (PPM)]]&gt;0.5, "Very high", IF(AllData[[#This Row],[Phosphate (PPM)]]&gt;0.1, "High", IF(AllData[[#This Row],[Phosphate (PPM)]]&gt;0.05, "Some evidence", IF(AllData[[#This Row],[Phosphate (PPM)]]&lt;=0.05, "No Evidence", ""))))</f>
        <v>High</v>
      </c>
      <c r="U363">
        <v>0.5</v>
      </c>
      <c r="V363" t="s">
        <v>587</v>
      </c>
    </row>
    <row r="364" spans="1:22" x14ac:dyDescent="0.25">
      <c r="A364" t="s">
        <v>588</v>
      </c>
      <c r="B364" s="2">
        <v>45316</v>
      </c>
      <c r="C364" s="2" t="str" cm="1">
        <f t="array" ref="C3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4">
        <v>2023</v>
      </c>
      <c r="E364" s="1">
        <v>0.4375</v>
      </c>
      <c r="F364" s="2" t="str">
        <f>IF(AND(AllData[[#This Row],[Time]]&lt;0.5, AllData[[#This Row],[Time]]&gt;0.17)=TRUE, "Morning", IF(AND(AllData[[#This Row],[Time]]&lt;0.75, AllData[[#This Row],[Time]]&gt;=0.5)=TRUE, "Afternoon", IF(AND(AllData[[#This Row],[Time]]&lt;1, AllData[[#This Row],[Time]]&gt;=0.75)=TRUE, "Evening", "Night")))</f>
        <v>Morning</v>
      </c>
      <c r="G364" t="str">
        <f>_xlfn.XLOOKUP(AllData[[#This Row],[Location Name]], Locations[Location Name],Locations[Group As])</f>
        <v>Swilgate</v>
      </c>
      <c r="H364" t="e" vm="1">
        <f>_xlfn.XLOOKUP(AllData[[#This Row],[Site Name]],LocationsKey[Site Name],LocationsKey[District])</f>
        <v>#VALUE!</v>
      </c>
      <c r="I364" t="e" vm="1">
        <f>_xlfn.XLOOKUP(AllData[[#This Row],[Site Name]],LocationsKey[Site Name],LocationsKey[Town])</f>
        <v>#VALUE!</v>
      </c>
      <c r="J364" t="str">
        <f>_xlfn.XLOOKUP(AllData[[#This Row],[Site Name]],LocationsKey[Site Name], LocationsKey[Waterway])</f>
        <v>Swilgate</v>
      </c>
      <c r="K364" t="s">
        <v>84</v>
      </c>
      <c r="N364" t="s">
        <v>23</v>
      </c>
      <c r="O364">
        <v>999</v>
      </c>
      <c r="P364">
        <v>9.6999999999999993</v>
      </c>
      <c r="Q364">
        <v>3</v>
      </c>
      <c r="R364" s="7" t="str">
        <f>IF(AllData[[#This Row],[Nitrate (PPM)]]&gt;2, "Very high", IF(AllData[[#This Row],[Nitrate (PPM)]]&gt;1, "High", IF(AllData[[#This Row],[Nitrate (PPM)]]&gt;0.5, "Some evidence", IF(AllData[[#This Row],[Nitrate (PPM)]]&gt;=0, "No evidence"))))</f>
        <v>Very high</v>
      </c>
      <c r="S364" s="4">
        <v>0.42</v>
      </c>
      <c r="T364" s="7" t="str">
        <f>IF(AllData[[#This Row],[Phosphate (PPM)]]&gt;0.5, "Very high", IF(AllData[[#This Row],[Phosphate (PPM)]]&gt;0.1, "High", IF(AllData[[#This Row],[Phosphate (PPM)]]&gt;0.05, "Some evidence", IF(AllData[[#This Row],[Phosphate (PPM)]]&lt;=0.05, "No Evidence", ""))))</f>
        <v>High</v>
      </c>
      <c r="U364">
        <v>1</v>
      </c>
      <c r="V364" t="s">
        <v>589</v>
      </c>
    </row>
    <row r="365" spans="1:22" x14ac:dyDescent="0.25">
      <c r="A365" t="s">
        <v>590</v>
      </c>
      <c r="B365" s="2">
        <v>45316</v>
      </c>
      <c r="C365" s="2" t="str" cm="1">
        <f t="array" ref="C3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5">
        <v>2023</v>
      </c>
      <c r="E365" s="1">
        <v>0.57847222222222228</v>
      </c>
      <c r="F365" s="2" t="str">
        <f>IF(AND(AllData[[#This Row],[Time]]&lt;0.5, AllData[[#This Row],[Time]]&gt;0.17)=TRUE, "Morning", IF(AND(AllData[[#This Row],[Time]]&lt;0.75, AllData[[#This Row],[Time]]&gt;=0.5)=TRUE, "Afternoon", IF(AND(AllData[[#This Row],[Time]]&lt;1, AllData[[#This Row],[Time]]&gt;=0.75)=TRUE, "Evening", "Night")))</f>
        <v>Afternoon</v>
      </c>
      <c r="G365" t="str">
        <f>_xlfn.XLOOKUP(AllData[[#This Row],[Location Name]], Locations[Location Name],Locations[Group As])</f>
        <v>Preston-on-Stour River Bridge</v>
      </c>
      <c r="H365" t="e" vm="2">
        <f>_xlfn.XLOOKUP(AllData[[#This Row],[Site Name]],LocationsKey[Site Name],LocationsKey[District])</f>
        <v>#VALUE!</v>
      </c>
      <c r="I365" t="e" vm="9">
        <f>_xlfn.XLOOKUP(AllData[[#This Row],[Site Name]],LocationsKey[Site Name],LocationsKey[Town])</f>
        <v>#VALUE!</v>
      </c>
      <c r="J365" t="str">
        <f>_xlfn.XLOOKUP(AllData[[#This Row],[Site Name]],LocationsKey[Site Name], LocationsKey[Waterway])</f>
        <v>Stour</v>
      </c>
      <c r="K365" t="s">
        <v>163</v>
      </c>
      <c r="L365">
        <v>52.146572999999997</v>
      </c>
      <c r="M365">
        <v>-1.6991149999999999</v>
      </c>
      <c r="N365" t="s">
        <v>29</v>
      </c>
      <c r="O365" s="219">
        <v>653</v>
      </c>
      <c r="P365">
        <v>9.5</v>
      </c>
      <c r="Q365" s="219">
        <v>5</v>
      </c>
      <c r="R365" s="7" t="str">
        <f>IF(AllData[[#This Row],[Nitrate (PPM)]]&gt;2, "Very high", IF(AllData[[#This Row],[Nitrate (PPM)]]&gt;1, "High", IF(AllData[[#This Row],[Nitrate (PPM)]]&gt;0.5, "Some evidence", IF(AllData[[#This Row],[Nitrate (PPM)]]&gt;=0, "No evidence"))))</f>
        <v>Very high</v>
      </c>
      <c r="S365" s="221">
        <v>0.26</v>
      </c>
      <c r="T365" s="7" t="str">
        <f>IF(AllData[[#This Row],[Phosphate (PPM)]]&gt;0.5, "Very high", IF(AllData[[#This Row],[Phosphate (PPM)]]&gt;0.1, "High", IF(AllData[[#This Row],[Phosphate (PPM)]]&gt;0.05, "Some evidence", IF(AllData[[#This Row],[Phosphate (PPM)]]&lt;=0.05, "No Evidence", ""))))</f>
        <v>High</v>
      </c>
      <c r="U365">
        <v>1.5</v>
      </c>
    </row>
    <row r="366" spans="1:22" x14ac:dyDescent="0.25">
      <c r="A366" t="s">
        <v>591</v>
      </c>
      <c r="B366" s="2">
        <v>45317</v>
      </c>
      <c r="C366" s="2" t="str" cm="1">
        <f t="array" ref="C3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6">
        <v>2023</v>
      </c>
      <c r="E366" s="1">
        <v>0.45902777777777776</v>
      </c>
      <c r="F366" s="2" t="str">
        <f>IF(AND(AllData[[#This Row],[Time]]&lt;0.5, AllData[[#This Row],[Time]]&gt;0.17)=TRUE, "Morning", IF(AND(AllData[[#This Row],[Time]]&lt;0.75, AllData[[#This Row],[Time]]&gt;=0.5)=TRUE, "Afternoon", IF(AND(AllData[[#This Row],[Time]]&lt;1, AllData[[#This Row],[Time]]&gt;=0.75)=TRUE, "Evening", "Night")))</f>
        <v>Morning</v>
      </c>
      <c r="G366" t="str">
        <f>_xlfn.XLOOKUP(AllData[[#This Row],[Location Name]], Locations[Location Name],Locations[Group As])</f>
        <v>Lower Lode</v>
      </c>
      <c r="H366" t="e" vm="1">
        <f>_xlfn.XLOOKUP(AllData[[#This Row],[Site Name]],LocationsKey[Site Name],LocationsKey[District])</f>
        <v>#VALUE!</v>
      </c>
      <c r="I366" t="e" vm="1">
        <f>_xlfn.XLOOKUP(AllData[[#This Row],[Site Name]],LocationsKey[Site Name],LocationsKey[Town])</f>
        <v>#VALUE!</v>
      </c>
      <c r="J366" t="str">
        <f>_xlfn.XLOOKUP(AllData[[#This Row],[Site Name]],LocationsKey[Site Name], LocationsKey[Waterway])</f>
        <v>Avon</v>
      </c>
      <c r="K366" t="s">
        <v>592</v>
      </c>
      <c r="L366">
        <v>51.985100000000003</v>
      </c>
      <c r="M366">
        <v>-2.1742699999999999</v>
      </c>
      <c r="N366" t="s">
        <v>29</v>
      </c>
      <c r="O366">
        <v>822</v>
      </c>
      <c r="P366">
        <v>9</v>
      </c>
      <c r="Q366">
        <v>10</v>
      </c>
      <c r="R366" s="7" t="str">
        <f>IF(AllData[[#This Row],[Nitrate (PPM)]]&gt;2, "Very high", IF(AllData[[#This Row],[Nitrate (PPM)]]&gt;1, "High", IF(AllData[[#This Row],[Nitrate (PPM)]]&gt;0.5, "Some evidence", IF(AllData[[#This Row],[Nitrate (PPM)]]&gt;=0, "No evidence"))))</f>
        <v>Very high</v>
      </c>
      <c r="S366" s="4">
        <v>0.28999999999999998</v>
      </c>
      <c r="T366" s="7" t="str">
        <f>IF(AllData[[#This Row],[Phosphate (PPM)]]&gt;0.5, "Very high", IF(AllData[[#This Row],[Phosphate (PPM)]]&gt;0.1, "High", IF(AllData[[#This Row],[Phosphate (PPM)]]&gt;0.05, "Some evidence", IF(AllData[[#This Row],[Phosphate (PPM)]]&lt;=0.05, "No Evidence", ""))))</f>
        <v>High</v>
      </c>
      <c r="U366">
        <v>2</v>
      </c>
      <c r="V366" t="s">
        <v>593</v>
      </c>
    </row>
    <row r="367" spans="1:22" x14ac:dyDescent="0.25">
      <c r="A367" t="s">
        <v>594</v>
      </c>
      <c r="B367" s="2">
        <v>45317</v>
      </c>
      <c r="C367" s="2" t="str" cm="1">
        <f t="array" ref="C3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7">
        <v>2023</v>
      </c>
      <c r="E367" s="1">
        <v>0.64236111111111116</v>
      </c>
      <c r="F367" s="2" t="str">
        <f>IF(AND(AllData[[#This Row],[Time]]&lt;0.5, AllData[[#This Row],[Time]]&gt;0.17)=TRUE, "Morning", IF(AND(AllData[[#This Row],[Time]]&lt;0.75, AllData[[#This Row],[Time]]&gt;=0.5)=TRUE, "Afternoon", IF(AND(AllData[[#This Row],[Time]]&lt;1, AllData[[#This Row],[Time]]&gt;=0.75)=TRUE, "Evening", "Night")))</f>
        <v>Afternoon</v>
      </c>
      <c r="G367" t="str">
        <f>_xlfn.XLOOKUP(AllData[[#This Row],[Location Name]], Locations[Location Name],Locations[Group As])</f>
        <v>Twyning Fleet</v>
      </c>
      <c r="H367" t="e" vm="1">
        <f>_xlfn.XLOOKUP(AllData[[#This Row],[Site Name]],LocationsKey[Site Name],LocationsKey[District])</f>
        <v>#VALUE!</v>
      </c>
      <c r="I367" t="str">
        <f>_xlfn.XLOOKUP(AllData[[#This Row],[Site Name]],LocationsKey[Site Name],LocationsKey[Town])</f>
        <v>Twyning Green</v>
      </c>
      <c r="J367" t="str">
        <f>_xlfn.XLOOKUP(AllData[[#This Row],[Site Name]],LocationsKey[Site Name], LocationsKey[Waterway])</f>
        <v>Avon</v>
      </c>
      <c r="K367" t="s">
        <v>54</v>
      </c>
      <c r="L367">
        <v>52.027436999999999</v>
      </c>
      <c r="M367">
        <v>-2.1407449999999999</v>
      </c>
      <c r="N367" t="s">
        <v>29</v>
      </c>
      <c r="O367">
        <v>1580</v>
      </c>
      <c r="P367">
        <v>10.4</v>
      </c>
      <c r="Q367">
        <v>3</v>
      </c>
      <c r="R367" s="7" t="str">
        <f>IF(AllData[[#This Row],[Nitrate (PPM)]]&gt;2, "Very high", IF(AllData[[#This Row],[Nitrate (PPM)]]&gt;1, "High", IF(AllData[[#This Row],[Nitrate (PPM)]]&gt;0.5, "Some evidence", IF(AllData[[#This Row],[Nitrate (PPM)]]&gt;=0, "No evidence"))))</f>
        <v>Very high</v>
      </c>
      <c r="S367" s="4">
        <v>0.68</v>
      </c>
      <c r="T367" s="7" t="str">
        <f>IF(AllData[[#This Row],[Phosphate (PPM)]]&gt;0.5, "Very high", IF(AllData[[#This Row],[Phosphate (PPM)]]&gt;0.1, "High", IF(AllData[[#This Row],[Phosphate (PPM)]]&gt;0.05, "Some evidence", IF(AllData[[#This Row],[Phosphate (PPM)]]&lt;=0.05, "No Evidence", ""))))</f>
        <v>Very high</v>
      </c>
      <c r="U367">
        <v>0</v>
      </c>
      <c r="V367" t="s">
        <v>595</v>
      </c>
    </row>
    <row r="368" spans="1:22" x14ac:dyDescent="0.25">
      <c r="A368" t="s">
        <v>596</v>
      </c>
      <c r="B368" s="2">
        <v>45318</v>
      </c>
      <c r="C368" s="2" t="str" cm="1">
        <f t="array" ref="C3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8">
        <v>2023</v>
      </c>
      <c r="E368" s="1">
        <v>0.46458333333333335</v>
      </c>
      <c r="F368" s="2" t="str">
        <f>IF(AND(AllData[[#This Row],[Time]]&lt;0.5, AllData[[#This Row],[Time]]&gt;0.17)=TRUE, "Morning", IF(AND(AllData[[#This Row],[Time]]&lt;0.75, AllData[[#This Row],[Time]]&gt;=0.5)=TRUE, "Afternoon", IF(AND(AllData[[#This Row],[Time]]&lt;1, AllData[[#This Row],[Time]]&gt;=0.75)=TRUE, "Evening", "Night")))</f>
        <v>Morning</v>
      </c>
      <c r="G368" t="str">
        <f>_xlfn.XLOOKUP(AllData[[#This Row],[Location Name]], Locations[Location Name],Locations[Group As])</f>
        <v>The Ford, Langley</v>
      </c>
      <c r="H368" t="e" vm="2">
        <f>_xlfn.XLOOKUP(AllData[[#This Row],[Site Name]],LocationsKey[Site Name],LocationsKey[District])</f>
        <v>#VALUE!</v>
      </c>
      <c r="I368" t="str">
        <f>_xlfn.XLOOKUP(AllData[[#This Row],[Site Name]],LocationsKey[Site Name],LocationsKey[Town])</f>
        <v>Langley</v>
      </c>
      <c r="J368" t="str">
        <f>_xlfn.XLOOKUP(AllData[[#This Row],[Site Name]],LocationsKey[Site Name], LocationsKey[Waterway])</f>
        <v>Langley Ford</v>
      </c>
      <c r="K368" t="s">
        <v>557</v>
      </c>
      <c r="L368">
        <v>52.259639</v>
      </c>
      <c r="M368">
        <v>-1.7181999999999999</v>
      </c>
      <c r="N368" t="s">
        <v>29</v>
      </c>
      <c r="O368">
        <v>705</v>
      </c>
      <c r="P368">
        <v>6.9</v>
      </c>
      <c r="Q368">
        <v>5</v>
      </c>
      <c r="R368" s="7" t="str">
        <f>IF(AllData[[#This Row],[Nitrate (PPM)]]&gt;2, "Very high", IF(AllData[[#This Row],[Nitrate (PPM)]]&gt;1, "High", IF(AllData[[#This Row],[Nitrate (PPM)]]&gt;0.5, "Some evidence", IF(AllData[[#This Row],[Nitrate (PPM)]]&gt;=0, "No evidence"))))</f>
        <v>Very high</v>
      </c>
      <c r="S368" s="4">
        <v>0.62</v>
      </c>
      <c r="T368" s="7" t="str">
        <f>IF(AllData[[#This Row],[Phosphate (PPM)]]&gt;0.5, "Very high", IF(AllData[[#This Row],[Phosphate (PPM)]]&gt;0.1, "High", IF(AllData[[#This Row],[Phosphate (PPM)]]&gt;0.05, "Some evidence", IF(AllData[[#This Row],[Phosphate (PPM)]]&lt;=0.05, "No Evidence", ""))))</f>
        <v>Very high</v>
      </c>
      <c r="U368">
        <v>0.32</v>
      </c>
      <c r="V368" t="s">
        <v>597</v>
      </c>
    </row>
    <row r="369" spans="1:22" x14ac:dyDescent="0.25">
      <c r="A369" t="s">
        <v>598</v>
      </c>
      <c r="B369" s="2">
        <v>45318</v>
      </c>
      <c r="C369" s="2" t="str" cm="1">
        <f t="array" ref="C3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9">
        <v>2023</v>
      </c>
      <c r="E369" s="1">
        <v>0.46805555555555556</v>
      </c>
      <c r="F369" s="2" t="str">
        <f>IF(AND(AllData[[#This Row],[Time]]&lt;0.5, AllData[[#This Row],[Time]]&gt;0.17)=TRUE, "Morning", IF(AND(AllData[[#This Row],[Time]]&lt;0.75, AllData[[#This Row],[Time]]&gt;=0.5)=TRUE, "Afternoon", IF(AND(AllData[[#This Row],[Time]]&lt;1, AllData[[#This Row],[Time]]&gt;=0.75)=TRUE, "Evening", "Night")))</f>
        <v>Morning</v>
      </c>
      <c r="G369" t="str">
        <f>_xlfn.XLOOKUP(AllData[[#This Row],[Location Name]], Locations[Location Name],Locations[Group As])</f>
        <v>Black Bear</v>
      </c>
      <c r="H369" t="e" vm="1">
        <f>_xlfn.XLOOKUP(AllData[[#This Row],[Site Name]],LocationsKey[Site Name],LocationsKey[District])</f>
        <v>#VALUE!</v>
      </c>
      <c r="I369" t="e" vm="1">
        <f>_xlfn.XLOOKUP(AllData[[#This Row],[Site Name]],LocationsKey[Site Name],LocationsKey[Town])</f>
        <v>#VALUE!</v>
      </c>
      <c r="J369" t="str">
        <f>_xlfn.XLOOKUP(AllData[[#This Row],[Site Name]],LocationsKey[Site Name], LocationsKey[Waterway])</f>
        <v>Avon</v>
      </c>
      <c r="K369" t="s">
        <v>567</v>
      </c>
      <c r="L369">
        <v>51.997509000000001</v>
      </c>
      <c r="M369">
        <v>-2.1560800000000002</v>
      </c>
      <c r="N369" t="s">
        <v>23</v>
      </c>
      <c r="O369">
        <v>834</v>
      </c>
      <c r="P369">
        <v>8.3000000000000007</v>
      </c>
      <c r="Q369">
        <v>9</v>
      </c>
      <c r="R369" s="7" t="str">
        <f>IF(AllData[[#This Row],[Nitrate (PPM)]]&gt;2, "Very high", IF(AllData[[#This Row],[Nitrate (PPM)]]&gt;1, "High", IF(AllData[[#This Row],[Nitrate (PPM)]]&gt;0.5, "Some evidence", IF(AllData[[#This Row],[Nitrate (PPM)]]&gt;=0, "No evidence"))))</f>
        <v>Very high</v>
      </c>
      <c r="S369" s="4">
        <v>0.83</v>
      </c>
      <c r="T369" s="7" t="str">
        <f>IF(AllData[[#This Row],[Phosphate (PPM)]]&gt;0.5, "Very high", IF(AllData[[#This Row],[Phosphate (PPM)]]&gt;0.1, "High", IF(AllData[[#This Row],[Phosphate (PPM)]]&gt;0.05, "Some evidence", IF(AllData[[#This Row],[Phosphate (PPM)]]&lt;=0.05, "No Evidence", ""))))</f>
        <v>Very high</v>
      </c>
      <c r="U369">
        <v>0</v>
      </c>
    </row>
    <row r="370" spans="1:22" x14ac:dyDescent="0.25">
      <c r="A370" t="s">
        <v>599</v>
      </c>
      <c r="B370" s="2">
        <v>45318</v>
      </c>
      <c r="C370" s="2" t="str" cm="1">
        <f t="array" ref="C3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0">
        <v>2023</v>
      </c>
      <c r="E370" s="1">
        <v>0.5</v>
      </c>
      <c r="F370" s="2" t="str">
        <f>IF(AND(AllData[[#This Row],[Time]]&lt;0.5, AllData[[#This Row],[Time]]&gt;0.17)=TRUE, "Morning", IF(AND(AllData[[#This Row],[Time]]&lt;0.75, AllData[[#This Row],[Time]]&gt;=0.5)=TRUE, "Afternoon", IF(AND(AllData[[#This Row],[Time]]&lt;1, AllData[[#This Row],[Time]]&gt;=0.75)=TRUE, "Evening", "Night")))</f>
        <v>Afternoon</v>
      </c>
      <c r="G370" t="str">
        <f>_xlfn.XLOOKUP(AllData[[#This Row],[Location Name]], Locations[Location Name],Locations[Group As])</f>
        <v>Carrant Bredon Rd</v>
      </c>
      <c r="H370" t="e" vm="1">
        <f>_xlfn.XLOOKUP(AllData[[#This Row],[Site Name]],LocationsKey[Site Name],LocationsKey[District])</f>
        <v>#VALUE!</v>
      </c>
      <c r="I370" t="e" vm="1">
        <f>_xlfn.XLOOKUP(AllData[[#This Row],[Site Name]],LocationsKey[Site Name],LocationsKey[Town])</f>
        <v>#VALUE!</v>
      </c>
      <c r="J370" t="str">
        <f>_xlfn.XLOOKUP(AllData[[#This Row],[Site Name]],LocationsKey[Site Name], LocationsKey[Waterway])</f>
        <v>Carrant</v>
      </c>
      <c r="K370" t="s">
        <v>600</v>
      </c>
      <c r="L370">
        <v>51.996360000000003</v>
      </c>
      <c r="M370">
        <v>-2.1560489999999999</v>
      </c>
      <c r="N370" t="s">
        <v>23</v>
      </c>
      <c r="O370">
        <v>772</v>
      </c>
      <c r="P370">
        <v>8.1</v>
      </c>
      <c r="Q370">
        <v>4</v>
      </c>
      <c r="R370" s="7" t="str">
        <f>IF(AllData[[#This Row],[Nitrate (PPM)]]&gt;2, "Very high", IF(AllData[[#This Row],[Nitrate (PPM)]]&gt;1, "High", IF(AllData[[#This Row],[Nitrate (PPM)]]&gt;0.5, "Some evidence", IF(AllData[[#This Row],[Nitrate (PPM)]]&gt;=0, "No evidence"))))</f>
        <v>Very high</v>
      </c>
      <c r="S370" s="4">
        <v>0.2</v>
      </c>
      <c r="T370" s="7" t="str">
        <f>IF(AllData[[#This Row],[Phosphate (PPM)]]&gt;0.5, "Very high", IF(AllData[[#This Row],[Phosphate (PPM)]]&gt;0.1, "High", IF(AllData[[#This Row],[Phosphate (PPM)]]&gt;0.05, "Some evidence", IF(AllData[[#This Row],[Phosphate (PPM)]]&lt;=0.05, "No Evidence", ""))))</f>
        <v>High</v>
      </c>
      <c r="U370">
        <v>0.3</v>
      </c>
    </row>
    <row r="371" spans="1:22" x14ac:dyDescent="0.25">
      <c r="A371" t="s">
        <v>601</v>
      </c>
      <c r="B371" s="2">
        <v>45319</v>
      </c>
      <c r="C371" s="2" t="str" cm="1">
        <f t="array" ref="C3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1">
        <v>2023</v>
      </c>
      <c r="E371" s="1">
        <v>0.4513888888888889</v>
      </c>
      <c r="F371" s="2" t="str">
        <f>IF(AND(AllData[[#This Row],[Time]]&lt;0.5, AllData[[#This Row],[Time]]&gt;0.17)=TRUE, "Morning", IF(AND(AllData[[#This Row],[Time]]&lt;0.75, AllData[[#This Row],[Time]]&gt;=0.5)=TRUE, "Afternoon", IF(AND(AllData[[#This Row],[Time]]&lt;1, AllData[[#This Row],[Time]]&gt;=0.75)=TRUE, "Evening", "Night")))</f>
        <v>Morning</v>
      </c>
      <c r="G371" t="str">
        <f>_xlfn.XLOOKUP(AllData[[#This Row],[Location Name]], Locations[Location Name],Locations[Group As])</f>
        <v>Fell Mill Footbridge</v>
      </c>
      <c r="H371" t="e" vm="2">
        <f>_xlfn.XLOOKUP(AllData[[#This Row],[Site Name]],LocationsKey[Site Name],LocationsKey[District])</f>
        <v>#VALUE!</v>
      </c>
      <c r="I371" t="e" vm="10">
        <f>_xlfn.XLOOKUP(AllData[[#This Row],[Site Name]],LocationsKey[Site Name],LocationsKey[Town])</f>
        <v>#VALUE!</v>
      </c>
      <c r="J371" t="str">
        <f>_xlfn.XLOOKUP(AllData[[#This Row],[Site Name]],LocationsKey[Site Name], LocationsKey[Waterway])</f>
        <v>Stour</v>
      </c>
      <c r="K371" t="s">
        <v>496</v>
      </c>
      <c r="L371">
        <v>52.070131000000003</v>
      </c>
      <c r="M371">
        <v>-1.6114869999999999</v>
      </c>
      <c r="N371" t="s">
        <v>29</v>
      </c>
      <c r="O371">
        <v>622</v>
      </c>
      <c r="P371">
        <v>6.9</v>
      </c>
      <c r="Q371">
        <v>5</v>
      </c>
      <c r="R371" s="7" t="str">
        <f>IF(AllData[[#This Row],[Nitrate (PPM)]]&gt;2, "Very high", IF(AllData[[#This Row],[Nitrate (PPM)]]&gt;1, "High", IF(AllData[[#This Row],[Nitrate (PPM)]]&gt;0.5, "Some evidence", IF(AllData[[#This Row],[Nitrate (PPM)]]&gt;=0, "No evidence"))))</f>
        <v>Very high</v>
      </c>
      <c r="S371" s="4">
        <v>0.19</v>
      </c>
      <c r="T371" s="7" t="str">
        <f>IF(AllData[[#This Row],[Phosphate (PPM)]]&gt;0.5, "Very high", IF(AllData[[#This Row],[Phosphate (PPM)]]&gt;0.1, "High", IF(AllData[[#This Row],[Phosphate (PPM)]]&gt;0.05, "Some evidence", IF(AllData[[#This Row],[Phosphate (PPM)]]&lt;=0.05, "No Evidence", ""))))</f>
        <v>High</v>
      </c>
      <c r="U371">
        <v>1.22</v>
      </c>
    </row>
    <row r="372" spans="1:22" x14ac:dyDescent="0.25">
      <c r="A372" t="s">
        <v>602</v>
      </c>
      <c r="B372" s="2">
        <v>45319</v>
      </c>
      <c r="C372" s="2" t="str" cm="1">
        <f t="array" ref="C3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2">
        <v>2023</v>
      </c>
      <c r="E372" s="1">
        <v>0.58402777777777781</v>
      </c>
      <c r="F372" s="2" t="str">
        <f>IF(AND(AllData[[#This Row],[Time]]&lt;0.5, AllData[[#This Row],[Time]]&gt;0.17)=TRUE, "Morning", IF(AND(AllData[[#This Row],[Time]]&lt;0.75, AllData[[#This Row],[Time]]&gt;=0.5)=TRUE, "Afternoon", IF(AND(AllData[[#This Row],[Time]]&lt;1, AllData[[#This Row],[Time]]&gt;=0.75)=TRUE, "Evening", "Night")))</f>
        <v>Afternoon</v>
      </c>
      <c r="G372" t="str">
        <f>_xlfn.XLOOKUP(AllData[[#This Row],[Location Name]], Locations[Location Name],Locations[Group As])</f>
        <v>Abbey Mill</v>
      </c>
      <c r="H372" t="e" vm="1">
        <f>_xlfn.XLOOKUP(AllData[[#This Row],[Site Name]],LocationsKey[Site Name],LocationsKey[District])</f>
        <v>#VALUE!</v>
      </c>
      <c r="I372" t="e" vm="1">
        <f>_xlfn.XLOOKUP(AllData[[#This Row],[Site Name]],LocationsKey[Site Name],LocationsKey[Town])</f>
        <v>#VALUE!</v>
      </c>
      <c r="J372" t="str">
        <f>_xlfn.XLOOKUP(AllData[[#This Row],[Site Name]],LocationsKey[Site Name], LocationsKey[Waterway])</f>
        <v>Avon</v>
      </c>
      <c r="K372" t="s">
        <v>25</v>
      </c>
      <c r="L372">
        <v>51.991171999999999</v>
      </c>
      <c r="M372">
        <v>-2.162588</v>
      </c>
      <c r="N372" t="s">
        <v>23</v>
      </c>
      <c r="O372" s="219">
        <v>793</v>
      </c>
      <c r="P372">
        <v>8.8000000000000007</v>
      </c>
      <c r="Q372" s="219">
        <v>5</v>
      </c>
      <c r="R372" s="7" t="str">
        <f>IF(AllData[[#This Row],[Nitrate (PPM)]]&gt;2, "Very high", IF(AllData[[#This Row],[Nitrate (PPM)]]&gt;1, "High", IF(AllData[[#This Row],[Nitrate (PPM)]]&gt;0.5, "Some evidence", IF(AllData[[#This Row],[Nitrate (PPM)]]&gt;=0, "No evidence"))))</f>
        <v>Very high</v>
      </c>
      <c r="S372" s="221">
        <v>0.69</v>
      </c>
      <c r="T372" s="7" t="str">
        <f>IF(AllData[[#This Row],[Phosphate (PPM)]]&gt;0.5, "Very high", IF(AllData[[#This Row],[Phosphate (PPM)]]&gt;0.1, "High", IF(AllData[[#This Row],[Phosphate (PPM)]]&gt;0.05, "Some evidence", IF(AllData[[#This Row],[Phosphate (PPM)]]&lt;=0.05, "No Evidence", ""))))</f>
        <v>Very high</v>
      </c>
      <c r="U372">
        <v>0.5</v>
      </c>
    </row>
    <row r="373" spans="1:22" x14ac:dyDescent="0.25">
      <c r="A373" t="s">
        <v>603</v>
      </c>
      <c r="B373" s="2">
        <v>45319</v>
      </c>
      <c r="C373" s="2" t="str" cm="1">
        <f t="array" ref="C3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3">
        <v>2023</v>
      </c>
      <c r="E373" s="1">
        <v>0.61805555555555558</v>
      </c>
      <c r="F373" s="2" t="str">
        <f>IF(AND(AllData[[#This Row],[Time]]&lt;0.5, AllData[[#This Row],[Time]]&gt;0.17)=TRUE, "Morning", IF(AND(AllData[[#This Row],[Time]]&lt;0.75, AllData[[#This Row],[Time]]&gt;=0.5)=TRUE, "Afternoon", IF(AND(AllData[[#This Row],[Time]]&lt;1, AllData[[#This Row],[Time]]&gt;=0.75)=TRUE, "Evening", "Night")))</f>
        <v>Afternoon</v>
      </c>
      <c r="G373" t="str">
        <f>_xlfn.XLOOKUP(AllData[[#This Row],[Location Name]], Locations[Location Name],Locations[Group As])</f>
        <v>Clifford Chambers Mill Bridge</v>
      </c>
      <c r="H373" t="e" vm="2">
        <f>_xlfn.XLOOKUP(AllData[[#This Row],[Site Name]],LocationsKey[Site Name],LocationsKey[District])</f>
        <v>#VALUE!</v>
      </c>
      <c r="I373" t="e" vm="12">
        <f>_xlfn.XLOOKUP(AllData[[#This Row],[Site Name]],LocationsKey[Site Name],LocationsKey[Town])</f>
        <v>#VALUE!</v>
      </c>
      <c r="J373" t="str">
        <f>_xlfn.XLOOKUP(AllData[[#This Row],[Site Name]],LocationsKey[Site Name], LocationsKey[Waterway])</f>
        <v>Stour</v>
      </c>
      <c r="K373" t="s">
        <v>263</v>
      </c>
      <c r="L373">
        <v>52.166370000000001</v>
      </c>
      <c r="M373">
        <v>-1.708032</v>
      </c>
      <c r="N373" t="s">
        <v>66</v>
      </c>
      <c r="O373">
        <v>640</v>
      </c>
      <c r="P373">
        <v>9.5</v>
      </c>
      <c r="Q373">
        <v>7</v>
      </c>
      <c r="R373" s="7" t="str">
        <f>IF(AllData[[#This Row],[Nitrate (PPM)]]&gt;2, "Very high", IF(AllData[[#This Row],[Nitrate (PPM)]]&gt;1, "High", IF(AllData[[#This Row],[Nitrate (PPM)]]&gt;0.5, "Some evidence", IF(AllData[[#This Row],[Nitrate (PPM)]]&gt;=0, "No evidence"))))</f>
        <v>Very high</v>
      </c>
      <c r="S373" s="4">
        <v>0.65</v>
      </c>
      <c r="T373" s="7" t="str">
        <f>IF(AllData[[#This Row],[Phosphate (PPM)]]&gt;0.5, "Very high", IF(AllData[[#This Row],[Phosphate (PPM)]]&gt;0.1, "High", IF(AllData[[#This Row],[Phosphate (PPM)]]&gt;0.05, "Some evidence", IF(AllData[[#This Row],[Phosphate (PPM)]]&lt;=0.05, "No Evidence", ""))))</f>
        <v>Very high</v>
      </c>
      <c r="U373">
        <v>0.8</v>
      </c>
      <c r="V373" t="s">
        <v>529</v>
      </c>
    </row>
    <row r="374" spans="1:22" x14ac:dyDescent="0.25">
      <c r="A374" t="s">
        <v>604</v>
      </c>
      <c r="B374" s="2">
        <v>45319</v>
      </c>
      <c r="C374" s="2" t="str" cm="1">
        <f t="array" ref="C3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4">
        <v>2023</v>
      </c>
      <c r="E374" s="1">
        <v>0.625</v>
      </c>
      <c r="F374" s="2" t="str">
        <f>IF(AND(AllData[[#This Row],[Time]]&lt;0.5, AllData[[#This Row],[Time]]&gt;0.17)=TRUE, "Morning", IF(AND(AllData[[#This Row],[Time]]&lt;0.75, AllData[[#This Row],[Time]]&gt;=0.5)=TRUE, "Afternoon", IF(AND(AllData[[#This Row],[Time]]&lt;1, AllData[[#This Row],[Time]]&gt;=0.75)=TRUE, "Evening", "Night")))</f>
        <v>Afternoon</v>
      </c>
      <c r="G374" t="str">
        <f>_xlfn.XLOOKUP(AllData[[#This Row],[Location Name]], Locations[Location Name],Locations[Group As])</f>
        <v>Sherbourne Brook 1</v>
      </c>
      <c r="H374" t="e" vm="2">
        <f>_xlfn.XLOOKUP(AllData[[#This Row],[Site Name]],LocationsKey[Site Name],LocationsKey[District])</f>
        <v>#VALUE!</v>
      </c>
      <c r="I374" t="e" vm="16">
        <f>_xlfn.XLOOKUP(AllData[[#This Row],[Site Name]],LocationsKey[Site Name],LocationsKey[Town])</f>
        <v>#VALUE!</v>
      </c>
      <c r="J374" t="str">
        <f>_xlfn.XLOOKUP(AllData[[#This Row],[Site Name]],LocationsKey[Site Name], LocationsKey[Waterway])</f>
        <v>Sherbourne Brook</v>
      </c>
      <c r="K374" t="s">
        <v>570</v>
      </c>
      <c r="L374">
        <v>52.252499999999998</v>
      </c>
      <c r="M374">
        <v>-1.6685000000000001</v>
      </c>
      <c r="N374" t="s">
        <v>23</v>
      </c>
      <c r="O374">
        <v>1060</v>
      </c>
      <c r="P374">
        <v>8.9</v>
      </c>
      <c r="Q374">
        <v>6</v>
      </c>
      <c r="R374" s="7" t="str">
        <f>IF(AllData[[#This Row],[Nitrate (PPM)]]&gt;2, "Very high", IF(AllData[[#This Row],[Nitrate (PPM)]]&gt;1, "High", IF(AllData[[#This Row],[Nitrate (PPM)]]&gt;0.5, "Some evidence", IF(AllData[[#This Row],[Nitrate (PPM)]]&gt;=0, "No evidence"))))</f>
        <v>Very high</v>
      </c>
      <c r="S374" s="4">
        <v>0.43</v>
      </c>
      <c r="T374" s="7" t="str">
        <f>IF(AllData[[#This Row],[Phosphate (PPM)]]&gt;0.5, "Very high", IF(AllData[[#This Row],[Phosphate (PPM)]]&gt;0.1, "High", IF(AllData[[#This Row],[Phosphate (PPM)]]&gt;0.05, "Some evidence", IF(AllData[[#This Row],[Phosphate (PPM)]]&lt;=0.05, "No Evidence", ""))))</f>
        <v>High</v>
      </c>
      <c r="U374">
        <v>0.5</v>
      </c>
    </row>
    <row r="375" spans="1:22" x14ac:dyDescent="0.25">
      <c r="A375" t="s">
        <v>605</v>
      </c>
      <c r="B375" s="2">
        <v>45319</v>
      </c>
      <c r="C375" s="2" t="str" cm="1">
        <f t="array" ref="C3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5">
        <v>2023</v>
      </c>
      <c r="E375" s="1">
        <v>0.63541666666666663</v>
      </c>
      <c r="F375" s="2" t="str">
        <f>IF(AND(AllData[[#This Row],[Time]]&lt;0.5, AllData[[#This Row],[Time]]&gt;0.17)=TRUE, "Morning", IF(AND(AllData[[#This Row],[Time]]&lt;0.75, AllData[[#This Row],[Time]]&gt;=0.5)=TRUE, "Afternoon", IF(AND(AllData[[#This Row],[Time]]&lt;1, AllData[[#This Row],[Time]]&gt;=0.75)=TRUE, "Evening", "Night")))</f>
        <v>Afternoon</v>
      </c>
      <c r="G375" t="str">
        <f>_xlfn.XLOOKUP(AllData[[#This Row],[Location Name]], Locations[Location Name],Locations[Group As])</f>
        <v>Bell Brook 1</v>
      </c>
      <c r="H375" t="e" vm="2">
        <f>_xlfn.XLOOKUP(AllData[[#This Row],[Site Name]],LocationsKey[Site Name],LocationsKey[District])</f>
        <v>#VALUE!</v>
      </c>
      <c r="I375" t="e" vm="15">
        <f>_xlfn.XLOOKUP(AllData[[#This Row],[Site Name]],LocationsKey[Site Name],LocationsKey[Town])</f>
        <v>#VALUE!</v>
      </c>
      <c r="J375" t="str">
        <f>_xlfn.XLOOKUP(AllData[[#This Row],[Site Name]],LocationsKey[Site Name], LocationsKey[Waterway])</f>
        <v>Bell Brook</v>
      </c>
      <c r="K375" t="s">
        <v>534</v>
      </c>
      <c r="L375">
        <v>52.244900000000001</v>
      </c>
      <c r="M375">
        <v>-1.6617</v>
      </c>
      <c r="N375" t="s">
        <v>23</v>
      </c>
      <c r="O375">
        <v>710</v>
      </c>
      <c r="P375">
        <v>8.8000000000000007</v>
      </c>
      <c r="Q375">
        <v>8</v>
      </c>
      <c r="R375" s="7" t="str">
        <f>IF(AllData[[#This Row],[Nitrate (PPM)]]&gt;2, "Very high", IF(AllData[[#This Row],[Nitrate (PPM)]]&gt;1, "High", IF(AllData[[#This Row],[Nitrate (PPM)]]&gt;0.5, "Some evidence", IF(AllData[[#This Row],[Nitrate (PPM)]]&gt;=0, "No evidence"))))</f>
        <v>Very high</v>
      </c>
      <c r="S375" s="4">
        <v>0.31</v>
      </c>
      <c r="T375" s="7" t="str">
        <f>IF(AllData[[#This Row],[Phosphate (PPM)]]&gt;0.5, "Very high", IF(AllData[[#This Row],[Phosphate (PPM)]]&gt;0.1, "High", IF(AllData[[#This Row],[Phosphate (PPM)]]&gt;0.05, "Some evidence", IF(AllData[[#This Row],[Phosphate (PPM)]]&lt;=0.05, "No Evidence", ""))))</f>
        <v>High</v>
      </c>
      <c r="U375">
        <v>0.5</v>
      </c>
    </row>
    <row r="376" spans="1:22" x14ac:dyDescent="0.25">
      <c r="A376" t="s">
        <v>606</v>
      </c>
      <c r="B376" s="2">
        <v>45320</v>
      </c>
      <c r="C376" s="2" t="str" cm="1">
        <f t="array" ref="C3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6">
        <v>2023</v>
      </c>
      <c r="E376" s="1">
        <v>0.40416666666666667</v>
      </c>
      <c r="F376" s="2" t="str">
        <f>IF(AND(AllData[[#This Row],[Time]]&lt;0.5, AllData[[#This Row],[Time]]&gt;0.17)=TRUE, "Morning", IF(AND(AllData[[#This Row],[Time]]&lt;0.75, AllData[[#This Row],[Time]]&gt;=0.5)=TRUE, "Afternoon", IF(AND(AllData[[#This Row],[Time]]&lt;1, AllData[[#This Row],[Time]]&gt;=0.75)=TRUE, "Evening", "Night")))</f>
        <v>Morning</v>
      </c>
      <c r="G376" t="str">
        <f>_xlfn.XLOOKUP(AllData[[#This Row],[Location Name]], Locations[Location Name],Locations[Group As])</f>
        <v>Stour Stretton-on-Fosse Village</v>
      </c>
      <c r="H376" t="e" vm="2">
        <f>_xlfn.XLOOKUP(AllData[[#This Row],[Site Name]],LocationsKey[Site Name],LocationsKey[District])</f>
        <v>#VALUE!</v>
      </c>
      <c r="I376" t="e" vm="14">
        <f>_xlfn.XLOOKUP(AllData[[#This Row],[Site Name]],LocationsKey[Site Name],LocationsKey[Town])</f>
        <v>#VALUE!</v>
      </c>
      <c r="J376" t="str">
        <f>_xlfn.XLOOKUP(AllData[[#This Row],[Site Name]],LocationsKey[Site Name], LocationsKey[Waterway])</f>
        <v>Stour</v>
      </c>
      <c r="K376" t="s">
        <v>544</v>
      </c>
      <c r="L376">
        <v>52.046531000000002</v>
      </c>
      <c r="M376">
        <v>-1.673367</v>
      </c>
      <c r="N376" t="s">
        <v>66</v>
      </c>
      <c r="O376">
        <v>698</v>
      </c>
      <c r="P376">
        <v>9.1</v>
      </c>
      <c r="Q376">
        <v>3</v>
      </c>
      <c r="R376" s="7" t="str">
        <f>IF(AllData[[#This Row],[Nitrate (PPM)]]&gt;2, "Very high", IF(AllData[[#This Row],[Nitrate (PPM)]]&gt;1, "High", IF(AllData[[#This Row],[Nitrate (PPM)]]&gt;0.5, "Some evidence", IF(AllData[[#This Row],[Nitrate (PPM)]]&gt;=0, "No evidence"))))</f>
        <v>Very high</v>
      </c>
      <c r="S376" s="4">
        <v>1.1499999999999999</v>
      </c>
      <c r="T376" s="7" t="str">
        <f>IF(AllData[[#This Row],[Phosphate (PPM)]]&gt;0.5, "Very high", IF(AllData[[#This Row],[Phosphate (PPM)]]&gt;0.1, "High", IF(AllData[[#This Row],[Phosphate (PPM)]]&gt;0.05, "Some evidence", IF(AllData[[#This Row],[Phosphate (PPM)]]&lt;=0.05, "No Evidence", ""))))</f>
        <v>Very high</v>
      </c>
      <c r="U376">
        <v>0.15</v>
      </c>
    </row>
    <row r="377" spans="1:22" x14ac:dyDescent="0.25">
      <c r="A377" t="s">
        <v>607</v>
      </c>
      <c r="B377" s="2">
        <v>45320</v>
      </c>
      <c r="C377" s="2" t="str" cm="1">
        <f t="array" ref="C3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7">
        <v>2023</v>
      </c>
      <c r="E377" s="1">
        <v>0.42291666666666666</v>
      </c>
      <c r="F377" s="2" t="str">
        <f>IF(AND(AllData[[#This Row],[Time]]&lt;0.5, AllData[[#This Row],[Time]]&gt;0.17)=TRUE, "Morning", IF(AND(AllData[[#This Row],[Time]]&lt;0.75, AllData[[#This Row],[Time]]&gt;=0.5)=TRUE, "Afternoon", IF(AND(AllData[[#This Row],[Time]]&lt;1, AllData[[#This Row],[Time]]&gt;=0.75)=TRUE, "Evening", "Night")))</f>
        <v>Morning</v>
      </c>
      <c r="G377" t="str">
        <f>_xlfn.XLOOKUP(AllData[[#This Row],[Location Name]], Locations[Location Name],Locations[Group As])</f>
        <v>Stour Stretton-on-Fosse Sewage Works</v>
      </c>
      <c r="H377" t="e" vm="2">
        <f>_xlfn.XLOOKUP(AllData[[#This Row],[Site Name]],LocationsKey[Site Name],LocationsKey[District])</f>
        <v>#VALUE!</v>
      </c>
      <c r="I377" t="e" vm="14">
        <f>_xlfn.XLOOKUP(AllData[[#This Row],[Site Name]],LocationsKey[Site Name],LocationsKey[Town])</f>
        <v>#VALUE!</v>
      </c>
      <c r="J377" t="str">
        <f>_xlfn.XLOOKUP(AllData[[#This Row],[Site Name]],LocationsKey[Site Name], LocationsKey[Waterway])</f>
        <v>Stour</v>
      </c>
      <c r="K377" t="s">
        <v>335</v>
      </c>
      <c r="L377">
        <v>52.045636000000002</v>
      </c>
      <c r="M377">
        <v>-1.6719679999999999</v>
      </c>
      <c r="N377" t="s">
        <v>29</v>
      </c>
      <c r="O377">
        <v>741</v>
      </c>
      <c r="P377">
        <v>9.6999999999999993</v>
      </c>
      <c r="Q377">
        <v>4</v>
      </c>
      <c r="R377" s="7" t="str">
        <f>IF(AllData[[#This Row],[Nitrate (PPM)]]&gt;2, "Very high", IF(AllData[[#This Row],[Nitrate (PPM)]]&gt;1, "High", IF(AllData[[#This Row],[Nitrate (PPM)]]&gt;0.5, "Some evidence", IF(AllData[[#This Row],[Nitrate (PPM)]]&gt;=0, "No evidence"))))</f>
        <v>Very high</v>
      </c>
      <c r="S377" s="4">
        <v>2.5</v>
      </c>
      <c r="T377" s="7" t="str">
        <f>IF(AllData[[#This Row],[Phosphate (PPM)]]&gt;0.5, "Very high", IF(AllData[[#This Row],[Phosphate (PPM)]]&gt;0.1, "High", IF(AllData[[#This Row],[Phosphate (PPM)]]&gt;0.05, "Some evidence", IF(AllData[[#This Row],[Phosphate (PPM)]]&lt;=0.05, "No Evidence", ""))))</f>
        <v>Very high</v>
      </c>
      <c r="U377">
        <v>0.25</v>
      </c>
    </row>
    <row r="378" spans="1:22" x14ac:dyDescent="0.25">
      <c r="A378" t="s">
        <v>608</v>
      </c>
      <c r="B378" s="2">
        <v>45322</v>
      </c>
      <c r="C378" s="2" t="str" cm="1">
        <f t="array" ref="C3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8">
        <v>2023</v>
      </c>
      <c r="E378" s="1">
        <v>0.48958333333333331</v>
      </c>
      <c r="F378" s="2" t="str">
        <f>IF(AND(AllData[[#This Row],[Time]]&lt;0.5, AllData[[#This Row],[Time]]&gt;0.17)=TRUE, "Morning", IF(AND(AllData[[#This Row],[Time]]&lt;0.75, AllData[[#This Row],[Time]]&gt;=0.5)=TRUE, "Afternoon", IF(AND(AllData[[#This Row],[Time]]&lt;1, AllData[[#This Row],[Time]]&gt;=0.75)=TRUE, "Evening", "Night")))</f>
        <v>Morning</v>
      </c>
      <c r="G378" t="str">
        <f>_xlfn.XLOOKUP(AllData[[#This Row],[Location Name]], Locations[Location Name],Locations[Group As])</f>
        <v>Swilgate</v>
      </c>
      <c r="H378" t="e" vm="1">
        <f>_xlfn.XLOOKUP(AllData[[#This Row],[Site Name]],LocationsKey[Site Name],LocationsKey[District])</f>
        <v>#VALUE!</v>
      </c>
      <c r="I378" t="e" vm="1">
        <f>_xlfn.XLOOKUP(AllData[[#This Row],[Site Name]],LocationsKey[Site Name],LocationsKey[Town])</f>
        <v>#VALUE!</v>
      </c>
      <c r="J378" t="str">
        <f>_xlfn.XLOOKUP(AllData[[#This Row],[Site Name]],LocationsKey[Site Name], LocationsKey[Waterway])</f>
        <v>Swilgate</v>
      </c>
      <c r="K378" t="s">
        <v>84</v>
      </c>
      <c r="N378" t="s">
        <v>23</v>
      </c>
      <c r="O378">
        <v>105</v>
      </c>
      <c r="P378">
        <v>9</v>
      </c>
      <c r="Q378">
        <v>3</v>
      </c>
      <c r="R378" s="7" t="str">
        <f>IF(AllData[[#This Row],[Nitrate (PPM)]]&gt;2, "Very high", IF(AllData[[#This Row],[Nitrate (PPM)]]&gt;1, "High", IF(AllData[[#This Row],[Nitrate (PPM)]]&gt;0.5, "Some evidence", IF(AllData[[#This Row],[Nitrate (PPM)]]&gt;=0, "No evidence"))))</f>
        <v>Very high</v>
      </c>
      <c r="S378" s="4">
        <v>0.49</v>
      </c>
      <c r="T378" s="7" t="str">
        <f>IF(AllData[[#This Row],[Phosphate (PPM)]]&gt;0.5, "Very high", IF(AllData[[#This Row],[Phosphate (PPM)]]&gt;0.1, "High", IF(AllData[[#This Row],[Phosphate (PPM)]]&gt;0.05, "Some evidence", IF(AllData[[#This Row],[Phosphate (PPM)]]&lt;=0.05, "No Evidence", ""))))</f>
        <v>High</v>
      </c>
      <c r="U378">
        <v>0</v>
      </c>
    </row>
    <row r="379" spans="1:22" x14ac:dyDescent="0.25">
      <c r="A379" t="s">
        <v>609</v>
      </c>
      <c r="B379" s="2">
        <v>45322</v>
      </c>
      <c r="C379" s="2" t="str" cm="1">
        <f t="array" ref="C3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9">
        <v>2023</v>
      </c>
      <c r="E379" s="1">
        <v>0.60416666666666663</v>
      </c>
      <c r="F379" s="2" t="str">
        <f>IF(AND(AllData[[#This Row],[Time]]&lt;0.5, AllData[[#This Row],[Time]]&gt;0.17)=TRUE, "Morning", IF(AND(AllData[[#This Row],[Time]]&lt;0.75, AllData[[#This Row],[Time]]&gt;=0.5)=TRUE, "Afternoon", IF(AND(AllData[[#This Row],[Time]]&lt;1, AllData[[#This Row],[Time]]&gt;=0.75)=TRUE, "Evening", "Night")))</f>
        <v>Afternoon</v>
      </c>
      <c r="G379" t="str">
        <f>_xlfn.XLOOKUP(AllData[[#This Row],[Location Name]], Locations[Location Name],Locations[Group As])</f>
        <v>Stour Newbold Mill</v>
      </c>
      <c r="H379" t="e" vm="2">
        <f>_xlfn.XLOOKUP(AllData[[#This Row],[Site Name]],LocationsKey[Site Name],LocationsKey[District])</f>
        <v>#VALUE!</v>
      </c>
      <c r="I379" t="e" vm="8">
        <f>_xlfn.XLOOKUP(AllData[[#This Row],[Site Name]],LocationsKey[Site Name],LocationsKey[Town])</f>
        <v>#VALUE!</v>
      </c>
      <c r="J379" t="str">
        <f>_xlfn.XLOOKUP(AllData[[#This Row],[Site Name]],LocationsKey[Site Name], LocationsKey[Waterway])</f>
        <v>Stour</v>
      </c>
      <c r="K379" t="s">
        <v>140</v>
      </c>
      <c r="L379">
        <v>52.112769999999998</v>
      </c>
      <c r="M379">
        <v>-1.6335170000000001</v>
      </c>
      <c r="N379" t="s">
        <v>29</v>
      </c>
      <c r="O379" s="219">
        <v>678</v>
      </c>
      <c r="P379">
        <v>8.3000000000000007</v>
      </c>
      <c r="Q379" s="219">
        <v>5</v>
      </c>
      <c r="R379" s="7" t="str">
        <f>IF(AllData[[#This Row],[Nitrate (PPM)]]&gt;2, "Very high", IF(AllData[[#This Row],[Nitrate (PPM)]]&gt;1, "High", IF(AllData[[#This Row],[Nitrate (PPM)]]&gt;0.5, "Some evidence", IF(AllData[[#This Row],[Nitrate (PPM)]]&gt;=0, "No evidence"))))</f>
        <v>Very high</v>
      </c>
      <c r="S379" s="221">
        <v>0.23</v>
      </c>
      <c r="T379" s="7" t="str">
        <f>IF(AllData[[#This Row],[Phosphate (PPM)]]&gt;0.5, "Very high", IF(AllData[[#This Row],[Phosphate (PPM)]]&gt;0.1, "High", IF(AllData[[#This Row],[Phosphate (PPM)]]&gt;0.05, "Some evidence", IF(AllData[[#This Row],[Phosphate (PPM)]]&lt;=0.05, "No Evidence", ""))))</f>
        <v>High</v>
      </c>
      <c r="U379">
        <v>2.5</v>
      </c>
      <c r="V379" t="s">
        <v>610</v>
      </c>
    </row>
    <row r="380" spans="1:22" x14ac:dyDescent="0.25">
      <c r="A380" t="s">
        <v>611</v>
      </c>
      <c r="B380" s="2">
        <v>45323</v>
      </c>
      <c r="C380" s="2" t="str" cm="1">
        <f t="array" ref="C3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0">
        <v>2023</v>
      </c>
      <c r="E380" s="1">
        <v>0.46805555555555556</v>
      </c>
      <c r="F380" s="2" t="str">
        <f>IF(AND(AllData[[#This Row],[Time]]&lt;0.5, AllData[[#This Row],[Time]]&gt;0.17)=TRUE, "Morning", IF(AND(AllData[[#This Row],[Time]]&lt;0.75, AllData[[#This Row],[Time]]&gt;=0.5)=TRUE, "Afternoon", IF(AND(AllData[[#This Row],[Time]]&lt;1, AllData[[#This Row],[Time]]&gt;=0.75)=TRUE, "Evening", "Night")))</f>
        <v>Morning</v>
      </c>
      <c r="G380" t="str">
        <f>_xlfn.XLOOKUP(AllData[[#This Row],[Location Name]], Locations[Location Name],Locations[Group As])</f>
        <v>Stour Willington</v>
      </c>
      <c r="H380" t="e" vm="2">
        <f>_xlfn.XLOOKUP(AllData[[#This Row],[Site Name]],LocationsKey[Site Name],LocationsKey[District])</f>
        <v>#VALUE!</v>
      </c>
      <c r="I380" t="str">
        <f>_xlfn.XLOOKUP(AllData[[#This Row],[Site Name]],LocationsKey[Site Name],LocationsKey[Town])</f>
        <v>Willington</v>
      </c>
      <c r="J380" t="str">
        <f>_xlfn.XLOOKUP(AllData[[#This Row],[Site Name]],LocationsKey[Site Name], LocationsKey[Waterway])</f>
        <v>Stour</v>
      </c>
      <c r="K380" t="s">
        <v>517</v>
      </c>
      <c r="L380">
        <v>52.051000000000002</v>
      </c>
      <c r="M380">
        <v>-1.6140000000000001</v>
      </c>
      <c r="N380" t="s">
        <v>23</v>
      </c>
      <c r="O380">
        <v>628</v>
      </c>
      <c r="P380">
        <v>10</v>
      </c>
      <c r="Q380">
        <v>2</v>
      </c>
      <c r="R380" s="7" t="str">
        <f>IF(AllData[[#This Row],[Nitrate (PPM)]]&gt;2, "Very high", IF(AllData[[#This Row],[Nitrate (PPM)]]&gt;1, "High", IF(AllData[[#This Row],[Nitrate (PPM)]]&gt;0.5, "Some evidence", IF(AllData[[#This Row],[Nitrate (PPM)]]&gt;=0, "No evidence"))))</f>
        <v>High</v>
      </c>
      <c r="S380" s="4">
        <v>0.2</v>
      </c>
      <c r="T380" s="7" t="str">
        <f>IF(AllData[[#This Row],[Phosphate (PPM)]]&gt;0.5, "Very high", IF(AllData[[#This Row],[Phosphate (PPM)]]&gt;0.1, "High", IF(AllData[[#This Row],[Phosphate (PPM)]]&gt;0.05, "Some evidence", IF(AllData[[#This Row],[Phosphate (PPM)]]&lt;=0.05, "No Evidence", ""))))</f>
        <v>High</v>
      </c>
      <c r="U380">
        <v>0.5</v>
      </c>
    </row>
    <row r="381" spans="1:22" x14ac:dyDescent="0.25">
      <c r="A381" t="s">
        <v>612</v>
      </c>
      <c r="B381" s="2">
        <v>45323</v>
      </c>
      <c r="C381" s="2" t="str" cm="1">
        <f t="array" ref="C3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1">
        <v>2023</v>
      </c>
      <c r="E381" s="1">
        <v>0.61597222222222225</v>
      </c>
      <c r="F381" s="2" t="str">
        <f>IF(AND(AllData[[#This Row],[Time]]&lt;0.5, AllData[[#This Row],[Time]]&gt;0.17)=TRUE, "Morning", IF(AND(AllData[[#This Row],[Time]]&lt;0.75, AllData[[#This Row],[Time]]&gt;=0.5)=TRUE, "Afternoon", IF(AND(AllData[[#This Row],[Time]]&lt;1, AllData[[#This Row],[Time]]&gt;=0.75)=TRUE, "Evening", "Night")))</f>
        <v>Afternoon</v>
      </c>
      <c r="G381" t="str">
        <f>_xlfn.XLOOKUP(AllData[[#This Row],[Location Name]], Locations[Location Name],Locations[Group As])</f>
        <v>Swiffen Bank</v>
      </c>
      <c r="H381" t="e" vm="2">
        <f>_xlfn.XLOOKUP(AllData[[#This Row],[Site Name]],LocationsKey[Site Name],LocationsKey[District])</f>
        <v>#VALUE!</v>
      </c>
      <c r="I381" t="e" vm="13">
        <f>_xlfn.XLOOKUP(AllData[[#This Row],[Site Name]],LocationsKey[Site Name],LocationsKey[Town])</f>
        <v>#VALUE!</v>
      </c>
      <c r="J381" t="str">
        <f>_xlfn.XLOOKUP(AllData[[#This Row],[Site Name]],LocationsKey[Site Name], LocationsKey[Waterway])</f>
        <v>Avon</v>
      </c>
      <c r="K381" t="s">
        <v>284</v>
      </c>
      <c r="L381">
        <v>52.206384</v>
      </c>
      <c r="M381">
        <v>-1.6540969999999999</v>
      </c>
      <c r="N381" t="s">
        <v>29</v>
      </c>
      <c r="O381">
        <v>668</v>
      </c>
      <c r="P381">
        <v>8.8000000000000007</v>
      </c>
      <c r="Q381">
        <v>5</v>
      </c>
      <c r="R381" s="7" t="str">
        <f>IF(AllData[[#This Row],[Nitrate (PPM)]]&gt;2, "Very high", IF(AllData[[#This Row],[Nitrate (PPM)]]&gt;1, "High", IF(AllData[[#This Row],[Nitrate (PPM)]]&gt;0.5, "Some evidence", IF(AllData[[#This Row],[Nitrate (PPM)]]&gt;=0, "No evidence"))))</f>
        <v>Very high</v>
      </c>
      <c r="S381" s="4">
        <v>0.53</v>
      </c>
      <c r="T381" s="7" t="str">
        <f>IF(AllData[[#This Row],[Phosphate (PPM)]]&gt;0.5, "Very high", IF(AllData[[#This Row],[Phosphate (PPM)]]&gt;0.1, "High", IF(AllData[[#This Row],[Phosphate (PPM)]]&gt;0.05, "Some evidence", IF(AllData[[#This Row],[Phosphate (PPM)]]&lt;=0.05, "No Evidence", ""))))</f>
        <v>Very high</v>
      </c>
      <c r="U381">
        <v>0</v>
      </c>
      <c r="V381" t="s">
        <v>613</v>
      </c>
    </row>
    <row r="382" spans="1:22" x14ac:dyDescent="0.25">
      <c r="A382" t="s">
        <v>614</v>
      </c>
      <c r="B382" s="2">
        <v>45323</v>
      </c>
      <c r="C382" s="2" t="str" cm="1">
        <f t="array" ref="C3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2">
        <v>2023</v>
      </c>
      <c r="E382" s="1">
        <v>0.64583333333333337</v>
      </c>
      <c r="F382" s="2" t="str">
        <f>IF(AND(AllData[[#This Row],[Time]]&lt;0.5, AllData[[#This Row],[Time]]&gt;0.17)=TRUE, "Morning", IF(AND(AllData[[#This Row],[Time]]&lt;0.75, AllData[[#This Row],[Time]]&gt;=0.5)=TRUE, "Afternoon", IF(AND(AllData[[#This Row],[Time]]&lt;1, AllData[[#This Row],[Time]]&gt;=0.75)=TRUE, "Evening", "Night")))</f>
        <v>Afternoon</v>
      </c>
      <c r="G382" t="str">
        <f>_xlfn.XLOOKUP(AllData[[#This Row],[Location Name]], Locations[Location Name],Locations[Group As])</f>
        <v>Preston Bagot Canal</v>
      </c>
      <c r="H382" t="e" vm="2">
        <f>_xlfn.XLOOKUP(AllData[[#This Row],[Site Name]],LocationsKey[Site Name],LocationsKey[District])</f>
        <v>#VALUE!</v>
      </c>
      <c r="I382" t="e" vm="19">
        <f>_xlfn.XLOOKUP(AllData[[#This Row],[Site Name]],LocationsKey[Site Name],LocationsKey[Town])</f>
        <v>#VALUE!</v>
      </c>
      <c r="J382" t="str">
        <f>_xlfn.XLOOKUP(AllData[[#This Row],[Site Name]],LocationsKey[Site Name], LocationsKey[Waterway])</f>
        <v>Preston Bagot Canal</v>
      </c>
      <c r="K382" t="s">
        <v>615</v>
      </c>
      <c r="N382" t="s">
        <v>23</v>
      </c>
      <c r="O382">
        <v>351</v>
      </c>
      <c r="P382">
        <v>9.6999999999999993</v>
      </c>
      <c r="Q382">
        <v>2.5</v>
      </c>
      <c r="R382" s="7" t="str">
        <f>IF(AllData[[#This Row],[Nitrate (PPM)]]&gt;2, "Very high", IF(AllData[[#This Row],[Nitrate (PPM)]]&gt;1, "High", IF(AllData[[#This Row],[Nitrate (PPM)]]&gt;0.5, "Some evidence", IF(AllData[[#This Row],[Nitrate (PPM)]]&gt;=0, "No evidence"))))</f>
        <v>Very high</v>
      </c>
      <c r="S382" s="4">
        <v>0.25</v>
      </c>
      <c r="T382" s="7" t="str">
        <f>IF(AllData[[#This Row],[Phosphate (PPM)]]&gt;0.5, "Very high", IF(AllData[[#This Row],[Phosphate (PPM)]]&gt;0.1, "High", IF(AllData[[#This Row],[Phosphate (PPM)]]&gt;0.05, "Some evidence", IF(AllData[[#This Row],[Phosphate (PPM)]]&lt;=0.05, "No Evidence", ""))))</f>
        <v>High</v>
      </c>
      <c r="U382">
        <v>0</v>
      </c>
    </row>
    <row r="383" spans="1:22" x14ac:dyDescent="0.25">
      <c r="A383" t="s">
        <v>616</v>
      </c>
      <c r="B383" s="2">
        <v>45323</v>
      </c>
      <c r="C383" s="2" t="str" cm="1">
        <f t="array" ref="C3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3">
        <v>2023</v>
      </c>
      <c r="E383" s="1">
        <v>0.65277777777777779</v>
      </c>
      <c r="F383" s="2" t="str">
        <f>IF(AND(AllData[[#This Row],[Time]]&lt;0.5, AllData[[#This Row],[Time]]&gt;0.17)=TRUE, "Morning", IF(AND(AllData[[#This Row],[Time]]&lt;0.75, AllData[[#This Row],[Time]]&gt;=0.5)=TRUE, "Afternoon", IF(AND(AllData[[#This Row],[Time]]&lt;1, AllData[[#This Row],[Time]]&gt;=0.75)=TRUE, "Evening", "Night")))</f>
        <v>Afternoon</v>
      </c>
      <c r="G383" t="str">
        <f>_xlfn.XLOOKUP(AllData[[#This Row],[Location Name]], Locations[Location Name],Locations[Group As])</f>
        <v>Alveston Weir</v>
      </c>
      <c r="H383" t="e" vm="2">
        <f>_xlfn.XLOOKUP(AllData[[#This Row],[Site Name]],LocationsKey[Site Name],LocationsKey[District])</f>
        <v>#VALUE!</v>
      </c>
      <c r="I383" t="e" vm="13">
        <f>_xlfn.XLOOKUP(AllData[[#This Row],[Site Name]],LocationsKey[Site Name],LocationsKey[Town])</f>
        <v>#VALUE!</v>
      </c>
      <c r="J383" t="str">
        <f>_xlfn.XLOOKUP(AllData[[#This Row],[Site Name]],LocationsKey[Site Name], LocationsKey[Waterway])</f>
        <v>Avon</v>
      </c>
      <c r="K383" t="s">
        <v>286</v>
      </c>
      <c r="L383">
        <v>52.212288999999998</v>
      </c>
      <c r="M383">
        <v>-1.660452</v>
      </c>
      <c r="N383" t="s">
        <v>29</v>
      </c>
      <c r="O383">
        <v>689</v>
      </c>
      <c r="P383">
        <v>8.5</v>
      </c>
      <c r="Q383">
        <v>5</v>
      </c>
      <c r="R383" s="7" t="str">
        <f>IF(AllData[[#This Row],[Nitrate (PPM)]]&gt;2, "Very high", IF(AllData[[#This Row],[Nitrate (PPM)]]&gt;1, "High", IF(AllData[[#This Row],[Nitrate (PPM)]]&gt;0.5, "Some evidence", IF(AllData[[#This Row],[Nitrate (PPM)]]&gt;=0, "No evidence"))))</f>
        <v>Very high</v>
      </c>
      <c r="S383" s="4">
        <v>0.6</v>
      </c>
      <c r="T383" s="7" t="str">
        <f>IF(AllData[[#This Row],[Phosphate (PPM)]]&gt;0.5, "Very high", IF(AllData[[#This Row],[Phosphate (PPM)]]&gt;0.1, "High", IF(AllData[[#This Row],[Phosphate (PPM)]]&gt;0.05, "Some evidence", IF(AllData[[#This Row],[Phosphate (PPM)]]&lt;=0.05, "No Evidence", ""))))</f>
        <v>Very high</v>
      </c>
      <c r="U383">
        <v>-0.5</v>
      </c>
    </row>
    <row r="384" spans="1:22" x14ac:dyDescent="0.25">
      <c r="A384" t="s">
        <v>617</v>
      </c>
      <c r="B384" s="2">
        <v>45323</v>
      </c>
      <c r="C384" s="2" t="str" cm="1">
        <f t="array" ref="C3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4">
        <v>2023</v>
      </c>
      <c r="E384" s="1">
        <v>0.65625</v>
      </c>
      <c r="F384" s="2" t="str">
        <f>IF(AND(AllData[[#This Row],[Time]]&lt;0.5, AllData[[#This Row],[Time]]&gt;0.17)=TRUE, "Morning", IF(AND(AllData[[#This Row],[Time]]&lt;0.75, AllData[[#This Row],[Time]]&gt;=0.5)=TRUE, "Afternoon", IF(AND(AllData[[#This Row],[Time]]&lt;1, AllData[[#This Row],[Time]]&gt;=0.75)=TRUE, "Evening", "Night")))</f>
        <v>Afternoon</v>
      </c>
      <c r="G384" t="str">
        <f>_xlfn.XLOOKUP(AllData[[#This Row],[Location Name]], Locations[Location Name],Locations[Group As])</f>
        <v>Preston Bagot Brook</v>
      </c>
      <c r="H384" t="e" vm="2">
        <f>_xlfn.XLOOKUP(AllData[[#This Row],[Site Name]],LocationsKey[Site Name],LocationsKey[District])</f>
        <v>#VALUE!</v>
      </c>
      <c r="I384" t="e" vm="19">
        <f>_xlfn.XLOOKUP(AllData[[#This Row],[Site Name]],LocationsKey[Site Name],LocationsKey[Town])</f>
        <v>#VALUE!</v>
      </c>
      <c r="J384" t="str">
        <f>_xlfn.XLOOKUP(AllData[[#This Row],[Site Name]],LocationsKey[Site Name], LocationsKey[Waterway])</f>
        <v>Preston Bagot Brook</v>
      </c>
      <c r="K384" t="s">
        <v>618</v>
      </c>
      <c r="L384">
        <v>52.286200000000001</v>
      </c>
      <c r="M384">
        <v>-1.7478</v>
      </c>
      <c r="N384" t="s">
        <v>23</v>
      </c>
      <c r="O384">
        <v>805</v>
      </c>
      <c r="P384">
        <v>10.4</v>
      </c>
      <c r="Q384">
        <v>2.5</v>
      </c>
      <c r="R384" s="7" t="str">
        <f>IF(AllData[[#This Row],[Nitrate (PPM)]]&gt;2, "Very high", IF(AllData[[#This Row],[Nitrate (PPM)]]&gt;1, "High", IF(AllData[[#This Row],[Nitrate (PPM)]]&gt;0.5, "Some evidence", IF(AllData[[#This Row],[Nitrate (PPM)]]&gt;=0, "No evidence"))))</f>
        <v>Very high</v>
      </c>
      <c r="S384" s="4">
        <v>0.56999999999999995</v>
      </c>
      <c r="T384" s="7" t="str">
        <f>IF(AllData[[#This Row],[Phosphate (PPM)]]&gt;0.5, "Very high", IF(AllData[[#This Row],[Phosphate (PPM)]]&gt;0.1, "High", IF(AllData[[#This Row],[Phosphate (PPM)]]&gt;0.05, "Some evidence", IF(AllData[[#This Row],[Phosphate (PPM)]]&lt;=0.05, "No Evidence", ""))))</f>
        <v>Very high</v>
      </c>
      <c r="U384">
        <v>0</v>
      </c>
    </row>
    <row r="385" spans="1:22" x14ac:dyDescent="0.25">
      <c r="A385" t="s">
        <v>1748</v>
      </c>
      <c r="B385" s="2">
        <v>45324</v>
      </c>
      <c r="C385" s="2" t="str" cm="1">
        <f t="array" ref="C3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5">
        <v>2023</v>
      </c>
      <c r="F385" s="2" t="str">
        <f>IF(AND(AllData[[#This Row],[Time]]&lt;0.5, AllData[[#This Row],[Time]]&gt;0.17)=TRUE, "Morning", IF(AND(AllData[[#This Row],[Time]]&lt;0.75, AllData[[#This Row],[Time]]&gt;=0.5)=TRUE, "Afternoon", IF(AND(AllData[[#This Row],[Time]]&lt;1, AllData[[#This Row],[Time]]&gt;=0.75)=TRUE, "Evening", "Night")))</f>
        <v>Night</v>
      </c>
      <c r="G385" t="str">
        <f>_xlfn.XLOOKUP(AllData[[#This Row],[Location Name]], Locations[Location Name],Locations[Group As])</f>
        <v>Site 2  :  Cross Leys culvert</v>
      </c>
      <c r="H385" t="e" vm="2">
        <f>_xlfn.XLOOKUP(AllData[[#This Row],[Site Name]],LocationsKey[Site Name],LocationsKey[District])</f>
        <v>#VALUE!</v>
      </c>
      <c r="I385" t="e" vm="11">
        <f>_xlfn.XLOOKUP(AllData[[#This Row],[Site Name]],LocationsKey[Site Name],LocationsKey[Town])</f>
        <v>#VALUE!</v>
      </c>
      <c r="J385" t="str">
        <f>_xlfn.XLOOKUP(AllData[[#This Row],[Site Name]],LocationsKey[Site Name], LocationsKey[Waterway])</f>
        <v>Fosseway Brook</v>
      </c>
      <c r="K385" t="s">
        <v>1860</v>
      </c>
      <c r="L385">
        <v>52.092967999999999</v>
      </c>
      <c r="M385">
        <v>-1.6862710000000001</v>
      </c>
      <c r="N385" t="s">
        <v>66</v>
      </c>
      <c r="O385">
        <v>628</v>
      </c>
      <c r="P385">
        <v>9.3000000000000007</v>
      </c>
      <c r="Q385">
        <v>2</v>
      </c>
      <c r="R385" s="7" t="str">
        <f>IF(AllData[[#This Row],[Nitrate (PPM)]]&gt;2, "Very high", IF(AllData[[#This Row],[Nitrate (PPM)]]&gt;1, "High", IF(AllData[[#This Row],[Nitrate (PPM)]]&gt;0.5, "Some evidence", IF(AllData[[#This Row],[Nitrate (PPM)]]&gt;=0, "No evidence"))))</f>
        <v>High</v>
      </c>
      <c r="S385" s="4">
        <v>0.38</v>
      </c>
      <c r="T385" s="7" t="str">
        <f>IF(AllData[[#This Row],[Phosphate (PPM)]]&gt;0.5, "Very high", IF(AllData[[#This Row],[Phosphate (PPM)]]&gt;0.1, "High", IF(AllData[[#This Row],[Phosphate (PPM)]]&gt;0.05, "Some evidence", IF(AllData[[#This Row],[Phosphate (PPM)]]&lt;=0.05, "No Evidence", ""))))</f>
        <v>High</v>
      </c>
      <c r="U385">
        <v>0</v>
      </c>
      <c r="V385" t="s">
        <v>1898</v>
      </c>
    </row>
    <row r="386" spans="1:22" x14ac:dyDescent="0.25">
      <c r="A386" t="s">
        <v>1454</v>
      </c>
      <c r="B386" s="2">
        <v>45324</v>
      </c>
      <c r="C386" s="2" t="str" cm="1">
        <f t="array" ref="C3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6">
        <v>2023</v>
      </c>
      <c r="E386" s="1"/>
      <c r="F386" s="2" t="str">
        <f>IF(AND(AllData[[#This Row],[Time]]&lt;0.5, AllData[[#This Row],[Time]]&gt;0.17)=TRUE, "Morning", IF(AND(AllData[[#This Row],[Time]]&lt;0.75, AllData[[#This Row],[Time]]&gt;=0.5)=TRUE, "Afternoon", IF(AND(AllData[[#This Row],[Time]]&lt;1, AllData[[#This Row],[Time]]&gt;=0.75)=TRUE, "Evening", "Night")))</f>
        <v>Night</v>
      </c>
      <c r="G386" t="str">
        <f>_xlfn.XLOOKUP(AllData[[#This Row],[Location Name]], Locations[Location Name],Locations[Group As])</f>
        <v>Site 2  :  Cross Leys culvert</v>
      </c>
      <c r="H386" t="e" vm="2">
        <f>_xlfn.XLOOKUP(AllData[[#This Row],[Site Name]],LocationsKey[Site Name],LocationsKey[District])</f>
        <v>#VALUE!</v>
      </c>
      <c r="I386" t="e" vm="11">
        <f>_xlfn.XLOOKUP(AllData[[#This Row],[Site Name]],LocationsKey[Site Name],LocationsKey[Town])</f>
        <v>#VALUE!</v>
      </c>
      <c r="J386" t="str">
        <f>_xlfn.XLOOKUP(AllData[[#This Row],[Site Name]],LocationsKey[Site Name], LocationsKey[Waterway])</f>
        <v>Fosseway Brook</v>
      </c>
      <c r="K386" t="s">
        <v>1371</v>
      </c>
      <c r="L386">
        <v>52.092967999999999</v>
      </c>
      <c r="M386">
        <v>-1.6862710000000001</v>
      </c>
      <c r="N386" t="s">
        <v>66</v>
      </c>
      <c r="O386">
        <v>628</v>
      </c>
      <c r="P386">
        <v>9.3000000000000007</v>
      </c>
      <c r="Q386">
        <v>2</v>
      </c>
      <c r="R386" s="7" t="str">
        <f>IF(AllData[[#This Row],[Nitrate (PPM)]]&gt;2, "Very high", IF(AllData[[#This Row],[Nitrate (PPM)]]&gt;1, "High", IF(AllData[[#This Row],[Nitrate (PPM)]]&gt;0.5, "Some evidence", IF(AllData[[#This Row],[Nitrate (PPM)]]&gt;=0, "No evidence"))))</f>
        <v>High</v>
      </c>
      <c r="S386" s="4">
        <v>0.38</v>
      </c>
      <c r="T386" s="7" t="str">
        <f>IF(AllData[[#This Row],[Phosphate (PPM)]]&gt;0.5, "Very high", IF(AllData[[#This Row],[Phosphate (PPM)]]&gt;0.1, "High", IF(AllData[[#This Row],[Phosphate (PPM)]]&gt;0.05, "Some evidence", IF(AllData[[#This Row],[Phosphate (PPM)]]&lt;=0.05, "No Evidence", ""))))</f>
        <v>High</v>
      </c>
      <c r="V386" t="s">
        <v>1369</v>
      </c>
    </row>
    <row r="387" spans="1:22" x14ac:dyDescent="0.25">
      <c r="A387" t="s">
        <v>619</v>
      </c>
      <c r="B387" s="2">
        <v>45325</v>
      </c>
      <c r="C387" s="2" t="str" cm="1">
        <f t="array" ref="C3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7">
        <v>2023</v>
      </c>
      <c r="E387" s="1">
        <v>0.42291666666666666</v>
      </c>
      <c r="F387" s="2" t="str">
        <f>IF(AND(AllData[[#This Row],[Time]]&lt;0.5, AllData[[#This Row],[Time]]&gt;0.17)=TRUE, "Morning", IF(AND(AllData[[#This Row],[Time]]&lt;0.75, AllData[[#This Row],[Time]]&gt;=0.5)=TRUE, "Afternoon", IF(AND(AllData[[#This Row],[Time]]&lt;1, AllData[[#This Row],[Time]]&gt;=0.75)=TRUE, "Evening", "Night")))</f>
        <v>Morning</v>
      </c>
      <c r="G387" t="str">
        <f>_xlfn.XLOOKUP(AllData[[#This Row],[Location Name]], Locations[Location Name],Locations[Group As])</f>
        <v>The Ford, Langley</v>
      </c>
      <c r="H387" t="e" vm="2">
        <f>_xlfn.XLOOKUP(AllData[[#This Row],[Site Name]],LocationsKey[Site Name],LocationsKey[District])</f>
        <v>#VALUE!</v>
      </c>
      <c r="I387" t="str">
        <f>_xlfn.XLOOKUP(AllData[[#This Row],[Site Name]],LocationsKey[Site Name],LocationsKey[Town])</f>
        <v>Langley</v>
      </c>
      <c r="J387" t="str">
        <f>_xlfn.XLOOKUP(AllData[[#This Row],[Site Name]],LocationsKey[Site Name], LocationsKey[Waterway])</f>
        <v>Langley Ford</v>
      </c>
      <c r="K387" t="s">
        <v>557</v>
      </c>
      <c r="L387">
        <v>52.259639</v>
      </c>
      <c r="M387">
        <v>-1.7181999999999999</v>
      </c>
      <c r="N387" t="s">
        <v>29</v>
      </c>
      <c r="O387">
        <v>762</v>
      </c>
      <c r="P387">
        <v>9.5</v>
      </c>
      <c r="Q387">
        <v>5</v>
      </c>
      <c r="R387" s="7" t="str">
        <f>IF(AllData[[#This Row],[Nitrate (PPM)]]&gt;2, "Very high", IF(AllData[[#This Row],[Nitrate (PPM)]]&gt;1, "High", IF(AllData[[#This Row],[Nitrate (PPM)]]&gt;0.5, "Some evidence", IF(AllData[[#This Row],[Nitrate (PPM)]]&gt;=0, "No evidence"))))</f>
        <v>Very high</v>
      </c>
      <c r="S387" s="4">
        <v>0.6</v>
      </c>
      <c r="T387" s="7" t="str">
        <f>IF(AllData[[#This Row],[Phosphate (PPM)]]&gt;0.5, "Very high", IF(AllData[[#This Row],[Phosphate (PPM)]]&gt;0.1, "High", IF(AllData[[#This Row],[Phosphate (PPM)]]&gt;0.05, "Some evidence", IF(AllData[[#This Row],[Phosphate (PPM)]]&lt;=0.05, "No Evidence", ""))))</f>
        <v>Very high</v>
      </c>
      <c r="U387">
        <v>0.28000000000000003</v>
      </c>
      <c r="V387" t="s">
        <v>597</v>
      </c>
    </row>
    <row r="388" spans="1:22" x14ac:dyDescent="0.25">
      <c r="A388" t="s">
        <v>620</v>
      </c>
      <c r="B388" s="2">
        <v>45325</v>
      </c>
      <c r="C388" s="2" t="str" cm="1">
        <f t="array" ref="C3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8">
        <v>2023</v>
      </c>
      <c r="E388" s="1">
        <v>0.45833333333333331</v>
      </c>
      <c r="F388" s="2" t="str">
        <f>IF(AND(AllData[[#This Row],[Time]]&lt;0.5, AllData[[#This Row],[Time]]&gt;0.17)=TRUE, "Morning", IF(AND(AllData[[#This Row],[Time]]&lt;0.75, AllData[[#This Row],[Time]]&gt;=0.5)=TRUE, "Afternoon", IF(AND(AllData[[#This Row],[Time]]&lt;1, AllData[[#This Row],[Time]]&gt;=0.75)=TRUE, "Evening", "Night")))</f>
        <v>Morning</v>
      </c>
      <c r="G388" t="str">
        <f>_xlfn.XLOOKUP(AllData[[#This Row],[Location Name]], Locations[Location Name],Locations[Group As])</f>
        <v>Pitch 16</v>
      </c>
      <c r="H388" t="e" vm="2">
        <f>_xlfn.XLOOKUP(AllData[[#This Row],[Site Name]],LocationsKey[Site Name],LocationsKey[District])</f>
        <v>#VALUE!</v>
      </c>
      <c r="I388" t="e" vm="7">
        <f>_xlfn.XLOOKUP(AllData[[#This Row],[Site Name]],LocationsKey[Site Name],LocationsKey[Town])</f>
        <v>#VALUE!</v>
      </c>
      <c r="J388" t="str">
        <f>_xlfn.XLOOKUP(AllData[[#This Row],[Site Name]],LocationsKey[Site Name], LocationsKey[Waterway])</f>
        <v>Avon</v>
      </c>
      <c r="K388" t="s">
        <v>69</v>
      </c>
      <c r="L388">
        <v>52.179012999999998</v>
      </c>
      <c r="M388">
        <v>-1.7339249999999999</v>
      </c>
      <c r="N388" t="s">
        <v>29</v>
      </c>
      <c r="O388">
        <v>917</v>
      </c>
      <c r="P388">
        <v>10.4</v>
      </c>
      <c r="Q388">
        <v>5</v>
      </c>
      <c r="R388" s="7" t="str">
        <f>IF(AllData[[#This Row],[Nitrate (PPM)]]&gt;2, "Very high", IF(AllData[[#This Row],[Nitrate (PPM)]]&gt;1, "High", IF(AllData[[#This Row],[Nitrate (PPM)]]&gt;0.5, "Some evidence", IF(AllData[[#This Row],[Nitrate (PPM)]]&gt;=0, "No evidence"))))</f>
        <v>Very high</v>
      </c>
      <c r="S388" s="4">
        <v>0.92</v>
      </c>
      <c r="T388" s="7" t="str">
        <f>IF(AllData[[#This Row],[Phosphate (PPM)]]&gt;0.5, "Very high", IF(AllData[[#This Row],[Phosphate (PPM)]]&gt;0.1, "High", IF(AllData[[#This Row],[Phosphate (PPM)]]&gt;0.05, "Some evidence", IF(AllData[[#This Row],[Phosphate (PPM)]]&lt;=0.05, "No Evidence", ""))))</f>
        <v>Very high</v>
      </c>
      <c r="U388">
        <v>0.65</v>
      </c>
      <c r="V388" t="s">
        <v>621</v>
      </c>
    </row>
    <row r="389" spans="1:22" x14ac:dyDescent="0.25">
      <c r="A389" t="s">
        <v>622</v>
      </c>
      <c r="B389" s="2">
        <v>45325</v>
      </c>
      <c r="C389" s="2" t="str" cm="1">
        <f t="array" ref="C3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9">
        <v>2023</v>
      </c>
      <c r="E389" s="1">
        <v>0.47361111111111109</v>
      </c>
      <c r="F389" s="2" t="str">
        <f>IF(AND(AllData[[#This Row],[Time]]&lt;0.5, AllData[[#This Row],[Time]]&gt;0.17)=TRUE, "Morning", IF(AND(AllData[[#This Row],[Time]]&lt;0.75, AllData[[#This Row],[Time]]&gt;=0.5)=TRUE, "Afternoon", IF(AND(AllData[[#This Row],[Time]]&lt;1, AllData[[#This Row],[Time]]&gt;=0.75)=TRUE, "Evening", "Night")))</f>
        <v>Morning</v>
      </c>
      <c r="G389" t="str">
        <f>_xlfn.XLOOKUP(AllData[[#This Row],[Location Name]], Locations[Location Name],Locations[Group As])</f>
        <v>Avonbank Drive</v>
      </c>
      <c r="H389" t="e" vm="2">
        <f>_xlfn.XLOOKUP(AllData[[#This Row],[Site Name]],LocationsKey[Site Name],LocationsKey[District])</f>
        <v>#VALUE!</v>
      </c>
      <c r="I389" t="e" vm="7">
        <f>_xlfn.XLOOKUP(AllData[[#This Row],[Site Name]],LocationsKey[Site Name],LocationsKey[Town])</f>
        <v>#VALUE!</v>
      </c>
      <c r="J389" t="str">
        <f>_xlfn.XLOOKUP(AllData[[#This Row],[Site Name]],LocationsKey[Site Name], LocationsKey[Waterway])</f>
        <v>Avon</v>
      </c>
      <c r="K389" t="s">
        <v>65</v>
      </c>
      <c r="L389">
        <v>52.177281999999998</v>
      </c>
      <c r="M389">
        <v>-1.7353700000000001</v>
      </c>
      <c r="N389" t="s">
        <v>66</v>
      </c>
      <c r="O389">
        <v>937</v>
      </c>
      <c r="P389">
        <v>10.8</v>
      </c>
      <c r="Q389">
        <v>10</v>
      </c>
      <c r="R389" s="7" t="str">
        <f>IF(AllData[[#This Row],[Nitrate (PPM)]]&gt;2, "Very high", IF(AllData[[#This Row],[Nitrate (PPM)]]&gt;1, "High", IF(AllData[[#This Row],[Nitrate (PPM)]]&gt;0.5, "Some evidence", IF(AllData[[#This Row],[Nitrate (PPM)]]&gt;=0, "No evidence"))))</f>
        <v>Very high</v>
      </c>
      <c r="S389" s="4">
        <v>0.54</v>
      </c>
      <c r="T389" s="7" t="str">
        <f>IF(AllData[[#This Row],[Phosphate (PPM)]]&gt;0.5, "Very high", IF(AllData[[#This Row],[Phosphate (PPM)]]&gt;0.1, "High", IF(AllData[[#This Row],[Phosphate (PPM)]]&gt;0.05, "Some evidence", IF(AllData[[#This Row],[Phosphate (PPM)]]&lt;=0.05, "No Evidence", ""))))</f>
        <v>Very high</v>
      </c>
      <c r="U389">
        <v>0.65</v>
      </c>
    </row>
    <row r="390" spans="1:22" x14ac:dyDescent="0.25">
      <c r="A390" t="s">
        <v>623</v>
      </c>
      <c r="B390" s="2">
        <v>45325</v>
      </c>
      <c r="C390" s="2" t="str" cm="1">
        <f t="array" ref="C3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0">
        <v>2023</v>
      </c>
      <c r="E390" s="1">
        <v>0.48958333333333331</v>
      </c>
      <c r="F390" s="2" t="str">
        <f>IF(AND(AllData[[#This Row],[Time]]&lt;0.5, AllData[[#This Row],[Time]]&gt;0.17)=TRUE, "Morning", IF(AND(AllData[[#This Row],[Time]]&lt;0.75, AllData[[#This Row],[Time]]&gt;=0.5)=TRUE, "Afternoon", IF(AND(AllData[[#This Row],[Time]]&lt;1, AllData[[#This Row],[Time]]&gt;=0.75)=TRUE, "Evening", "Night")))</f>
        <v>Morning</v>
      </c>
      <c r="G390" t="str">
        <f>_xlfn.XLOOKUP(AllData[[#This Row],[Location Name]], Locations[Location Name],Locations[Group As])</f>
        <v>Carrant Bredon Rd</v>
      </c>
      <c r="H390" t="e" vm="1">
        <f>_xlfn.XLOOKUP(AllData[[#This Row],[Site Name]],LocationsKey[Site Name],LocationsKey[District])</f>
        <v>#VALUE!</v>
      </c>
      <c r="I390" t="e" vm="1">
        <f>_xlfn.XLOOKUP(AllData[[#This Row],[Site Name]],LocationsKey[Site Name],LocationsKey[Town])</f>
        <v>#VALUE!</v>
      </c>
      <c r="J390" t="str">
        <f>_xlfn.XLOOKUP(AllData[[#This Row],[Site Name]],LocationsKey[Site Name], LocationsKey[Waterway])</f>
        <v>Carrant</v>
      </c>
      <c r="K390" t="s">
        <v>600</v>
      </c>
      <c r="L390">
        <v>51.998399999999997</v>
      </c>
      <c r="M390">
        <v>-2.1528</v>
      </c>
      <c r="N390" t="s">
        <v>23</v>
      </c>
      <c r="O390">
        <v>787</v>
      </c>
      <c r="P390">
        <v>11.2</v>
      </c>
      <c r="Q390">
        <v>4</v>
      </c>
      <c r="R390" s="7" t="str">
        <f>IF(AllData[[#This Row],[Nitrate (PPM)]]&gt;2, "Very high", IF(AllData[[#This Row],[Nitrate (PPM)]]&gt;1, "High", IF(AllData[[#This Row],[Nitrate (PPM)]]&gt;0.5, "Some evidence", IF(AllData[[#This Row],[Nitrate (PPM)]]&gt;=0, "No evidence"))))</f>
        <v>Very high</v>
      </c>
      <c r="S390" s="4">
        <v>0.24</v>
      </c>
      <c r="T390" s="7" t="str">
        <f>IF(AllData[[#This Row],[Phosphate (PPM)]]&gt;0.5, "Very high", IF(AllData[[#This Row],[Phosphate (PPM)]]&gt;0.1, "High", IF(AllData[[#This Row],[Phosphate (PPM)]]&gt;0.05, "Some evidence", IF(AllData[[#This Row],[Phosphate (PPM)]]&lt;=0.05, "No Evidence", ""))))</f>
        <v>High</v>
      </c>
      <c r="U390">
        <v>0.02</v>
      </c>
    </row>
    <row r="391" spans="1:22" x14ac:dyDescent="0.25">
      <c r="A391" t="s">
        <v>624</v>
      </c>
      <c r="B391" s="2">
        <v>45325</v>
      </c>
      <c r="C391" s="2" t="str" cm="1">
        <f t="array" ref="C3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1">
        <v>2023</v>
      </c>
      <c r="E391" s="1">
        <v>0.5</v>
      </c>
      <c r="F391" s="2" t="str">
        <f>IF(AND(AllData[[#This Row],[Time]]&lt;0.5, AllData[[#This Row],[Time]]&gt;0.17)=TRUE, "Morning", IF(AND(AllData[[#This Row],[Time]]&lt;0.75, AllData[[#This Row],[Time]]&gt;=0.5)=TRUE, "Afternoon", IF(AND(AllData[[#This Row],[Time]]&lt;1, AllData[[#This Row],[Time]]&gt;=0.75)=TRUE, "Evening", "Night")))</f>
        <v>Afternoon</v>
      </c>
      <c r="G391" t="str">
        <f>_xlfn.XLOOKUP(AllData[[#This Row],[Location Name]], Locations[Location Name],Locations[Group As])</f>
        <v>Black Bear</v>
      </c>
      <c r="H391" t="e" vm="1">
        <f>_xlfn.XLOOKUP(AllData[[#This Row],[Site Name]],LocationsKey[Site Name],LocationsKey[District])</f>
        <v>#VALUE!</v>
      </c>
      <c r="I391" t="e" vm="1">
        <f>_xlfn.XLOOKUP(AllData[[#This Row],[Site Name]],LocationsKey[Site Name],LocationsKey[Town])</f>
        <v>#VALUE!</v>
      </c>
      <c r="J391" t="str">
        <f>_xlfn.XLOOKUP(AllData[[#This Row],[Site Name]],LocationsKey[Site Name], LocationsKey[Waterway])</f>
        <v>Avon</v>
      </c>
      <c r="K391" t="s">
        <v>567</v>
      </c>
      <c r="L391">
        <v>51.997509000000001</v>
      </c>
      <c r="M391">
        <v>-2.1560800000000002</v>
      </c>
      <c r="N391" t="s">
        <v>23</v>
      </c>
      <c r="O391">
        <v>840</v>
      </c>
      <c r="P391">
        <v>10</v>
      </c>
      <c r="Q391">
        <v>6</v>
      </c>
      <c r="R391" s="7" t="str">
        <f>IF(AllData[[#This Row],[Nitrate (PPM)]]&gt;2, "Very high", IF(AllData[[#This Row],[Nitrate (PPM)]]&gt;1, "High", IF(AllData[[#This Row],[Nitrate (PPM)]]&gt;0.5, "Some evidence", IF(AllData[[#This Row],[Nitrate (PPM)]]&gt;=0, "No evidence"))))</f>
        <v>Very high</v>
      </c>
      <c r="S391" s="4">
        <v>0.96</v>
      </c>
      <c r="T391" s="7" t="str">
        <f>IF(AllData[[#This Row],[Phosphate (PPM)]]&gt;0.5, "Very high", IF(AllData[[#This Row],[Phosphate (PPM)]]&gt;0.1, "High", IF(AllData[[#This Row],[Phosphate (PPM)]]&gt;0.05, "Some evidence", IF(AllData[[#This Row],[Phosphate (PPM)]]&lt;=0.05, "No Evidence", ""))))</f>
        <v>Very high</v>
      </c>
      <c r="U391">
        <v>0</v>
      </c>
    </row>
    <row r="392" spans="1:22" x14ac:dyDescent="0.25">
      <c r="A392" t="s">
        <v>625</v>
      </c>
      <c r="B392" s="2">
        <v>45326</v>
      </c>
      <c r="C392" s="2" t="str" cm="1">
        <f t="array" ref="C3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2">
        <v>2023</v>
      </c>
      <c r="E392" s="1">
        <v>0.5625</v>
      </c>
      <c r="F392" s="2" t="str">
        <f>IF(AND(AllData[[#This Row],[Time]]&lt;0.5, AllData[[#This Row],[Time]]&gt;0.17)=TRUE, "Morning", IF(AND(AllData[[#This Row],[Time]]&lt;0.75, AllData[[#This Row],[Time]]&gt;=0.5)=TRUE, "Afternoon", IF(AND(AllData[[#This Row],[Time]]&lt;1, AllData[[#This Row],[Time]]&gt;=0.75)=TRUE, "Evening", "Night")))</f>
        <v>Afternoon</v>
      </c>
      <c r="G392" t="str">
        <f>_xlfn.XLOOKUP(AllData[[#This Row],[Location Name]], Locations[Location Name],Locations[Group As])</f>
        <v>Clifford Chambers Mill Bridge</v>
      </c>
      <c r="H392" t="e" vm="2">
        <f>_xlfn.XLOOKUP(AllData[[#This Row],[Site Name]],LocationsKey[Site Name],LocationsKey[District])</f>
        <v>#VALUE!</v>
      </c>
      <c r="I392" t="e" vm="12">
        <f>_xlfn.XLOOKUP(AllData[[#This Row],[Site Name]],LocationsKey[Site Name],LocationsKey[Town])</f>
        <v>#VALUE!</v>
      </c>
      <c r="J392" t="str">
        <f>_xlfn.XLOOKUP(AllData[[#This Row],[Site Name]],LocationsKey[Site Name], LocationsKey[Waterway])</f>
        <v>Stour</v>
      </c>
      <c r="K392" t="s">
        <v>263</v>
      </c>
      <c r="L392">
        <v>52.166370000000001</v>
      </c>
      <c r="M392">
        <v>-1.708032</v>
      </c>
      <c r="N392" t="s">
        <v>66</v>
      </c>
      <c r="O392" s="219">
        <v>668</v>
      </c>
      <c r="P392">
        <v>12.3</v>
      </c>
      <c r="Q392" s="219">
        <v>5</v>
      </c>
      <c r="R392" s="7" t="str">
        <f>IF(AllData[[#This Row],[Nitrate (PPM)]]&gt;2, "Very high", IF(AllData[[#This Row],[Nitrate (PPM)]]&gt;1, "High", IF(AllData[[#This Row],[Nitrate (PPM)]]&gt;0.5, "Some evidence", IF(AllData[[#This Row],[Nitrate (PPM)]]&gt;=0, "No evidence"))))</f>
        <v>Very high</v>
      </c>
      <c r="S392" s="221">
        <v>0.5</v>
      </c>
      <c r="T392" s="7" t="str">
        <f>IF(AllData[[#This Row],[Phosphate (PPM)]]&gt;0.5, "Very high", IF(AllData[[#This Row],[Phosphate (PPM)]]&gt;0.1, "High", IF(AllData[[#This Row],[Phosphate (PPM)]]&gt;0.05, "Some evidence", IF(AllData[[#This Row],[Phosphate (PPM)]]&lt;=0.05, "No Evidence", ""))))</f>
        <v>High</v>
      </c>
      <c r="U392">
        <v>0.7</v>
      </c>
    </row>
    <row r="393" spans="1:22" x14ac:dyDescent="0.25">
      <c r="A393" t="s">
        <v>626</v>
      </c>
      <c r="B393" s="2">
        <v>45326</v>
      </c>
      <c r="C393" s="2" t="str" cm="1">
        <f t="array" ref="C3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3">
        <v>2023</v>
      </c>
      <c r="E393" s="1">
        <v>0.625</v>
      </c>
      <c r="F393" s="2" t="str">
        <f>IF(AND(AllData[[#This Row],[Time]]&lt;0.5, AllData[[#This Row],[Time]]&gt;0.17)=TRUE, "Morning", IF(AND(AllData[[#This Row],[Time]]&lt;0.75, AllData[[#This Row],[Time]]&gt;=0.5)=TRUE, "Afternoon", IF(AND(AllData[[#This Row],[Time]]&lt;1, AllData[[#This Row],[Time]]&gt;=0.75)=TRUE, "Evening", "Night")))</f>
        <v>Afternoon</v>
      </c>
      <c r="G393" t="str">
        <f>_xlfn.XLOOKUP(AllData[[#This Row],[Location Name]], Locations[Location Name],Locations[Group As])</f>
        <v>Sherbourne Brook 1</v>
      </c>
      <c r="H393" t="e" vm="2">
        <f>_xlfn.XLOOKUP(AllData[[#This Row],[Site Name]],LocationsKey[Site Name],LocationsKey[District])</f>
        <v>#VALUE!</v>
      </c>
      <c r="I393" t="e" vm="16">
        <f>_xlfn.XLOOKUP(AllData[[#This Row],[Site Name]],LocationsKey[Site Name],LocationsKey[Town])</f>
        <v>#VALUE!</v>
      </c>
      <c r="J393" t="str">
        <f>_xlfn.XLOOKUP(AllData[[#This Row],[Site Name]],LocationsKey[Site Name], LocationsKey[Waterway])</f>
        <v>Sherbourne Brook</v>
      </c>
      <c r="K393" t="s">
        <v>570</v>
      </c>
      <c r="L393">
        <v>52.252499999999998</v>
      </c>
      <c r="M393">
        <v>-1.6685000000000001</v>
      </c>
      <c r="N393" t="s">
        <v>23</v>
      </c>
      <c r="O393">
        <v>1100</v>
      </c>
      <c r="P393">
        <v>11.1</v>
      </c>
      <c r="Q393">
        <v>12</v>
      </c>
      <c r="R393" s="7" t="str">
        <f>IF(AllData[[#This Row],[Nitrate (PPM)]]&gt;2, "Very high", IF(AllData[[#This Row],[Nitrate (PPM)]]&gt;1, "High", IF(AllData[[#This Row],[Nitrate (PPM)]]&gt;0.5, "Some evidence", IF(AllData[[#This Row],[Nitrate (PPM)]]&gt;=0, "No evidence"))))</f>
        <v>Very high</v>
      </c>
      <c r="S393" s="4">
        <v>0.45</v>
      </c>
      <c r="T393" s="7" t="str">
        <f>IF(AllData[[#This Row],[Phosphate (PPM)]]&gt;0.5, "Very high", IF(AllData[[#This Row],[Phosphate (PPM)]]&gt;0.1, "High", IF(AllData[[#This Row],[Phosphate (PPM)]]&gt;0.05, "Some evidence", IF(AllData[[#This Row],[Phosphate (PPM)]]&lt;=0.05, "No Evidence", ""))))</f>
        <v>High</v>
      </c>
      <c r="U393">
        <v>0.5</v>
      </c>
    </row>
    <row r="394" spans="1:22" x14ac:dyDescent="0.25">
      <c r="A394" t="s">
        <v>627</v>
      </c>
      <c r="B394" s="2">
        <v>45326</v>
      </c>
      <c r="C394" s="2" t="str" cm="1">
        <f t="array" ref="C3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4">
        <v>2023</v>
      </c>
      <c r="E394" s="1">
        <v>0.63541666666666663</v>
      </c>
      <c r="F394" s="2" t="str">
        <f>IF(AND(AllData[[#This Row],[Time]]&lt;0.5, AllData[[#This Row],[Time]]&gt;0.17)=TRUE, "Morning", IF(AND(AllData[[#This Row],[Time]]&lt;0.75, AllData[[#This Row],[Time]]&gt;=0.5)=TRUE, "Afternoon", IF(AND(AllData[[#This Row],[Time]]&lt;1, AllData[[#This Row],[Time]]&gt;=0.75)=TRUE, "Evening", "Night")))</f>
        <v>Afternoon</v>
      </c>
      <c r="G394" t="str">
        <f>_xlfn.XLOOKUP(AllData[[#This Row],[Location Name]], Locations[Location Name],Locations[Group As])</f>
        <v>Bell Brook 1</v>
      </c>
      <c r="H394" t="e" vm="2">
        <f>_xlfn.XLOOKUP(AllData[[#This Row],[Site Name]],LocationsKey[Site Name],LocationsKey[District])</f>
        <v>#VALUE!</v>
      </c>
      <c r="I394" t="e" vm="15">
        <f>_xlfn.XLOOKUP(AllData[[#This Row],[Site Name]],LocationsKey[Site Name],LocationsKey[Town])</f>
        <v>#VALUE!</v>
      </c>
      <c r="J394" t="str">
        <f>_xlfn.XLOOKUP(AllData[[#This Row],[Site Name]],LocationsKey[Site Name], LocationsKey[Waterway])</f>
        <v>Bell Brook</v>
      </c>
      <c r="K394" t="s">
        <v>534</v>
      </c>
      <c r="L394">
        <v>52.244900000000001</v>
      </c>
      <c r="M394">
        <v>-1.6617</v>
      </c>
      <c r="N394" t="s">
        <v>23</v>
      </c>
      <c r="O394">
        <v>725</v>
      </c>
      <c r="P394">
        <v>11.1</v>
      </c>
      <c r="Q394">
        <v>10</v>
      </c>
      <c r="R394" s="7" t="str">
        <f>IF(AllData[[#This Row],[Nitrate (PPM)]]&gt;2, "Very high", IF(AllData[[#This Row],[Nitrate (PPM)]]&gt;1, "High", IF(AllData[[#This Row],[Nitrate (PPM)]]&gt;0.5, "Some evidence", IF(AllData[[#This Row],[Nitrate (PPM)]]&gt;=0, "No evidence"))))</f>
        <v>Very high</v>
      </c>
      <c r="S394" s="4">
        <v>0.5</v>
      </c>
      <c r="T394" s="7" t="str">
        <f>IF(AllData[[#This Row],[Phosphate (PPM)]]&gt;0.5, "Very high", IF(AllData[[#This Row],[Phosphate (PPM)]]&gt;0.1, "High", IF(AllData[[#This Row],[Phosphate (PPM)]]&gt;0.05, "Some evidence", IF(AllData[[#This Row],[Phosphate (PPM)]]&lt;=0.05, "No Evidence", ""))))</f>
        <v>High</v>
      </c>
      <c r="U394">
        <v>0.5</v>
      </c>
    </row>
    <row r="395" spans="1:22" x14ac:dyDescent="0.25">
      <c r="A395" t="s">
        <v>628</v>
      </c>
      <c r="B395" s="2">
        <v>45327</v>
      </c>
      <c r="C395" s="2" t="str" cm="1">
        <f t="array" ref="C3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5">
        <v>2023</v>
      </c>
      <c r="E395" s="1">
        <v>0.35694444444444445</v>
      </c>
      <c r="F395" s="2" t="str">
        <f>IF(AND(AllData[[#This Row],[Time]]&lt;0.5, AllData[[#This Row],[Time]]&gt;0.17)=TRUE, "Morning", IF(AND(AllData[[#This Row],[Time]]&lt;0.75, AllData[[#This Row],[Time]]&gt;=0.5)=TRUE, "Afternoon", IF(AND(AllData[[#This Row],[Time]]&lt;1, AllData[[#This Row],[Time]]&gt;=0.75)=TRUE, "Evening", "Night")))</f>
        <v>Morning</v>
      </c>
      <c r="G395" t="str">
        <f>_xlfn.XLOOKUP(AllData[[#This Row],[Location Name]], Locations[Location Name],Locations[Group As])</f>
        <v>Stour Stretton-on-Fosse Village</v>
      </c>
      <c r="H395" t="e" vm="2">
        <f>_xlfn.XLOOKUP(AllData[[#This Row],[Site Name]],LocationsKey[Site Name],LocationsKey[District])</f>
        <v>#VALUE!</v>
      </c>
      <c r="I395" t="e" vm="14">
        <f>_xlfn.XLOOKUP(AllData[[#This Row],[Site Name]],LocationsKey[Site Name],LocationsKey[Town])</f>
        <v>#VALUE!</v>
      </c>
      <c r="J395" t="str">
        <f>_xlfn.XLOOKUP(AllData[[#This Row],[Site Name]],LocationsKey[Site Name], LocationsKey[Waterway])</f>
        <v>Stour</v>
      </c>
      <c r="K395" t="s">
        <v>544</v>
      </c>
      <c r="L395">
        <v>52.046529</v>
      </c>
      <c r="M395">
        <v>-1.6734070000000001</v>
      </c>
      <c r="N395" t="s">
        <v>66</v>
      </c>
      <c r="O395">
        <v>751</v>
      </c>
      <c r="P395">
        <v>9.1999999999999993</v>
      </c>
      <c r="Q395">
        <v>2</v>
      </c>
      <c r="R395" s="7" t="str">
        <f>IF(AllData[[#This Row],[Nitrate (PPM)]]&gt;2, "Very high", IF(AllData[[#This Row],[Nitrate (PPM)]]&gt;1, "High", IF(AllData[[#This Row],[Nitrate (PPM)]]&gt;0.5, "Some evidence", IF(AllData[[#This Row],[Nitrate (PPM)]]&gt;=0, "No evidence"))))</f>
        <v>High</v>
      </c>
      <c r="S395" s="4">
        <v>1.45</v>
      </c>
      <c r="T395" s="7" t="str">
        <f>IF(AllData[[#This Row],[Phosphate (PPM)]]&gt;0.5, "Very high", IF(AllData[[#This Row],[Phosphate (PPM)]]&gt;0.1, "High", IF(AllData[[#This Row],[Phosphate (PPM)]]&gt;0.05, "Some evidence", IF(AllData[[#This Row],[Phosphate (PPM)]]&lt;=0.05, "No Evidence", ""))))</f>
        <v>Very high</v>
      </c>
      <c r="U395">
        <v>0.2</v>
      </c>
    </row>
    <row r="396" spans="1:22" x14ac:dyDescent="0.25">
      <c r="A396" t="s">
        <v>629</v>
      </c>
      <c r="B396" s="2">
        <v>45327</v>
      </c>
      <c r="C396" s="2" t="str" cm="1">
        <f t="array" ref="C3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6">
        <v>2023</v>
      </c>
      <c r="E396" s="1">
        <v>0.375</v>
      </c>
      <c r="F396" s="2" t="str">
        <f>IF(AND(AllData[[#This Row],[Time]]&lt;0.5, AllData[[#This Row],[Time]]&gt;0.17)=TRUE, "Morning", IF(AND(AllData[[#This Row],[Time]]&lt;0.75, AllData[[#This Row],[Time]]&gt;=0.5)=TRUE, "Afternoon", IF(AND(AllData[[#This Row],[Time]]&lt;1, AllData[[#This Row],[Time]]&gt;=0.75)=TRUE, "Evening", "Night")))</f>
        <v>Morning</v>
      </c>
      <c r="G396" t="str">
        <f>_xlfn.XLOOKUP(AllData[[#This Row],[Location Name]], Locations[Location Name],Locations[Group As])</f>
        <v>Stour Stretton-on-Fosse Sewage Works</v>
      </c>
      <c r="H396" t="e" vm="2">
        <f>_xlfn.XLOOKUP(AllData[[#This Row],[Site Name]],LocationsKey[Site Name],LocationsKey[District])</f>
        <v>#VALUE!</v>
      </c>
      <c r="I396" t="e" vm="14">
        <f>_xlfn.XLOOKUP(AllData[[#This Row],[Site Name]],LocationsKey[Site Name],LocationsKey[Town])</f>
        <v>#VALUE!</v>
      </c>
      <c r="J396" t="str">
        <f>_xlfn.XLOOKUP(AllData[[#This Row],[Site Name]],LocationsKey[Site Name], LocationsKey[Waterway])</f>
        <v>Stour</v>
      </c>
      <c r="K396" t="s">
        <v>335</v>
      </c>
      <c r="L396">
        <v>52.045651999999997</v>
      </c>
      <c r="M396">
        <v>-1.6719360000000001</v>
      </c>
      <c r="N396" t="s">
        <v>29</v>
      </c>
      <c r="O396">
        <v>787</v>
      </c>
      <c r="P396">
        <v>8.6</v>
      </c>
      <c r="Q396">
        <v>5</v>
      </c>
      <c r="R396" s="7" t="str">
        <f>IF(AllData[[#This Row],[Nitrate (PPM)]]&gt;2, "Very high", IF(AllData[[#This Row],[Nitrate (PPM)]]&gt;1, "High", IF(AllData[[#This Row],[Nitrate (PPM)]]&gt;0.5, "Some evidence", IF(AllData[[#This Row],[Nitrate (PPM)]]&gt;=0, "No evidence"))))</f>
        <v>Very high</v>
      </c>
      <c r="S396" s="4">
        <v>2.5</v>
      </c>
      <c r="T396" s="7" t="str">
        <f>IF(AllData[[#This Row],[Phosphate (PPM)]]&gt;0.5, "Very high", IF(AllData[[#This Row],[Phosphate (PPM)]]&gt;0.1, "High", IF(AllData[[#This Row],[Phosphate (PPM)]]&gt;0.05, "Some evidence", IF(AllData[[#This Row],[Phosphate (PPM)]]&lt;=0.05, "No Evidence", ""))))</f>
        <v>Very high</v>
      </c>
      <c r="U396">
        <v>0.3</v>
      </c>
      <c r="V396" t="s">
        <v>630</v>
      </c>
    </row>
    <row r="397" spans="1:22" x14ac:dyDescent="0.25">
      <c r="A397" t="s">
        <v>631</v>
      </c>
      <c r="B397" s="2">
        <v>45327</v>
      </c>
      <c r="C397" s="2" t="str" cm="1">
        <f t="array" ref="C3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7">
        <v>2023</v>
      </c>
      <c r="E397" s="1">
        <v>0.57499999999999996</v>
      </c>
      <c r="F397" s="2" t="str">
        <f>IF(AND(AllData[[#This Row],[Time]]&lt;0.5, AllData[[#This Row],[Time]]&gt;0.17)=TRUE, "Morning", IF(AND(AllData[[#This Row],[Time]]&lt;0.75, AllData[[#This Row],[Time]]&gt;=0.5)=TRUE, "Afternoon", IF(AND(AllData[[#This Row],[Time]]&lt;1, AllData[[#This Row],[Time]]&gt;=0.75)=TRUE, "Evening", "Night")))</f>
        <v>Afternoon</v>
      </c>
      <c r="G397" t="str">
        <f>_xlfn.XLOOKUP(AllData[[#This Row],[Location Name]], Locations[Location Name],Locations[Group As])</f>
        <v>Swiffen Bank</v>
      </c>
      <c r="H397" t="e" vm="2">
        <f>_xlfn.XLOOKUP(AllData[[#This Row],[Site Name]],LocationsKey[Site Name],LocationsKey[District])</f>
        <v>#VALUE!</v>
      </c>
      <c r="I397" t="e" vm="13">
        <f>_xlfn.XLOOKUP(AllData[[#This Row],[Site Name]],LocationsKey[Site Name],LocationsKey[Town])</f>
        <v>#VALUE!</v>
      </c>
      <c r="J397" t="str">
        <f>_xlfn.XLOOKUP(AllData[[#This Row],[Site Name]],LocationsKey[Site Name], LocationsKey[Waterway])</f>
        <v>Avon</v>
      </c>
      <c r="K397" t="s">
        <v>443</v>
      </c>
      <c r="L397">
        <v>52.206367</v>
      </c>
      <c r="M397">
        <v>-1.6540980000000001</v>
      </c>
      <c r="N397" t="s">
        <v>29</v>
      </c>
      <c r="O397" s="219">
        <v>699</v>
      </c>
      <c r="P397">
        <v>11.2</v>
      </c>
      <c r="Q397" s="219">
        <v>10</v>
      </c>
      <c r="R397" s="7" t="str">
        <f>IF(AllData[[#This Row],[Nitrate (PPM)]]&gt;2, "Very high", IF(AllData[[#This Row],[Nitrate (PPM)]]&gt;1, "High", IF(AllData[[#This Row],[Nitrate (PPM)]]&gt;0.5, "Some evidence", IF(AllData[[#This Row],[Nitrate (PPM)]]&gt;=0, "No evidence"))))</f>
        <v>Very high</v>
      </c>
      <c r="S397" s="221">
        <v>0.7</v>
      </c>
      <c r="T397" s="7" t="str">
        <f>IF(AllData[[#This Row],[Phosphate (PPM)]]&gt;0.5, "Very high", IF(AllData[[#This Row],[Phosphate (PPM)]]&gt;0.1, "High", IF(AllData[[#This Row],[Phosphate (PPM)]]&gt;0.05, "Some evidence", IF(AllData[[#This Row],[Phosphate (PPM)]]&lt;=0.05, "No Evidence", ""))))</f>
        <v>Very high</v>
      </c>
      <c r="U397">
        <v>0</v>
      </c>
    </row>
    <row r="398" spans="1:22" x14ac:dyDescent="0.25">
      <c r="A398" t="s">
        <v>632</v>
      </c>
      <c r="B398" s="2">
        <v>45327</v>
      </c>
      <c r="C398" s="2" t="str" cm="1">
        <f t="array" ref="C3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8">
        <v>2023</v>
      </c>
      <c r="E398" s="1">
        <v>0.59583333333333333</v>
      </c>
      <c r="F398" s="2" t="str">
        <f>IF(AND(AllData[[#This Row],[Time]]&lt;0.5, AllData[[#This Row],[Time]]&gt;0.17)=TRUE, "Morning", IF(AND(AllData[[#This Row],[Time]]&lt;0.75, AllData[[#This Row],[Time]]&gt;=0.5)=TRUE, "Afternoon", IF(AND(AllData[[#This Row],[Time]]&lt;1, AllData[[#This Row],[Time]]&gt;=0.75)=TRUE, "Evening", "Night")))</f>
        <v>Afternoon</v>
      </c>
      <c r="G398" t="str">
        <f>_xlfn.XLOOKUP(AllData[[#This Row],[Location Name]], Locations[Location Name],Locations[Group As])</f>
        <v>Alveston Weir</v>
      </c>
      <c r="H398" t="e" vm="2">
        <f>_xlfn.XLOOKUP(AllData[[#This Row],[Site Name]],LocationsKey[Site Name],LocationsKey[District])</f>
        <v>#VALUE!</v>
      </c>
      <c r="I398" t="e" vm="13">
        <f>_xlfn.XLOOKUP(AllData[[#This Row],[Site Name]],LocationsKey[Site Name],LocationsKey[Town])</f>
        <v>#VALUE!</v>
      </c>
      <c r="J398" t="str">
        <f>_xlfn.XLOOKUP(AllData[[#This Row],[Site Name]],LocationsKey[Site Name], LocationsKey[Waterway])</f>
        <v>Avon</v>
      </c>
      <c r="K398" t="s">
        <v>633</v>
      </c>
      <c r="L398">
        <v>52.214258000000001</v>
      </c>
      <c r="M398">
        <v>-1.6600569999999999</v>
      </c>
      <c r="N398" t="s">
        <v>29</v>
      </c>
      <c r="O398" s="219">
        <v>704</v>
      </c>
      <c r="P398">
        <v>10.4</v>
      </c>
      <c r="Q398" s="219">
        <v>5</v>
      </c>
      <c r="R398" s="7" t="str">
        <f>IF(AllData[[#This Row],[Nitrate (PPM)]]&gt;2, "Very high", IF(AllData[[#This Row],[Nitrate (PPM)]]&gt;1, "High", IF(AllData[[#This Row],[Nitrate (PPM)]]&gt;0.5, "Some evidence", IF(AllData[[#This Row],[Nitrate (PPM)]]&gt;=0, "No evidence"))))</f>
        <v>Very high</v>
      </c>
      <c r="S398" s="221">
        <v>0.69</v>
      </c>
      <c r="T398" s="7" t="str">
        <f>IF(AllData[[#This Row],[Phosphate (PPM)]]&gt;0.5, "Very high", IF(AllData[[#This Row],[Phosphate (PPM)]]&gt;0.1, "High", IF(AllData[[#This Row],[Phosphate (PPM)]]&gt;0.05, "Some evidence", IF(AllData[[#This Row],[Phosphate (PPM)]]&lt;=0.05, "No Evidence", ""))))</f>
        <v>Very high</v>
      </c>
      <c r="U398">
        <v>-0.5</v>
      </c>
    </row>
    <row r="399" spans="1:22" x14ac:dyDescent="0.25">
      <c r="A399" t="s">
        <v>634</v>
      </c>
      <c r="B399" s="2">
        <v>45327</v>
      </c>
      <c r="C399" s="2" t="str" cm="1">
        <f t="array" ref="C3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9">
        <v>2023</v>
      </c>
      <c r="E399" s="1">
        <v>0.61458333333333337</v>
      </c>
      <c r="F399" s="2" t="str">
        <f>IF(AND(AllData[[#This Row],[Time]]&lt;0.5, AllData[[#This Row],[Time]]&gt;0.17)=TRUE, "Morning", IF(AND(AllData[[#This Row],[Time]]&lt;0.75, AllData[[#This Row],[Time]]&gt;=0.5)=TRUE, "Afternoon", IF(AND(AllData[[#This Row],[Time]]&lt;1, AllData[[#This Row],[Time]]&gt;=0.75)=TRUE, "Evening", "Night")))</f>
        <v>Afternoon</v>
      </c>
      <c r="G399" t="str">
        <f>_xlfn.XLOOKUP(AllData[[#This Row],[Location Name]], Locations[Location Name],Locations[Group As])</f>
        <v>Abbey Mill</v>
      </c>
      <c r="H399" t="e" vm="1">
        <f>_xlfn.XLOOKUP(AllData[[#This Row],[Site Name]],LocationsKey[Site Name],LocationsKey[District])</f>
        <v>#VALUE!</v>
      </c>
      <c r="I399" t="e" vm="1">
        <f>_xlfn.XLOOKUP(AllData[[#This Row],[Site Name]],LocationsKey[Site Name],LocationsKey[Town])</f>
        <v>#VALUE!</v>
      </c>
      <c r="J399" t="str">
        <f>_xlfn.XLOOKUP(AllData[[#This Row],[Site Name]],LocationsKey[Site Name], LocationsKey[Waterway])</f>
        <v>Avon</v>
      </c>
      <c r="K399" t="s">
        <v>25</v>
      </c>
      <c r="L399">
        <v>51.991312999999998</v>
      </c>
      <c r="M399">
        <v>-2.1626340000000002</v>
      </c>
      <c r="N399" t="s">
        <v>23</v>
      </c>
      <c r="O399">
        <v>906</v>
      </c>
      <c r="P399">
        <v>9.6999999999999993</v>
      </c>
      <c r="Q399">
        <v>5</v>
      </c>
      <c r="R399" s="7" t="str">
        <f>IF(AllData[[#This Row],[Nitrate (PPM)]]&gt;2, "Very high", IF(AllData[[#This Row],[Nitrate (PPM)]]&gt;1, "High", IF(AllData[[#This Row],[Nitrate (PPM)]]&gt;0.5, "Some evidence", IF(AllData[[#This Row],[Nitrate (PPM)]]&gt;=0, "No evidence"))))</f>
        <v>Very high</v>
      </c>
      <c r="S399" s="4">
        <v>0.63</v>
      </c>
      <c r="T399" s="7" t="str">
        <f>IF(AllData[[#This Row],[Phosphate (PPM)]]&gt;0.5, "Very high", IF(AllData[[#This Row],[Phosphate (PPM)]]&gt;0.1, "High", IF(AllData[[#This Row],[Phosphate (PPM)]]&gt;0.05, "Some evidence", IF(AllData[[#This Row],[Phosphate (PPM)]]&lt;=0.05, "No Evidence", ""))))</f>
        <v>Very high</v>
      </c>
      <c r="U399">
        <v>0.5</v>
      </c>
      <c r="V399" t="s">
        <v>635</v>
      </c>
    </row>
    <row r="400" spans="1:22" x14ac:dyDescent="0.25">
      <c r="A400" t="s">
        <v>636</v>
      </c>
      <c r="B400" s="2">
        <v>45329</v>
      </c>
      <c r="C400" s="2" t="str" cm="1">
        <f t="array" ref="C4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0">
        <v>2023</v>
      </c>
      <c r="E400" s="1">
        <v>0.625</v>
      </c>
      <c r="F400" s="2" t="str">
        <f>IF(AND(AllData[[#This Row],[Time]]&lt;0.5, AllData[[#This Row],[Time]]&gt;0.17)=TRUE, "Morning", IF(AND(AllData[[#This Row],[Time]]&lt;0.75, AllData[[#This Row],[Time]]&gt;=0.5)=TRUE, "Afternoon", IF(AND(AllData[[#This Row],[Time]]&lt;1, AllData[[#This Row],[Time]]&gt;=0.75)=TRUE, "Evening", "Night")))</f>
        <v>Afternoon</v>
      </c>
      <c r="G400" t="str">
        <f>_xlfn.XLOOKUP(AllData[[#This Row],[Location Name]], Locations[Location Name],Locations[Group As])</f>
        <v>Stour Newbold Mill</v>
      </c>
      <c r="H400" t="e" vm="2">
        <f>_xlfn.XLOOKUP(AllData[[#This Row],[Site Name]],LocationsKey[Site Name],LocationsKey[District])</f>
        <v>#VALUE!</v>
      </c>
      <c r="I400" t="e" vm="8">
        <f>_xlfn.XLOOKUP(AllData[[#This Row],[Site Name]],LocationsKey[Site Name],LocationsKey[Town])</f>
        <v>#VALUE!</v>
      </c>
      <c r="J400" t="str">
        <f>_xlfn.XLOOKUP(AllData[[#This Row],[Site Name]],LocationsKey[Site Name], LocationsKey[Waterway])</f>
        <v>Stour</v>
      </c>
      <c r="K400" t="s">
        <v>140</v>
      </c>
      <c r="L400">
        <v>52.112793000000003</v>
      </c>
      <c r="M400">
        <v>-1.633481</v>
      </c>
      <c r="N400" t="s">
        <v>66</v>
      </c>
      <c r="O400">
        <v>606</v>
      </c>
      <c r="P400">
        <v>8.1</v>
      </c>
      <c r="Q400">
        <v>2</v>
      </c>
      <c r="R400" s="7" t="str">
        <f>IF(AllData[[#This Row],[Nitrate (PPM)]]&gt;2, "Very high", IF(AllData[[#This Row],[Nitrate (PPM)]]&gt;1, "High", IF(AllData[[#This Row],[Nitrate (PPM)]]&gt;0.5, "Some evidence", IF(AllData[[#This Row],[Nitrate (PPM)]]&gt;=0, "No evidence"))))</f>
        <v>High</v>
      </c>
      <c r="S400" s="4">
        <v>0.25</v>
      </c>
      <c r="T400" s="7" t="str">
        <f>IF(AllData[[#This Row],[Phosphate (PPM)]]&gt;0.5, "Very high", IF(AllData[[#This Row],[Phosphate (PPM)]]&gt;0.1, "High", IF(AllData[[#This Row],[Phosphate (PPM)]]&gt;0.05, "Some evidence", IF(AllData[[#This Row],[Phosphate (PPM)]]&lt;=0.05, "No Evidence", ""))))</f>
        <v>High</v>
      </c>
      <c r="U400">
        <v>3.5</v>
      </c>
      <c r="V400" t="s">
        <v>637</v>
      </c>
    </row>
    <row r="401" spans="1:22" x14ac:dyDescent="0.25">
      <c r="A401" t="s">
        <v>638</v>
      </c>
      <c r="B401" s="2">
        <v>45330</v>
      </c>
      <c r="C401" s="2" t="str" cm="1">
        <f t="array" ref="C4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1">
        <v>2023</v>
      </c>
      <c r="E401" s="1">
        <v>0.47916666666666669</v>
      </c>
      <c r="F401" s="2" t="str">
        <f>IF(AND(AllData[[#This Row],[Time]]&lt;0.5, AllData[[#This Row],[Time]]&gt;0.17)=TRUE, "Morning", IF(AND(AllData[[#This Row],[Time]]&lt;0.75, AllData[[#This Row],[Time]]&gt;=0.5)=TRUE, "Afternoon", IF(AND(AllData[[#This Row],[Time]]&lt;1, AllData[[#This Row],[Time]]&gt;=0.75)=TRUE, "Evening", "Night")))</f>
        <v>Morning</v>
      </c>
      <c r="G401" t="str">
        <f>_xlfn.XLOOKUP(AllData[[#This Row],[Location Name]], Locations[Location Name],Locations[Group As])</f>
        <v>Stour Willington</v>
      </c>
      <c r="H401" t="e" vm="2">
        <f>_xlfn.XLOOKUP(AllData[[#This Row],[Site Name]],LocationsKey[Site Name],LocationsKey[District])</f>
        <v>#VALUE!</v>
      </c>
      <c r="I401" t="str">
        <f>_xlfn.XLOOKUP(AllData[[#This Row],[Site Name]],LocationsKey[Site Name],LocationsKey[Town])</f>
        <v>Willington</v>
      </c>
      <c r="J401" t="str">
        <f>_xlfn.XLOOKUP(AllData[[#This Row],[Site Name]],LocationsKey[Site Name], LocationsKey[Waterway])</f>
        <v>Stour</v>
      </c>
      <c r="K401" t="s">
        <v>517</v>
      </c>
      <c r="L401">
        <v>52.051000000000002</v>
      </c>
      <c r="M401">
        <v>-1.6140000000000001</v>
      </c>
      <c r="N401" t="s">
        <v>23</v>
      </c>
      <c r="O401">
        <v>465</v>
      </c>
      <c r="P401">
        <v>8.6999999999999993</v>
      </c>
      <c r="Q401">
        <v>0.5</v>
      </c>
      <c r="R401" s="7" t="str">
        <f>IF(AllData[[#This Row],[Nitrate (PPM)]]&gt;2, "Very high", IF(AllData[[#This Row],[Nitrate (PPM)]]&gt;1, "High", IF(AllData[[#This Row],[Nitrate (PPM)]]&gt;0.5, "Some evidence", IF(AllData[[#This Row],[Nitrate (PPM)]]&gt;=0, "No evidence"))))</f>
        <v>No evidence</v>
      </c>
      <c r="S401" s="4">
        <v>0.28999999999999998</v>
      </c>
      <c r="T401" s="7" t="str">
        <f>IF(AllData[[#This Row],[Phosphate (PPM)]]&gt;0.5, "Very high", IF(AllData[[#This Row],[Phosphate (PPM)]]&gt;0.1, "High", IF(AllData[[#This Row],[Phosphate (PPM)]]&gt;0.05, "Some evidence", IF(AllData[[#This Row],[Phosphate (PPM)]]&lt;=0.05, "No Evidence", ""))))</f>
        <v>High</v>
      </c>
      <c r="U401">
        <v>1</v>
      </c>
    </row>
    <row r="402" spans="1:22" x14ac:dyDescent="0.25">
      <c r="A402" t="s">
        <v>639</v>
      </c>
      <c r="B402" s="2">
        <v>45330</v>
      </c>
      <c r="C402" s="2" t="str" cm="1">
        <f t="array" ref="C4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2">
        <v>2023</v>
      </c>
      <c r="E402" s="1">
        <v>0.5</v>
      </c>
      <c r="F402" s="2" t="str">
        <f>IF(AND(AllData[[#This Row],[Time]]&lt;0.5, AllData[[#This Row],[Time]]&gt;0.17)=TRUE, "Morning", IF(AND(AllData[[#This Row],[Time]]&lt;0.75, AllData[[#This Row],[Time]]&gt;=0.5)=TRUE, "Afternoon", IF(AND(AllData[[#This Row],[Time]]&lt;1, AllData[[#This Row],[Time]]&gt;=0.75)=TRUE, "Evening", "Night")))</f>
        <v>Afternoon</v>
      </c>
      <c r="G402" t="str">
        <f>_xlfn.XLOOKUP(AllData[[#This Row],[Location Name]], Locations[Location Name],Locations[Group As])</f>
        <v>Swilgate</v>
      </c>
      <c r="H402" t="e" vm="1">
        <f>_xlfn.XLOOKUP(AllData[[#This Row],[Site Name]],LocationsKey[Site Name],LocationsKey[District])</f>
        <v>#VALUE!</v>
      </c>
      <c r="I402" t="e" vm="1">
        <f>_xlfn.XLOOKUP(AllData[[#This Row],[Site Name]],LocationsKey[Site Name],LocationsKey[Town])</f>
        <v>#VALUE!</v>
      </c>
      <c r="J402" t="str">
        <f>_xlfn.XLOOKUP(AllData[[#This Row],[Site Name]],LocationsKey[Site Name], LocationsKey[Waterway])</f>
        <v>Swilgate</v>
      </c>
      <c r="K402" t="s">
        <v>84</v>
      </c>
      <c r="N402" t="s">
        <v>23</v>
      </c>
      <c r="O402">
        <v>830</v>
      </c>
      <c r="P402">
        <v>9.6</v>
      </c>
      <c r="Q402">
        <v>3</v>
      </c>
      <c r="R402" s="7" t="str">
        <f>IF(AllData[[#This Row],[Nitrate (PPM)]]&gt;2, "Very high", IF(AllData[[#This Row],[Nitrate (PPM)]]&gt;1, "High", IF(AllData[[#This Row],[Nitrate (PPM)]]&gt;0.5, "Some evidence", IF(AllData[[#This Row],[Nitrate (PPM)]]&gt;=0, "No evidence"))))</f>
        <v>Very high</v>
      </c>
      <c r="S402" s="4">
        <v>0.45</v>
      </c>
      <c r="T402" s="7" t="str">
        <f>IF(AllData[[#This Row],[Phosphate (PPM)]]&gt;0.5, "Very high", IF(AllData[[#This Row],[Phosphate (PPM)]]&gt;0.1, "High", IF(AllData[[#This Row],[Phosphate (PPM)]]&gt;0.05, "Some evidence", IF(AllData[[#This Row],[Phosphate (PPM)]]&lt;=0.05, "No Evidence", ""))))</f>
        <v>High</v>
      </c>
      <c r="U402">
        <v>2</v>
      </c>
    </row>
    <row r="403" spans="1:22" x14ac:dyDescent="0.25">
      <c r="A403" t="s">
        <v>640</v>
      </c>
      <c r="B403" s="2">
        <v>45330</v>
      </c>
      <c r="C403" s="2" t="str" cm="1">
        <f t="array" ref="C4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3">
        <v>2023</v>
      </c>
      <c r="E403" s="1">
        <v>0.55625000000000002</v>
      </c>
      <c r="F403" s="2" t="str">
        <f>IF(AND(AllData[[#This Row],[Time]]&lt;0.5, AllData[[#This Row],[Time]]&gt;0.17)=TRUE, "Morning", IF(AND(AllData[[#This Row],[Time]]&lt;0.75, AllData[[#This Row],[Time]]&gt;=0.5)=TRUE, "Afternoon", IF(AND(AllData[[#This Row],[Time]]&lt;1, AllData[[#This Row],[Time]]&gt;=0.75)=TRUE, "Evening", "Night")))</f>
        <v>Afternoon</v>
      </c>
      <c r="G403" t="str">
        <f>_xlfn.XLOOKUP(AllData[[#This Row],[Location Name]], Locations[Location Name],Locations[Group As])</f>
        <v>Preston-on-Stour River Bridge</v>
      </c>
      <c r="H403" t="e" vm="2">
        <f>_xlfn.XLOOKUP(AllData[[#This Row],[Site Name]],LocationsKey[Site Name],LocationsKey[District])</f>
        <v>#VALUE!</v>
      </c>
      <c r="I403" t="e" vm="9">
        <f>_xlfn.XLOOKUP(AllData[[#This Row],[Site Name]],LocationsKey[Site Name],LocationsKey[Town])</f>
        <v>#VALUE!</v>
      </c>
      <c r="J403" t="str">
        <f>_xlfn.XLOOKUP(AllData[[#This Row],[Site Name]],LocationsKey[Site Name], LocationsKey[Waterway])</f>
        <v>Stour</v>
      </c>
      <c r="K403" t="s">
        <v>163</v>
      </c>
      <c r="L403">
        <v>52.146526999999999</v>
      </c>
      <c r="M403">
        <v>-1.7002550000000001</v>
      </c>
      <c r="N403" t="s">
        <v>29</v>
      </c>
      <c r="O403" s="219">
        <v>547</v>
      </c>
      <c r="P403">
        <v>8.1</v>
      </c>
      <c r="Q403" s="219">
        <v>6</v>
      </c>
      <c r="R403" s="7" t="str">
        <f>IF(AllData[[#This Row],[Nitrate (PPM)]]&gt;2, "Very high", IF(AllData[[#This Row],[Nitrate (PPM)]]&gt;1, "High", IF(AllData[[#This Row],[Nitrate (PPM)]]&gt;0.5, "Some evidence", IF(AllData[[#This Row],[Nitrate (PPM)]]&gt;=0, "No evidence"))))</f>
        <v>Very high</v>
      </c>
      <c r="S403" s="221">
        <v>0.22</v>
      </c>
      <c r="T403" s="7" t="str">
        <f>IF(AllData[[#This Row],[Phosphate (PPM)]]&gt;0.5, "Very high", IF(AllData[[#This Row],[Phosphate (PPM)]]&gt;0.1, "High", IF(AllData[[#This Row],[Phosphate (PPM)]]&gt;0.05, "Some evidence", IF(AllData[[#This Row],[Phosphate (PPM)]]&lt;=0.05, "No Evidence", ""))))</f>
        <v>High</v>
      </c>
      <c r="U403">
        <v>2</v>
      </c>
      <c r="V403" t="s">
        <v>641</v>
      </c>
    </row>
    <row r="404" spans="1:22" x14ac:dyDescent="0.25">
      <c r="A404" t="s">
        <v>642</v>
      </c>
      <c r="B404" s="2">
        <v>45331</v>
      </c>
      <c r="C404" s="2" t="str" cm="1">
        <f t="array" ref="C4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4">
        <v>2023</v>
      </c>
      <c r="E404" s="1">
        <v>0.61458333333333337</v>
      </c>
      <c r="F404" s="2" t="str">
        <f>IF(AND(AllData[[#This Row],[Time]]&lt;0.5, AllData[[#This Row],[Time]]&gt;0.17)=TRUE, "Morning", IF(AND(AllData[[#This Row],[Time]]&lt;0.75, AllData[[#This Row],[Time]]&gt;=0.5)=TRUE, "Afternoon", IF(AND(AllData[[#This Row],[Time]]&lt;1, AllData[[#This Row],[Time]]&gt;=0.75)=TRUE, "Evening", "Night")))</f>
        <v>Afternoon</v>
      </c>
      <c r="G404" t="str">
        <f>_xlfn.XLOOKUP(AllData[[#This Row],[Location Name]], Locations[Location Name],Locations[Group As])</f>
        <v>Preston Bagot Canal</v>
      </c>
      <c r="H404" t="e" vm="2">
        <f>_xlfn.XLOOKUP(AllData[[#This Row],[Site Name]],LocationsKey[Site Name],LocationsKey[District])</f>
        <v>#VALUE!</v>
      </c>
      <c r="I404" t="e" vm="19">
        <f>_xlfn.XLOOKUP(AllData[[#This Row],[Site Name]],LocationsKey[Site Name],LocationsKey[Town])</f>
        <v>#VALUE!</v>
      </c>
      <c r="J404" t="str">
        <f>_xlfn.XLOOKUP(AllData[[#This Row],[Site Name]],LocationsKey[Site Name], LocationsKey[Waterway])</f>
        <v>Preston Bagot Canal</v>
      </c>
      <c r="K404" t="s">
        <v>615</v>
      </c>
      <c r="N404" t="s">
        <v>23</v>
      </c>
      <c r="O404">
        <v>328</v>
      </c>
      <c r="P404">
        <v>11.5</v>
      </c>
      <c r="Q404">
        <v>2</v>
      </c>
      <c r="R404" s="7" t="str">
        <f>IF(AllData[[#This Row],[Nitrate (PPM)]]&gt;2, "Very high", IF(AllData[[#This Row],[Nitrate (PPM)]]&gt;1, "High", IF(AllData[[#This Row],[Nitrate (PPM)]]&gt;0.5, "Some evidence", IF(AllData[[#This Row],[Nitrate (PPM)]]&gt;=0, "No evidence"))))</f>
        <v>High</v>
      </c>
      <c r="S404" s="4">
        <v>0.37</v>
      </c>
      <c r="T404" s="7" t="str">
        <f>IF(AllData[[#This Row],[Phosphate (PPM)]]&gt;0.5, "Very high", IF(AllData[[#This Row],[Phosphate (PPM)]]&gt;0.1, "High", IF(AllData[[#This Row],[Phosphate (PPM)]]&gt;0.05, "Some evidence", IF(AllData[[#This Row],[Phosphate (PPM)]]&lt;=0.05, "No Evidence", ""))))</f>
        <v>High</v>
      </c>
      <c r="U404">
        <v>0</v>
      </c>
    </row>
    <row r="405" spans="1:22" x14ac:dyDescent="0.25">
      <c r="A405" t="s">
        <v>643</v>
      </c>
      <c r="B405" s="2">
        <v>45331</v>
      </c>
      <c r="C405" s="2" t="str" cm="1">
        <f t="array" ref="C4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5">
        <v>2023</v>
      </c>
      <c r="E405" s="1">
        <v>0.625</v>
      </c>
      <c r="F405" s="2" t="str">
        <f>IF(AND(AllData[[#This Row],[Time]]&lt;0.5, AllData[[#This Row],[Time]]&gt;0.17)=TRUE, "Morning", IF(AND(AllData[[#This Row],[Time]]&lt;0.75, AllData[[#This Row],[Time]]&gt;=0.5)=TRUE, "Afternoon", IF(AND(AllData[[#This Row],[Time]]&lt;1, AllData[[#This Row],[Time]]&gt;=0.75)=TRUE, "Evening", "Night")))</f>
        <v>Afternoon</v>
      </c>
      <c r="G405" t="str">
        <f>_xlfn.XLOOKUP(AllData[[#This Row],[Location Name]], Locations[Location Name],Locations[Group As])</f>
        <v>Preston Bagot Brook</v>
      </c>
      <c r="H405" t="e" vm="2">
        <f>_xlfn.XLOOKUP(AllData[[#This Row],[Site Name]],LocationsKey[Site Name],LocationsKey[District])</f>
        <v>#VALUE!</v>
      </c>
      <c r="I405" t="e" vm="19">
        <f>_xlfn.XLOOKUP(AllData[[#This Row],[Site Name]],LocationsKey[Site Name],LocationsKey[Town])</f>
        <v>#VALUE!</v>
      </c>
      <c r="J405" t="str">
        <f>_xlfn.XLOOKUP(AllData[[#This Row],[Site Name]],LocationsKey[Site Name], LocationsKey[Waterway])</f>
        <v>Preston Bagot Brook</v>
      </c>
      <c r="K405" t="s">
        <v>618</v>
      </c>
      <c r="L405">
        <v>52.286200000000001</v>
      </c>
      <c r="M405">
        <v>-1.7478</v>
      </c>
      <c r="N405" t="s">
        <v>23</v>
      </c>
      <c r="O405">
        <v>243</v>
      </c>
      <c r="P405">
        <v>11.9</v>
      </c>
      <c r="Q405">
        <v>2</v>
      </c>
      <c r="R405" s="7" t="str">
        <f>IF(AllData[[#This Row],[Nitrate (PPM)]]&gt;2, "Very high", IF(AllData[[#This Row],[Nitrate (PPM)]]&gt;1, "High", IF(AllData[[#This Row],[Nitrate (PPM)]]&gt;0.5, "Some evidence", IF(AllData[[#This Row],[Nitrate (PPM)]]&gt;=0, "No evidence"))))</f>
        <v>High</v>
      </c>
      <c r="S405" s="4">
        <v>0.59</v>
      </c>
      <c r="T405" s="7" t="str">
        <f>IF(AllData[[#This Row],[Phosphate (PPM)]]&gt;0.5, "Very high", IF(AllData[[#This Row],[Phosphate (PPM)]]&gt;0.1, "High", IF(AllData[[#This Row],[Phosphate (PPM)]]&gt;0.05, "Some evidence", IF(AllData[[#This Row],[Phosphate (PPM)]]&lt;=0.05, "No Evidence", ""))))</f>
        <v>Very high</v>
      </c>
      <c r="U405">
        <v>0</v>
      </c>
    </row>
    <row r="406" spans="1:22" x14ac:dyDescent="0.25">
      <c r="A406" t="s">
        <v>644</v>
      </c>
      <c r="B406" s="2">
        <v>45332</v>
      </c>
      <c r="C406" s="2" t="str" cm="1">
        <f t="array" ref="C4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6">
        <v>2023</v>
      </c>
      <c r="E406" s="1">
        <v>0.5</v>
      </c>
      <c r="F406" s="2" t="str">
        <f>IF(AND(AllData[[#This Row],[Time]]&lt;0.5, AllData[[#This Row],[Time]]&gt;0.17)=TRUE, "Morning", IF(AND(AllData[[#This Row],[Time]]&lt;0.75, AllData[[#This Row],[Time]]&gt;=0.5)=TRUE, "Afternoon", IF(AND(AllData[[#This Row],[Time]]&lt;1, AllData[[#This Row],[Time]]&gt;=0.75)=TRUE, "Evening", "Night")))</f>
        <v>Afternoon</v>
      </c>
      <c r="G406" t="str">
        <f>_xlfn.XLOOKUP(AllData[[#This Row],[Location Name]], Locations[Location Name],Locations[Group As])</f>
        <v>Carrant Bredon Rd</v>
      </c>
      <c r="H406" t="e" vm="1">
        <f>_xlfn.XLOOKUP(AllData[[#This Row],[Site Name]],LocationsKey[Site Name],LocationsKey[District])</f>
        <v>#VALUE!</v>
      </c>
      <c r="I406" t="e" vm="1">
        <f>_xlfn.XLOOKUP(AllData[[#This Row],[Site Name]],LocationsKey[Site Name],LocationsKey[Town])</f>
        <v>#VALUE!</v>
      </c>
      <c r="J406" t="str">
        <f>_xlfn.XLOOKUP(AllData[[#This Row],[Site Name]],LocationsKey[Site Name], LocationsKey[Waterway])</f>
        <v>Carrant</v>
      </c>
      <c r="K406" t="s">
        <v>600</v>
      </c>
      <c r="L406">
        <v>51.996360000000003</v>
      </c>
      <c r="M406">
        <v>-2.1560489999999999</v>
      </c>
      <c r="N406" t="s">
        <v>23</v>
      </c>
      <c r="O406">
        <v>437</v>
      </c>
      <c r="P406">
        <v>10</v>
      </c>
      <c r="Q406">
        <v>3</v>
      </c>
      <c r="R406" s="7" t="str">
        <f>IF(AllData[[#This Row],[Nitrate (PPM)]]&gt;2, "Very high", IF(AllData[[#This Row],[Nitrate (PPM)]]&gt;1, "High", IF(AllData[[#This Row],[Nitrate (PPM)]]&gt;0.5, "Some evidence", IF(AllData[[#This Row],[Nitrate (PPM)]]&gt;=0, "No evidence"))))</f>
        <v>Very high</v>
      </c>
      <c r="S406" s="4">
        <v>0.73</v>
      </c>
      <c r="T406" s="7" t="str">
        <f>IF(AllData[[#This Row],[Phosphate (PPM)]]&gt;0.5, "Very high", IF(AllData[[#This Row],[Phosphate (PPM)]]&gt;0.1, "High", IF(AllData[[#This Row],[Phosphate (PPM)]]&gt;0.05, "Some evidence", IF(AllData[[#This Row],[Phosphate (PPM)]]&lt;=0.05, "No Evidence", ""))))</f>
        <v>Very high</v>
      </c>
      <c r="U406">
        <v>2.15</v>
      </c>
      <c r="V406" t="s">
        <v>645</v>
      </c>
    </row>
    <row r="407" spans="1:22" x14ac:dyDescent="0.25">
      <c r="A407" t="s">
        <v>646</v>
      </c>
      <c r="B407" s="2">
        <v>45333</v>
      </c>
      <c r="C407" s="2" t="str" cm="1">
        <f t="array" ref="C4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7">
        <v>2023</v>
      </c>
      <c r="E407" s="1">
        <v>0.4236111111111111</v>
      </c>
      <c r="F407" s="2" t="str">
        <f>IF(AND(AllData[[#This Row],[Time]]&lt;0.5, AllData[[#This Row],[Time]]&gt;0.17)=TRUE, "Morning", IF(AND(AllData[[#This Row],[Time]]&lt;0.75, AllData[[#This Row],[Time]]&gt;=0.5)=TRUE, "Afternoon", IF(AND(AllData[[#This Row],[Time]]&lt;1, AllData[[#This Row],[Time]]&gt;=0.75)=TRUE, "Evening", "Night")))</f>
        <v>Morning</v>
      </c>
      <c r="G407" t="str">
        <f>_xlfn.XLOOKUP(AllData[[#This Row],[Location Name]], Locations[Location Name],Locations[Group As])</f>
        <v>Fell Mill Footbridge</v>
      </c>
      <c r="H407" t="e" vm="2">
        <f>_xlfn.XLOOKUP(AllData[[#This Row],[Site Name]],LocationsKey[Site Name],LocationsKey[District])</f>
        <v>#VALUE!</v>
      </c>
      <c r="I407" t="e" vm="10">
        <f>_xlfn.XLOOKUP(AllData[[#This Row],[Site Name]],LocationsKey[Site Name],LocationsKey[Town])</f>
        <v>#VALUE!</v>
      </c>
      <c r="J407" t="str">
        <f>_xlfn.XLOOKUP(AllData[[#This Row],[Site Name]],LocationsKey[Site Name], LocationsKey[Waterway])</f>
        <v>Stour</v>
      </c>
      <c r="K407" t="s">
        <v>496</v>
      </c>
      <c r="L407">
        <v>52.070131000000003</v>
      </c>
      <c r="M407">
        <v>-1.6114869999999999</v>
      </c>
      <c r="N407" t="s">
        <v>29</v>
      </c>
      <c r="O407">
        <v>559</v>
      </c>
      <c r="P407">
        <v>8.5</v>
      </c>
      <c r="Q407">
        <v>10</v>
      </c>
      <c r="R407" s="7" t="str">
        <f>IF(AllData[[#This Row],[Nitrate (PPM)]]&gt;2, "Very high", IF(AllData[[#This Row],[Nitrate (PPM)]]&gt;1, "High", IF(AllData[[#This Row],[Nitrate (PPM)]]&gt;0.5, "Some evidence", IF(AllData[[#This Row],[Nitrate (PPM)]]&gt;=0, "No evidence"))))</f>
        <v>Very high</v>
      </c>
      <c r="S407" s="4">
        <v>0.71</v>
      </c>
      <c r="T407" s="7" t="str">
        <f>IF(AllData[[#This Row],[Phosphate (PPM)]]&gt;0.5, "Very high", IF(AllData[[#This Row],[Phosphate (PPM)]]&gt;0.1, "High", IF(AllData[[#This Row],[Phosphate (PPM)]]&gt;0.05, "Some evidence", IF(AllData[[#This Row],[Phosphate (PPM)]]&lt;=0.05, "No Evidence", ""))))</f>
        <v>Very high</v>
      </c>
      <c r="U407">
        <v>1.5</v>
      </c>
    </row>
    <row r="408" spans="1:22" x14ac:dyDescent="0.25">
      <c r="A408" t="s">
        <v>647</v>
      </c>
      <c r="B408" s="2">
        <v>45333</v>
      </c>
      <c r="C408" s="2" t="str" cm="1">
        <f t="array" ref="C4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8">
        <v>2023</v>
      </c>
      <c r="E408" s="1">
        <v>0.47916666666666669</v>
      </c>
      <c r="F408" s="2" t="str">
        <f>IF(AND(AllData[[#This Row],[Time]]&lt;0.5, AllData[[#This Row],[Time]]&gt;0.17)=TRUE, "Morning", IF(AND(AllData[[#This Row],[Time]]&lt;0.75, AllData[[#This Row],[Time]]&gt;=0.5)=TRUE, "Afternoon", IF(AND(AllData[[#This Row],[Time]]&lt;1, AllData[[#This Row],[Time]]&gt;=0.75)=TRUE, "Evening", "Night")))</f>
        <v>Morning</v>
      </c>
      <c r="G408" t="str">
        <f>_xlfn.XLOOKUP(AllData[[#This Row],[Location Name]], Locations[Location Name],Locations[Group As])</f>
        <v>The Ford, Langley</v>
      </c>
      <c r="H408" t="e" vm="2">
        <f>_xlfn.XLOOKUP(AllData[[#This Row],[Site Name]],LocationsKey[Site Name],LocationsKey[District])</f>
        <v>#VALUE!</v>
      </c>
      <c r="I408" t="str">
        <f>_xlfn.XLOOKUP(AllData[[#This Row],[Site Name]],LocationsKey[Site Name],LocationsKey[Town])</f>
        <v>Langley</v>
      </c>
      <c r="J408" t="str">
        <f>_xlfn.XLOOKUP(AllData[[#This Row],[Site Name]],LocationsKey[Site Name], LocationsKey[Waterway])</f>
        <v>Langley Ford</v>
      </c>
      <c r="K408" t="s">
        <v>557</v>
      </c>
      <c r="L408">
        <v>52.259639</v>
      </c>
      <c r="M408">
        <v>-1.7181999999999999</v>
      </c>
      <c r="N408" t="s">
        <v>29</v>
      </c>
      <c r="O408">
        <v>446</v>
      </c>
      <c r="P408">
        <v>9.4</v>
      </c>
      <c r="Q408">
        <v>7</v>
      </c>
      <c r="R408" s="7" t="str">
        <f>IF(AllData[[#This Row],[Nitrate (PPM)]]&gt;2, "Very high", IF(AllData[[#This Row],[Nitrate (PPM)]]&gt;1, "High", IF(AllData[[#This Row],[Nitrate (PPM)]]&gt;0.5, "Some evidence", IF(AllData[[#This Row],[Nitrate (PPM)]]&gt;=0, "No evidence"))))</f>
        <v>Very high</v>
      </c>
      <c r="S408" s="4">
        <v>0.78</v>
      </c>
      <c r="T408" s="7" t="str">
        <f>IF(AllData[[#This Row],[Phosphate (PPM)]]&gt;0.5, "Very high", IF(AllData[[#This Row],[Phosphate (PPM)]]&gt;0.1, "High", IF(AllData[[#This Row],[Phosphate (PPM)]]&gt;0.05, "Some evidence", IF(AllData[[#This Row],[Phosphate (PPM)]]&lt;=0.05, "No Evidence", ""))))</f>
        <v>Very high</v>
      </c>
      <c r="U408">
        <v>0.4</v>
      </c>
      <c r="V408" t="s">
        <v>648</v>
      </c>
    </row>
    <row r="409" spans="1:22" x14ac:dyDescent="0.25">
      <c r="A409" t="s">
        <v>649</v>
      </c>
      <c r="B409" s="2">
        <v>45333</v>
      </c>
      <c r="C409" s="2" t="str" cm="1">
        <f t="array" ref="C4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9">
        <v>2023</v>
      </c>
      <c r="E409" s="1">
        <v>0.57986111111111116</v>
      </c>
      <c r="F409" s="2" t="str">
        <f>IF(AND(AllData[[#This Row],[Time]]&lt;0.5, AllData[[#This Row],[Time]]&gt;0.17)=TRUE, "Morning", IF(AND(AllData[[#This Row],[Time]]&lt;0.75, AllData[[#This Row],[Time]]&gt;=0.5)=TRUE, "Afternoon", IF(AND(AllData[[#This Row],[Time]]&lt;1, AllData[[#This Row],[Time]]&gt;=0.75)=TRUE, "Evening", "Night")))</f>
        <v>Afternoon</v>
      </c>
      <c r="G409" t="str">
        <f>_xlfn.XLOOKUP(AllData[[#This Row],[Location Name]], Locations[Location Name],Locations[Group As])</f>
        <v>Clifford Chambers Mill Bridge</v>
      </c>
      <c r="H409" t="e" vm="2">
        <f>_xlfn.XLOOKUP(AllData[[#This Row],[Site Name]],LocationsKey[Site Name],LocationsKey[District])</f>
        <v>#VALUE!</v>
      </c>
      <c r="I409" t="e" vm="12">
        <f>_xlfn.XLOOKUP(AllData[[#This Row],[Site Name]],LocationsKey[Site Name],LocationsKey[Town])</f>
        <v>#VALUE!</v>
      </c>
      <c r="J409" t="str">
        <f>_xlfn.XLOOKUP(AllData[[#This Row],[Site Name]],LocationsKey[Site Name], LocationsKey[Waterway])</f>
        <v>Stour</v>
      </c>
      <c r="K409" t="s">
        <v>263</v>
      </c>
      <c r="L409">
        <v>52.166370000000001</v>
      </c>
      <c r="M409">
        <v>-1.708032</v>
      </c>
      <c r="N409" t="s">
        <v>66</v>
      </c>
      <c r="O409" s="219">
        <v>554</v>
      </c>
      <c r="P409">
        <v>11.3</v>
      </c>
      <c r="Q409" s="219">
        <v>4</v>
      </c>
      <c r="R409" s="7" t="str">
        <f>IF(AllData[[#This Row],[Nitrate (PPM)]]&gt;2, "Very high", IF(AllData[[#This Row],[Nitrate (PPM)]]&gt;1, "High", IF(AllData[[#This Row],[Nitrate (PPM)]]&gt;0.5, "Some evidence", IF(AllData[[#This Row],[Nitrate (PPM)]]&gt;=0, "No evidence"))))</f>
        <v>Very high</v>
      </c>
      <c r="S409" s="221">
        <v>0.4</v>
      </c>
      <c r="T409" s="7" t="str">
        <f>IF(AllData[[#This Row],[Phosphate (PPM)]]&gt;0.5, "Very high", IF(AllData[[#This Row],[Phosphate (PPM)]]&gt;0.1, "High", IF(AllData[[#This Row],[Phosphate (PPM)]]&gt;0.05, "Some evidence", IF(AllData[[#This Row],[Phosphate (PPM)]]&lt;=0.05, "No Evidence", ""))))</f>
        <v>High</v>
      </c>
      <c r="U409">
        <v>1.4</v>
      </c>
      <c r="V409" t="s">
        <v>650</v>
      </c>
    </row>
    <row r="410" spans="1:22" x14ac:dyDescent="0.25">
      <c r="A410" t="s">
        <v>651</v>
      </c>
      <c r="B410" s="2">
        <v>45333</v>
      </c>
      <c r="C410" s="2" t="str" cm="1">
        <f t="array" ref="C4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0">
        <v>2023</v>
      </c>
      <c r="E410" s="1">
        <v>0.61250000000000004</v>
      </c>
      <c r="F410" s="2" t="str">
        <f>IF(AND(AllData[[#This Row],[Time]]&lt;0.5, AllData[[#This Row],[Time]]&gt;0.17)=TRUE, "Morning", IF(AND(AllData[[#This Row],[Time]]&lt;0.75, AllData[[#This Row],[Time]]&gt;=0.5)=TRUE, "Afternoon", IF(AND(AllData[[#This Row],[Time]]&lt;1, AllData[[#This Row],[Time]]&gt;=0.75)=TRUE, "Evening", "Night")))</f>
        <v>Afternoon</v>
      </c>
      <c r="G410" t="str">
        <f>_xlfn.XLOOKUP(AllData[[#This Row],[Location Name]], Locations[Location Name],Locations[Group As])</f>
        <v>Black Bear</v>
      </c>
      <c r="H410" t="e" vm="1">
        <f>_xlfn.XLOOKUP(AllData[[#This Row],[Site Name]],LocationsKey[Site Name],LocationsKey[District])</f>
        <v>#VALUE!</v>
      </c>
      <c r="I410" t="e" vm="1">
        <f>_xlfn.XLOOKUP(AllData[[#This Row],[Site Name]],LocationsKey[Site Name],LocationsKey[Town])</f>
        <v>#VALUE!</v>
      </c>
      <c r="J410" t="str">
        <f>_xlfn.XLOOKUP(AllData[[#This Row],[Site Name]],LocationsKey[Site Name], LocationsKey[Waterway])</f>
        <v>Avon</v>
      </c>
      <c r="K410" t="s">
        <v>567</v>
      </c>
      <c r="L410">
        <v>51.997478000000001</v>
      </c>
      <c r="M410">
        <v>-2.1562610000000002</v>
      </c>
      <c r="N410" t="s">
        <v>23</v>
      </c>
      <c r="O410">
        <v>415</v>
      </c>
      <c r="P410">
        <v>12</v>
      </c>
      <c r="Q410">
        <v>7</v>
      </c>
      <c r="R410" s="7" t="str">
        <f>IF(AllData[[#This Row],[Nitrate (PPM)]]&gt;2, "Very high", IF(AllData[[#This Row],[Nitrate (PPM)]]&gt;1, "High", IF(AllData[[#This Row],[Nitrate (PPM)]]&gt;0.5, "Some evidence", IF(AllData[[#This Row],[Nitrate (PPM)]]&gt;=0, "No evidence"))))</f>
        <v>Very high</v>
      </c>
      <c r="S410" s="4">
        <v>0.91</v>
      </c>
      <c r="T410" s="7" t="str">
        <f>IF(AllData[[#This Row],[Phosphate (PPM)]]&gt;0.5, "Very high", IF(AllData[[#This Row],[Phosphate (PPM)]]&gt;0.1, "High", IF(AllData[[#This Row],[Phosphate (PPM)]]&gt;0.05, "Some evidence", IF(AllData[[#This Row],[Phosphate (PPM)]]&lt;=0.05, "No Evidence", ""))))</f>
        <v>Very high</v>
      </c>
      <c r="U410">
        <v>3</v>
      </c>
      <c r="V410" t="s">
        <v>270</v>
      </c>
    </row>
    <row r="411" spans="1:22" x14ac:dyDescent="0.25">
      <c r="A411" t="s">
        <v>652</v>
      </c>
      <c r="B411" s="2">
        <v>45333</v>
      </c>
      <c r="C411" s="2" t="str" cm="1">
        <f t="array" ref="C4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1">
        <v>2023</v>
      </c>
      <c r="E411" s="1">
        <v>0.625</v>
      </c>
      <c r="F411" s="2" t="str">
        <f>IF(AND(AllData[[#This Row],[Time]]&lt;0.5, AllData[[#This Row],[Time]]&gt;0.17)=TRUE, "Morning", IF(AND(AllData[[#This Row],[Time]]&lt;0.75, AllData[[#This Row],[Time]]&gt;=0.5)=TRUE, "Afternoon", IF(AND(AllData[[#This Row],[Time]]&lt;1, AllData[[#This Row],[Time]]&gt;=0.75)=TRUE, "Evening", "Night")))</f>
        <v>Afternoon</v>
      </c>
      <c r="G411" t="str">
        <f>_xlfn.XLOOKUP(AllData[[#This Row],[Location Name]], Locations[Location Name],Locations[Group As])</f>
        <v>Sherbourne Brook 1</v>
      </c>
      <c r="H411" t="e" vm="2">
        <f>_xlfn.XLOOKUP(AllData[[#This Row],[Site Name]],LocationsKey[Site Name],LocationsKey[District])</f>
        <v>#VALUE!</v>
      </c>
      <c r="I411" t="e" vm="16">
        <f>_xlfn.XLOOKUP(AllData[[#This Row],[Site Name]],LocationsKey[Site Name],LocationsKey[Town])</f>
        <v>#VALUE!</v>
      </c>
      <c r="J411" t="str">
        <f>_xlfn.XLOOKUP(AllData[[#This Row],[Site Name]],LocationsKey[Site Name], LocationsKey[Waterway])</f>
        <v>Sherbourne Brook</v>
      </c>
      <c r="K411" t="s">
        <v>570</v>
      </c>
      <c r="L411">
        <v>52.252499999999998</v>
      </c>
      <c r="M411">
        <v>-1.6685000000000001</v>
      </c>
      <c r="N411" t="s">
        <v>23</v>
      </c>
      <c r="O411">
        <v>801</v>
      </c>
      <c r="P411">
        <v>9.5</v>
      </c>
      <c r="Q411">
        <v>7</v>
      </c>
      <c r="R411" s="7" t="str">
        <f>IF(AllData[[#This Row],[Nitrate (PPM)]]&gt;2, "Very high", IF(AllData[[#This Row],[Nitrate (PPM)]]&gt;1, "High", IF(AllData[[#This Row],[Nitrate (PPM)]]&gt;0.5, "Some evidence", IF(AllData[[#This Row],[Nitrate (PPM)]]&gt;=0, "No evidence"))))</f>
        <v>Very high</v>
      </c>
      <c r="S411" s="4">
        <v>0.72</v>
      </c>
      <c r="T411" s="7" t="str">
        <f>IF(AllData[[#This Row],[Phosphate (PPM)]]&gt;0.5, "Very high", IF(AllData[[#This Row],[Phosphate (PPM)]]&gt;0.1, "High", IF(AllData[[#This Row],[Phosphate (PPM)]]&gt;0.05, "Some evidence", IF(AllData[[#This Row],[Phosphate (PPM)]]&lt;=0.05, "No Evidence", ""))))</f>
        <v>Very high</v>
      </c>
      <c r="U411">
        <v>0.5</v>
      </c>
    </row>
    <row r="412" spans="1:22" x14ac:dyDescent="0.25">
      <c r="A412" t="s">
        <v>653</v>
      </c>
      <c r="B412" s="2">
        <v>45333</v>
      </c>
      <c r="C412" s="2" t="str" cm="1">
        <f t="array" ref="C4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2">
        <v>2023</v>
      </c>
      <c r="E412" s="1">
        <v>0.63194444444444442</v>
      </c>
      <c r="F412" s="2" t="str">
        <f>IF(AND(AllData[[#This Row],[Time]]&lt;0.5, AllData[[#This Row],[Time]]&gt;0.17)=TRUE, "Morning", IF(AND(AllData[[#This Row],[Time]]&lt;0.75, AllData[[#This Row],[Time]]&gt;=0.5)=TRUE, "Afternoon", IF(AND(AllData[[#This Row],[Time]]&lt;1, AllData[[#This Row],[Time]]&gt;=0.75)=TRUE, "Evening", "Night")))</f>
        <v>Afternoon</v>
      </c>
      <c r="G412" t="str">
        <f>_xlfn.XLOOKUP(AllData[[#This Row],[Location Name]], Locations[Location Name],Locations[Group As])</f>
        <v>Stour Shipston Mill Bridge</v>
      </c>
      <c r="H412" t="e" vm="2">
        <f>_xlfn.XLOOKUP(AllData[[#This Row],[Site Name]],LocationsKey[Site Name],LocationsKey[District])</f>
        <v>#VALUE!</v>
      </c>
      <c r="I412" t="e" vm="10">
        <f>_xlfn.XLOOKUP(AllData[[#This Row],[Site Name]],LocationsKey[Site Name],LocationsKey[Town])</f>
        <v>#VALUE!</v>
      </c>
      <c r="J412" t="str">
        <f>_xlfn.XLOOKUP(AllData[[#This Row],[Site Name]],LocationsKey[Site Name], LocationsKey[Waterway])</f>
        <v>Stour</v>
      </c>
      <c r="K412" t="s">
        <v>432</v>
      </c>
      <c r="L412">
        <v>52.061956000000002</v>
      </c>
      <c r="M412">
        <v>-1.621896</v>
      </c>
      <c r="N412" t="s">
        <v>23</v>
      </c>
      <c r="O412">
        <v>472</v>
      </c>
      <c r="P412">
        <v>8</v>
      </c>
      <c r="Q412">
        <v>5</v>
      </c>
      <c r="R412" s="7" t="str">
        <f>IF(AllData[[#This Row],[Nitrate (PPM)]]&gt;2, "Very high", IF(AllData[[#This Row],[Nitrate (PPM)]]&gt;1, "High", IF(AllData[[#This Row],[Nitrate (PPM)]]&gt;0.5, "Some evidence", IF(AllData[[#This Row],[Nitrate (PPM)]]&gt;=0, "No evidence"))))</f>
        <v>Very high</v>
      </c>
      <c r="S412" s="4">
        <v>0.46</v>
      </c>
      <c r="T412" s="7" t="str">
        <f>IF(AllData[[#This Row],[Phosphate (PPM)]]&gt;0.5, "Very high", IF(AllData[[#This Row],[Phosphate (PPM)]]&gt;0.1, "High", IF(AllData[[#This Row],[Phosphate (PPM)]]&gt;0.05, "Some evidence", IF(AllData[[#This Row],[Phosphate (PPM)]]&lt;=0.05, "No Evidence", ""))))</f>
        <v>High</v>
      </c>
      <c r="U412">
        <v>1</v>
      </c>
    </row>
    <row r="413" spans="1:22" x14ac:dyDescent="0.25">
      <c r="A413" t="s">
        <v>654</v>
      </c>
      <c r="B413" s="2">
        <v>45333</v>
      </c>
      <c r="C413" s="2" t="str" cm="1">
        <f t="array" ref="C4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3">
        <v>2023</v>
      </c>
      <c r="E413" s="1">
        <v>0.63541666666666663</v>
      </c>
      <c r="F413" s="2" t="str">
        <f>IF(AND(AllData[[#This Row],[Time]]&lt;0.5, AllData[[#This Row],[Time]]&gt;0.17)=TRUE, "Morning", IF(AND(AllData[[#This Row],[Time]]&lt;0.75, AllData[[#This Row],[Time]]&gt;=0.5)=TRUE, "Afternoon", IF(AND(AllData[[#This Row],[Time]]&lt;1, AllData[[#This Row],[Time]]&gt;=0.75)=TRUE, "Evening", "Night")))</f>
        <v>Afternoon</v>
      </c>
      <c r="G413" t="str">
        <f>_xlfn.XLOOKUP(AllData[[#This Row],[Location Name]], Locations[Location Name],Locations[Group As])</f>
        <v>Bell Brook 1</v>
      </c>
      <c r="H413" t="e" vm="2">
        <f>_xlfn.XLOOKUP(AllData[[#This Row],[Site Name]],LocationsKey[Site Name],LocationsKey[District])</f>
        <v>#VALUE!</v>
      </c>
      <c r="I413" t="e" vm="15">
        <f>_xlfn.XLOOKUP(AllData[[#This Row],[Site Name]],LocationsKey[Site Name],LocationsKey[Town])</f>
        <v>#VALUE!</v>
      </c>
      <c r="J413" t="str">
        <f>_xlfn.XLOOKUP(AllData[[#This Row],[Site Name]],LocationsKey[Site Name], LocationsKey[Waterway])</f>
        <v>Bell Brook</v>
      </c>
      <c r="K413" t="s">
        <v>534</v>
      </c>
      <c r="L413">
        <v>52.244900000000001</v>
      </c>
      <c r="M413">
        <v>-1.6617</v>
      </c>
      <c r="N413" t="s">
        <v>23</v>
      </c>
      <c r="O413">
        <v>545</v>
      </c>
      <c r="P413">
        <v>9</v>
      </c>
      <c r="Q413">
        <v>5</v>
      </c>
      <c r="R413" s="7" t="str">
        <f>IF(AllData[[#This Row],[Nitrate (PPM)]]&gt;2, "Very high", IF(AllData[[#This Row],[Nitrate (PPM)]]&gt;1, "High", IF(AllData[[#This Row],[Nitrate (PPM)]]&gt;0.5, "Some evidence", IF(AllData[[#This Row],[Nitrate (PPM)]]&gt;=0, "No evidence"))))</f>
        <v>Very high</v>
      </c>
      <c r="S413" s="4">
        <v>0.47</v>
      </c>
      <c r="T413" s="7" t="str">
        <f>IF(AllData[[#This Row],[Phosphate (PPM)]]&gt;0.5, "Very high", IF(AllData[[#This Row],[Phosphate (PPM)]]&gt;0.1, "High", IF(AllData[[#This Row],[Phosphate (PPM)]]&gt;0.05, "Some evidence", IF(AllData[[#This Row],[Phosphate (PPM)]]&lt;=0.05, "No Evidence", ""))))</f>
        <v>High</v>
      </c>
      <c r="U413">
        <v>0.5</v>
      </c>
    </row>
    <row r="414" spans="1:22" x14ac:dyDescent="0.25">
      <c r="A414" t="s">
        <v>655</v>
      </c>
      <c r="B414" s="2">
        <v>45333</v>
      </c>
      <c r="C414" s="2" t="str" cm="1">
        <f t="array" ref="C4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4">
        <v>2023</v>
      </c>
      <c r="E414" s="1">
        <v>0.67083333333333328</v>
      </c>
      <c r="F414" s="2" t="str">
        <f>IF(AND(AllData[[#This Row],[Time]]&lt;0.5, AllData[[#This Row],[Time]]&gt;0.17)=TRUE, "Morning", IF(AND(AllData[[#This Row],[Time]]&lt;0.75, AllData[[#This Row],[Time]]&gt;=0.5)=TRUE, "Afternoon", IF(AND(AllData[[#This Row],[Time]]&lt;1, AllData[[#This Row],[Time]]&gt;=0.75)=TRUE, "Evening", "Night")))</f>
        <v>Afternoon</v>
      </c>
      <c r="G414" t="str">
        <f>_xlfn.XLOOKUP(AllData[[#This Row],[Location Name]], Locations[Location Name],Locations[Group As])</f>
        <v>Abbey Mill</v>
      </c>
      <c r="H414" t="e" vm="1">
        <f>_xlfn.XLOOKUP(AllData[[#This Row],[Site Name]],LocationsKey[Site Name],LocationsKey[District])</f>
        <v>#VALUE!</v>
      </c>
      <c r="I414" t="e" vm="1">
        <f>_xlfn.XLOOKUP(AllData[[#This Row],[Site Name]],LocationsKey[Site Name],LocationsKey[Town])</f>
        <v>#VALUE!</v>
      </c>
      <c r="J414" t="str">
        <f>_xlfn.XLOOKUP(AllData[[#This Row],[Site Name]],LocationsKey[Site Name], LocationsKey[Waterway])</f>
        <v>Avon</v>
      </c>
      <c r="K414" t="s">
        <v>25</v>
      </c>
      <c r="L414">
        <v>51.991112999999999</v>
      </c>
      <c r="M414">
        <v>-2.1623269999999999</v>
      </c>
      <c r="N414" t="s">
        <v>23</v>
      </c>
      <c r="O414">
        <v>430</v>
      </c>
      <c r="P414">
        <v>9.8000000000000007</v>
      </c>
      <c r="Q414">
        <v>4</v>
      </c>
      <c r="R414" s="7" t="str">
        <f>IF(AllData[[#This Row],[Nitrate (PPM)]]&gt;2, "Very high", IF(AllData[[#This Row],[Nitrate (PPM)]]&gt;1, "High", IF(AllData[[#This Row],[Nitrate (PPM)]]&gt;0.5, "Some evidence", IF(AllData[[#This Row],[Nitrate (PPM)]]&gt;=0, "No evidence"))))</f>
        <v>Very high</v>
      </c>
      <c r="S414" s="4">
        <v>0.71</v>
      </c>
      <c r="T414" s="7" t="str">
        <f>IF(AllData[[#This Row],[Phosphate (PPM)]]&gt;0.5, "Very high", IF(AllData[[#This Row],[Phosphate (PPM)]]&gt;0.1, "High", IF(AllData[[#This Row],[Phosphate (PPM)]]&gt;0.05, "Some evidence", IF(AllData[[#This Row],[Phosphate (PPM)]]&lt;=0.05, "No Evidence", ""))))</f>
        <v>Very high</v>
      </c>
      <c r="U414">
        <v>2.5</v>
      </c>
      <c r="V414" t="s">
        <v>656</v>
      </c>
    </row>
    <row r="415" spans="1:22" x14ac:dyDescent="0.25">
      <c r="A415" t="s">
        <v>1743</v>
      </c>
      <c r="B415" s="2">
        <v>45333</v>
      </c>
      <c r="C415" s="2" t="str" cm="1">
        <f t="array" ref="C4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5">
        <v>2023</v>
      </c>
      <c r="F415" s="2" t="str">
        <f>IF(AND(AllData[[#This Row],[Time]]&lt;0.5, AllData[[#This Row],[Time]]&gt;0.17)=TRUE, "Morning", IF(AND(AllData[[#This Row],[Time]]&lt;0.75, AllData[[#This Row],[Time]]&gt;=0.5)=TRUE, "Afternoon", IF(AND(AllData[[#This Row],[Time]]&lt;1, AllData[[#This Row],[Time]]&gt;=0.75)=TRUE, "Evening", "Night")))</f>
        <v>Night</v>
      </c>
      <c r="G415" t="str">
        <f>_xlfn.XLOOKUP(AllData[[#This Row],[Location Name]], Locations[Location Name],Locations[Group As])</f>
        <v>Site 1  :  Middle Street</v>
      </c>
      <c r="H415" t="e" vm="2">
        <f>_xlfn.XLOOKUP(AllData[[#This Row],[Site Name]],LocationsKey[Site Name],LocationsKey[District])</f>
        <v>#VALUE!</v>
      </c>
      <c r="I415" t="e" vm="11">
        <f>_xlfn.XLOOKUP(AllData[[#This Row],[Site Name]],LocationsKey[Site Name],LocationsKey[Town])</f>
        <v>#VALUE!</v>
      </c>
      <c r="J415" t="str">
        <f>_xlfn.XLOOKUP(AllData[[#This Row],[Site Name]],LocationsKey[Site Name], LocationsKey[Waterway])</f>
        <v>Fosseway Brook</v>
      </c>
      <c r="K415" t="s">
        <v>1859</v>
      </c>
      <c r="L415">
        <v>52.090085000000002</v>
      </c>
      <c r="M415">
        <v>-1.692593</v>
      </c>
      <c r="N415" t="s">
        <v>66</v>
      </c>
      <c r="O415">
        <v>607</v>
      </c>
      <c r="P415">
        <v>10.4</v>
      </c>
      <c r="Q415">
        <v>2</v>
      </c>
      <c r="R415" s="7" t="str">
        <f>IF(AllData[[#This Row],[Nitrate (PPM)]]&gt;2, "Very high", IF(AllData[[#This Row],[Nitrate (PPM)]]&gt;1, "High", IF(AllData[[#This Row],[Nitrate (PPM)]]&gt;0.5, "Some evidence", IF(AllData[[#This Row],[Nitrate (PPM)]]&gt;=0, "No evidence"))))</f>
        <v>High</v>
      </c>
      <c r="S415" s="4">
        <v>0.36</v>
      </c>
      <c r="T415" s="7" t="str">
        <f>IF(AllData[[#This Row],[Phosphate (PPM)]]&gt;0.5, "Very high", IF(AllData[[#This Row],[Phosphate (PPM)]]&gt;0.1, "High", IF(AllData[[#This Row],[Phosphate (PPM)]]&gt;0.05, "Some evidence", IF(AllData[[#This Row],[Phosphate (PPM)]]&lt;=0.05, "No Evidence", ""))))</f>
        <v>High</v>
      </c>
      <c r="U415">
        <v>0</v>
      </c>
      <c r="V415" t="s">
        <v>1894</v>
      </c>
    </row>
    <row r="416" spans="1:22" x14ac:dyDescent="0.25">
      <c r="A416" t="s">
        <v>1462</v>
      </c>
      <c r="B416" s="2">
        <v>45333</v>
      </c>
      <c r="C416" s="2" t="str" cm="1">
        <f t="array" ref="C4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6">
        <v>2023</v>
      </c>
      <c r="E416" s="1"/>
      <c r="F416" s="2" t="str">
        <f>IF(AND(AllData[[#This Row],[Time]]&lt;0.5, AllData[[#This Row],[Time]]&gt;0.17)=TRUE, "Morning", IF(AND(AllData[[#This Row],[Time]]&lt;0.75, AllData[[#This Row],[Time]]&gt;=0.5)=TRUE, "Afternoon", IF(AND(AllData[[#This Row],[Time]]&lt;1, AllData[[#This Row],[Time]]&gt;=0.75)=TRUE, "Evening", "Night")))</f>
        <v>Night</v>
      </c>
      <c r="G416" t="str">
        <f>_xlfn.XLOOKUP(AllData[[#This Row],[Location Name]], Locations[Location Name],Locations[Group As])</f>
        <v>Site 1  :  Middle Street</v>
      </c>
      <c r="H416" t="e" vm="2">
        <f>_xlfn.XLOOKUP(AllData[[#This Row],[Site Name]],LocationsKey[Site Name],LocationsKey[District])</f>
        <v>#VALUE!</v>
      </c>
      <c r="I416" t="e" vm="11">
        <f>_xlfn.XLOOKUP(AllData[[#This Row],[Site Name]],LocationsKey[Site Name],LocationsKey[Town])</f>
        <v>#VALUE!</v>
      </c>
      <c r="J416" t="str">
        <f>_xlfn.XLOOKUP(AllData[[#This Row],[Site Name]],LocationsKey[Site Name], LocationsKey[Waterway])</f>
        <v>Fosseway Brook</v>
      </c>
      <c r="K416" t="s">
        <v>1373</v>
      </c>
      <c r="L416">
        <v>52.090085000000002</v>
      </c>
      <c r="M416">
        <v>-1.692593</v>
      </c>
      <c r="N416" t="s">
        <v>66</v>
      </c>
      <c r="O416">
        <v>607</v>
      </c>
      <c r="P416">
        <v>10.4</v>
      </c>
      <c r="Q416">
        <v>2</v>
      </c>
      <c r="R416" s="7" t="str">
        <f>IF(AllData[[#This Row],[Nitrate (PPM)]]&gt;2, "Very high", IF(AllData[[#This Row],[Nitrate (PPM)]]&gt;1, "High", IF(AllData[[#This Row],[Nitrate (PPM)]]&gt;0.5, "Some evidence", IF(AllData[[#This Row],[Nitrate (PPM)]]&gt;=0, "No evidence"))))</f>
        <v>High</v>
      </c>
      <c r="S416" s="4">
        <v>0.36</v>
      </c>
      <c r="T416" s="7" t="str">
        <f>IF(AllData[[#This Row],[Phosphate (PPM)]]&gt;0.5, "Very high", IF(AllData[[#This Row],[Phosphate (PPM)]]&gt;0.1, "High", IF(AllData[[#This Row],[Phosphate (PPM)]]&gt;0.05, "Some evidence", IF(AllData[[#This Row],[Phosphate (PPM)]]&lt;=0.05, "No Evidence", ""))))</f>
        <v>High</v>
      </c>
      <c r="V416" t="s">
        <v>1463</v>
      </c>
    </row>
    <row r="417" spans="1:22" x14ac:dyDescent="0.25">
      <c r="A417" t="s">
        <v>1753</v>
      </c>
      <c r="B417" s="2">
        <v>45333</v>
      </c>
      <c r="C417" s="2" t="str" cm="1">
        <f t="array" ref="C4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7">
        <v>2023</v>
      </c>
      <c r="F417" s="2" t="str">
        <f>IF(AND(AllData[[#This Row],[Time]]&lt;0.5, AllData[[#This Row],[Time]]&gt;0.17)=TRUE, "Morning", IF(AND(AllData[[#This Row],[Time]]&lt;0.75, AllData[[#This Row],[Time]]&gt;=0.5)=TRUE, "Afternoon", IF(AND(AllData[[#This Row],[Time]]&lt;1, AllData[[#This Row],[Time]]&gt;=0.75)=TRUE, "Evening", "Night")))</f>
        <v>Night</v>
      </c>
      <c r="G417" t="str">
        <f>_xlfn.XLOOKUP(AllData[[#This Row],[Location Name]], Locations[Location Name],Locations[Group As])</f>
        <v>Site 3  :  Severn Trent Water processing plant outflow</v>
      </c>
      <c r="H417" t="e" vm="2">
        <f>_xlfn.XLOOKUP(AllData[[#This Row],[Site Name]],LocationsKey[Site Name],LocationsKey[District])</f>
        <v>#VALUE!</v>
      </c>
      <c r="I417" t="e" vm="11">
        <f>_xlfn.XLOOKUP(AllData[[#This Row],[Site Name]],LocationsKey[Site Name],LocationsKey[Town])</f>
        <v>#VALUE!</v>
      </c>
      <c r="J417" t="str">
        <f>_xlfn.XLOOKUP(AllData[[#This Row],[Site Name]],LocationsKey[Site Name], LocationsKey[Waterway])</f>
        <v>Fosseway Brook</v>
      </c>
      <c r="K417" t="s">
        <v>1861</v>
      </c>
      <c r="L417">
        <v>52.094423999999997</v>
      </c>
      <c r="M417">
        <v>-1.6759090000000001</v>
      </c>
      <c r="N417" t="s">
        <v>29</v>
      </c>
      <c r="O417">
        <v>744</v>
      </c>
      <c r="P417">
        <v>10.199999999999999</v>
      </c>
      <c r="Q417">
        <v>5</v>
      </c>
      <c r="R417" s="7" t="str">
        <f>IF(AllData[[#This Row],[Nitrate (PPM)]]&gt;2, "Very high", IF(AllData[[#This Row],[Nitrate (PPM)]]&gt;1, "High", IF(AllData[[#This Row],[Nitrate (PPM)]]&gt;0.5, "Some evidence", IF(AllData[[#This Row],[Nitrate (PPM)]]&gt;=0, "No evidence"))))</f>
        <v>Very high</v>
      </c>
      <c r="S417" s="4">
        <v>2.13</v>
      </c>
      <c r="T417" s="7" t="str">
        <f>IF(AllData[[#This Row],[Phosphate (PPM)]]&gt;0.5, "Very high", IF(AllData[[#This Row],[Phosphate (PPM)]]&gt;0.1, "High", IF(AllData[[#This Row],[Phosphate (PPM)]]&gt;0.05, "Some evidence", IF(AllData[[#This Row],[Phosphate (PPM)]]&lt;=0.05, "No Evidence", ""))))</f>
        <v>Very high</v>
      </c>
      <c r="U417">
        <v>0</v>
      </c>
      <c r="V417" t="s">
        <v>1901</v>
      </c>
    </row>
    <row r="418" spans="1:22" x14ac:dyDescent="0.25">
      <c r="A418" t="s">
        <v>1448</v>
      </c>
      <c r="B418" s="2">
        <v>45333</v>
      </c>
      <c r="C418" s="2" t="str" cm="1">
        <f t="array" ref="C4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8">
        <v>2023</v>
      </c>
      <c r="E418" s="1"/>
      <c r="F418" s="2" t="str">
        <f>IF(AND(AllData[[#This Row],[Time]]&lt;0.5, AllData[[#This Row],[Time]]&gt;0.17)=TRUE, "Morning", IF(AND(AllData[[#This Row],[Time]]&lt;0.75, AllData[[#This Row],[Time]]&gt;=0.5)=TRUE, "Afternoon", IF(AND(AllData[[#This Row],[Time]]&lt;1, AllData[[#This Row],[Time]]&gt;=0.75)=TRUE, "Evening", "Night")))</f>
        <v>Night</v>
      </c>
      <c r="G418" t="str">
        <f>_xlfn.XLOOKUP(AllData[[#This Row],[Location Name]], Locations[Location Name],Locations[Group As])</f>
        <v>Site 3  :  Severn Trent Water processing plant outflow</v>
      </c>
      <c r="H418" t="e" vm="2">
        <f>_xlfn.XLOOKUP(AllData[[#This Row],[Site Name]],LocationsKey[Site Name],LocationsKey[District])</f>
        <v>#VALUE!</v>
      </c>
      <c r="I418" t="e" vm="11">
        <f>_xlfn.XLOOKUP(AllData[[#This Row],[Site Name]],LocationsKey[Site Name],LocationsKey[Town])</f>
        <v>#VALUE!</v>
      </c>
      <c r="J418" t="str">
        <f>_xlfn.XLOOKUP(AllData[[#This Row],[Site Name]],LocationsKey[Site Name], LocationsKey[Waterway])</f>
        <v>Fosseway Brook</v>
      </c>
      <c r="K418" t="s">
        <v>1368</v>
      </c>
      <c r="L418">
        <v>52.094423999999997</v>
      </c>
      <c r="M418">
        <v>-1.6759090000000001</v>
      </c>
      <c r="N418" t="s">
        <v>29</v>
      </c>
      <c r="O418">
        <v>744</v>
      </c>
      <c r="P418">
        <v>10.199999999999999</v>
      </c>
      <c r="Q418">
        <v>5</v>
      </c>
      <c r="R418" s="7" t="str">
        <f>IF(AllData[[#This Row],[Nitrate (PPM)]]&gt;2, "Very high", IF(AllData[[#This Row],[Nitrate (PPM)]]&gt;1, "High", IF(AllData[[#This Row],[Nitrate (PPM)]]&gt;0.5, "Some evidence", IF(AllData[[#This Row],[Nitrate (PPM)]]&gt;=0, "No evidence"))))</f>
        <v>Very high</v>
      </c>
      <c r="S418" s="4">
        <v>2.13</v>
      </c>
      <c r="T418" s="7" t="str">
        <f>IF(AllData[[#This Row],[Phosphate (PPM)]]&gt;0.5, "Very high", IF(AllData[[#This Row],[Phosphate (PPM)]]&gt;0.1, "High", IF(AllData[[#This Row],[Phosphate (PPM)]]&gt;0.05, "Some evidence", IF(AllData[[#This Row],[Phosphate (PPM)]]&lt;=0.05, "No Evidence", ""))))</f>
        <v>Very high</v>
      </c>
      <c r="V418" t="s">
        <v>1369</v>
      </c>
    </row>
    <row r="419" spans="1:22" x14ac:dyDescent="0.25">
      <c r="A419" t="s">
        <v>657</v>
      </c>
      <c r="B419" s="2">
        <v>45336</v>
      </c>
      <c r="C419" s="2" t="str" cm="1">
        <f t="array" ref="C4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9">
        <v>2023</v>
      </c>
      <c r="E419" s="1">
        <v>0.11458333333333333</v>
      </c>
      <c r="F419" s="2" t="str">
        <f>IF(AND(AllData[[#This Row],[Time]]&lt;0.5, AllData[[#This Row],[Time]]&gt;0.17)=TRUE, "Morning", IF(AND(AllData[[#This Row],[Time]]&lt;0.75, AllData[[#This Row],[Time]]&gt;=0.5)=TRUE, "Afternoon", IF(AND(AllData[[#This Row],[Time]]&lt;1, AllData[[#This Row],[Time]]&gt;=0.75)=TRUE, "Evening", "Night")))</f>
        <v>Night</v>
      </c>
      <c r="G419" t="str">
        <f>_xlfn.XLOOKUP(AllData[[#This Row],[Location Name]], Locations[Location Name],Locations[Group As])</f>
        <v>Swiffen Bank</v>
      </c>
      <c r="H419" t="e" vm="2">
        <f>_xlfn.XLOOKUP(AllData[[#This Row],[Site Name]],LocationsKey[Site Name],LocationsKey[District])</f>
        <v>#VALUE!</v>
      </c>
      <c r="I419" t="e" vm="13">
        <f>_xlfn.XLOOKUP(AllData[[#This Row],[Site Name]],LocationsKey[Site Name],LocationsKey[Town])</f>
        <v>#VALUE!</v>
      </c>
      <c r="J419" t="str">
        <f>_xlfn.XLOOKUP(AllData[[#This Row],[Site Name]],LocationsKey[Site Name], LocationsKey[Waterway])</f>
        <v>Avon</v>
      </c>
      <c r="K419" t="s">
        <v>284</v>
      </c>
      <c r="L419">
        <v>52.206477999999997</v>
      </c>
      <c r="M419">
        <v>-1.653894</v>
      </c>
      <c r="N419" t="s">
        <v>29</v>
      </c>
      <c r="O419">
        <v>535</v>
      </c>
      <c r="P419">
        <v>13.4</v>
      </c>
      <c r="Q419">
        <v>5</v>
      </c>
      <c r="R419" s="7" t="str">
        <f>IF(AllData[[#This Row],[Nitrate (PPM)]]&gt;2, "Very high", IF(AllData[[#This Row],[Nitrate (PPM)]]&gt;1, "High", IF(AllData[[#This Row],[Nitrate (PPM)]]&gt;0.5, "Some evidence", IF(AllData[[#This Row],[Nitrate (PPM)]]&gt;=0, "No evidence"))))</f>
        <v>Very high</v>
      </c>
      <c r="S419" s="4">
        <v>0.67</v>
      </c>
      <c r="T419" s="7" t="str">
        <f>IF(AllData[[#This Row],[Phosphate (PPM)]]&gt;0.5, "Very high", IF(AllData[[#This Row],[Phosphate (PPM)]]&gt;0.1, "High", IF(AllData[[#This Row],[Phosphate (PPM)]]&gt;0.05, "Some evidence", IF(AllData[[#This Row],[Phosphate (PPM)]]&lt;=0.05, "No Evidence", ""))))</f>
        <v>Very high</v>
      </c>
      <c r="U419">
        <v>1.5</v>
      </c>
      <c r="V419" t="s">
        <v>658</v>
      </c>
    </row>
    <row r="420" spans="1:22" x14ac:dyDescent="0.25">
      <c r="A420" t="s">
        <v>659</v>
      </c>
      <c r="B420" s="2">
        <v>45336</v>
      </c>
      <c r="C420" s="2" t="str" cm="1">
        <f t="array" ref="C4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0">
        <v>2023</v>
      </c>
      <c r="E420" s="1">
        <v>0.59722222222222221</v>
      </c>
      <c r="F420" s="2" t="str">
        <f>IF(AND(AllData[[#This Row],[Time]]&lt;0.5, AllData[[#This Row],[Time]]&gt;0.17)=TRUE, "Morning", IF(AND(AllData[[#This Row],[Time]]&lt;0.75, AllData[[#This Row],[Time]]&gt;=0.5)=TRUE, "Afternoon", IF(AND(AllData[[#This Row],[Time]]&lt;1, AllData[[#This Row],[Time]]&gt;=0.75)=TRUE, "Evening", "Night")))</f>
        <v>Afternoon</v>
      </c>
      <c r="G420" t="str">
        <f>_xlfn.XLOOKUP(AllData[[#This Row],[Location Name]], Locations[Location Name],Locations[Group As])</f>
        <v>Stour Stretton-on-Fosse Village</v>
      </c>
      <c r="H420" t="e" vm="2">
        <f>_xlfn.XLOOKUP(AllData[[#This Row],[Site Name]],LocationsKey[Site Name],LocationsKey[District])</f>
        <v>#VALUE!</v>
      </c>
      <c r="I420" t="e" vm="14">
        <f>_xlfn.XLOOKUP(AllData[[#This Row],[Site Name]],LocationsKey[Site Name],LocationsKey[Town])</f>
        <v>#VALUE!</v>
      </c>
      <c r="J420" t="str">
        <f>_xlfn.XLOOKUP(AllData[[#This Row],[Site Name]],LocationsKey[Site Name], LocationsKey[Waterway])</f>
        <v>Stour</v>
      </c>
      <c r="K420" t="s">
        <v>544</v>
      </c>
      <c r="L420">
        <v>52.046551999999998</v>
      </c>
      <c r="M420">
        <v>-1.673411</v>
      </c>
      <c r="N420" t="s">
        <v>66</v>
      </c>
      <c r="O420" s="219">
        <v>418</v>
      </c>
      <c r="P420">
        <v>11.2</v>
      </c>
      <c r="Q420" s="219">
        <v>2</v>
      </c>
      <c r="R420" s="7" t="str">
        <f>IF(AllData[[#This Row],[Nitrate (PPM)]]&gt;2, "Very high", IF(AllData[[#This Row],[Nitrate (PPM)]]&gt;1, "High", IF(AllData[[#This Row],[Nitrate (PPM)]]&gt;0.5, "Some evidence", IF(AllData[[#This Row],[Nitrate (PPM)]]&gt;=0, "No evidence"))))</f>
        <v>High</v>
      </c>
      <c r="S420" s="221">
        <v>0.31</v>
      </c>
      <c r="T420" s="7" t="str">
        <f>IF(AllData[[#This Row],[Phosphate (PPM)]]&gt;0.5, "Very high", IF(AllData[[#This Row],[Phosphate (PPM)]]&gt;0.1, "High", IF(AllData[[#This Row],[Phosphate (PPM)]]&gt;0.05, "Some evidence", IF(AllData[[#This Row],[Phosphate (PPM)]]&lt;=0.05, "No Evidence", ""))))</f>
        <v>High</v>
      </c>
      <c r="U420">
        <v>0.45</v>
      </c>
    </row>
    <row r="421" spans="1:22" x14ac:dyDescent="0.25">
      <c r="A421" t="s">
        <v>660</v>
      </c>
      <c r="B421" s="2">
        <v>45336</v>
      </c>
      <c r="C421" s="2" t="str" cm="1">
        <f t="array" ref="C4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1">
        <v>2023</v>
      </c>
      <c r="E421" s="1">
        <v>0.61319444444444449</v>
      </c>
      <c r="F421" s="2" t="str">
        <f>IF(AND(AllData[[#This Row],[Time]]&lt;0.5, AllData[[#This Row],[Time]]&gt;0.17)=TRUE, "Morning", IF(AND(AllData[[#This Row],[Time]]&lt;0.75, AllData[[#This Row],[Time]]&gt;=0.5)=TRUE, "Afternoon", IF(AND(AllData[[#This Row],[Time]]&lt;1, AllData[[#This Row],[Time]]&gt;=0.75)=TRUE, "Evening", "Night")))</f>
        <v>Afternoon</v>
      </c>
      <c r="G421" t="str">
        <f>_xlfn.XLOOKUP(AllData[[#This Row],[Location Name]], Locations[Location Name],Locations[Group As])</f>
        <v>Stour Stretton-on-Fosse Sewage Works</v>
      </c>
      <c r="H421" t="e" vm="2">
        <f>_xlfn.XLOOKUP(AllData[[#This Row],[Site Name]],LocationsKey[Site Name],LocationsKey[District])</f>
        <v>#VALUE!</v>
      </c>
      <c r="I421" t="e" vm="14">
        <f>_xlfn.XLOOKUP(AllData[[#This Row],[Site Name]],LocationsKey[Site Name],LocationsKey[Town])</f>
        <v>#VALUE!</v>
      </c>
      <c r="J421" t="str">
        <f>_xlfn.XLOOKUP(AllData[[#This Row],[Site Name]],LocationsKey[Site Name], LocationsKey[Waterway])</f>
        <v>Stour</v>
      </c>
      <c r="K421" t="s">
        <v>335</v>
      </c>
      <c r="L421">
        <v>52.045701000000001</v>
      </c>
      <c r="M421">
        <v>-1.6718900000000001</v>
      </c>
      <c r="N421" t="s">
        <v>29</v>
      </c>
      <c r="O421">
        <v>414</v>
      </c>
      <c r="P421">
        <v>11.2</v>
      </c>
      <c r="Q421">
        <v>3</v>
      </c>
      <c r="R421" s="7" t="str">
        <f>IF(AllData[[#This Row],[Nitrate (PPM)]]&gt;2, "Very high", IF(AllData[[#This Row],[Nitrate (PPM)]]&gt;1, "High", IF(AllData[[#This Row],[Nitrate (PPM)]]&gt;0.5, "Some evidence", IF(AllData[[#This Row],[Nitrate (PPM)]]&gt;=0, "No evidence"))))</f>
        <v>Very high</v>
      </c>
      <c r="S421" s="4">
        <v>0.13</v>
      </c>
      <c r="T421" s="7" t="str">
        <f>IF(AllData[[#This Row],[Phosphate (PPM)]]&gt;0.5, "Very high", IF(AllData[[#This Row],[Phosphate (PPM)]]&gt;0.1, "High", IF(AllData[[#This Row],[Phosphate (PPM)]]&gt;0.05, "Some evidence", IF(AllData[[#This Row],[Phosphate (PPM)]]&lt;=0.05, "No Evidence", ""))))</f>
        <v>High</v>
      </c>
      <c r="U421">
        <v>0.6</v>
      </c>
    </row>
    <row r="422" spans="1:22" x14ac:dyDescent="0.25">
      <c r="A422" t="s">
        <v>661</v>
      </c>
      <c r="B422" s="2">
        <v>45336</v>
      </c>
      <c r="C422" s="2" t="str" cm="1">
        <f t="array" ref="C4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2">
        <v>2023</v>
      </c>
      <c r="E422" s="1">
        <v>0.64722222222222225</v>
      </c>
      <c r="F422" s="2" t="str">
        <f>IF(AND(AllData[[#This Row],[Time]]&lt;0.5, AllData[[#This Row],[Time]]&gt;0.17)=TRUE, "Morning", IF(AND(AllData[[#This Row],[Time]]&lt;0.75, AllData[[#This Row],[Time]]&gt;=0.5)=TRUE, "Afternoon", IF(AND(AllData[[#This Row],[Time]]&lt;1, AllData[[#This Row],[Time]]&gt;=0.75)=TRUE, "Evening", "Night")))</f>
        <v>Afternoon</v>
      </c>
      <c r="G422" t="str">
        <f>_xlfn.XLOOKUP(AllData[[#This Row],[Location Name]], Locations[Location Name],Locations[Group As])</f>
        <v>Alveston Weir</v>
      </c>
      <c r="H422" t="e" vm="2">
        <f>_xlfn.XLOOKUP(AllData[[#This Row],[Site Name]],LocationsKey[Site Name],LocationsKey[District])</f>
        <v>#VALUE!</v>
      </c>
      <c r="I422" t="e" vm="13">
        <f>_xlfn.XLOOKUP(AllData[[#This Row],[Site Name]],LocationsKey[Site Name],LocationsKey[Town])</f>
        <v>#VALUE!</v>
      </c>
      <c r="J422" t="str">
        <f>_xlfn.XLOOKUP(AllData[[#This Row],[Site Name]],LocationsKey[Site Name], LocationsKey[Waterway])</f>
        <v>Avon</v>
      </c>
      <c r="K422" t="s">
        <v>286</v>
      </c>
      <c r="L422">
        <v>52.212288999999998</v>
      </c>
      <c r="M422">
        <v>-1.660452</v>
      </c>
      <c r="N422" t="s">
        <v>29</v>
      </c>
      <c r="O422">
        <v>469</v>
      </c>
      <c r="P422">
        <v>10.7</v>
      </c>
      <c r="Q422">
        <v>5</v>
      </c>
      <c r="R422" s="7" t="str">
        <f>IF(AllData[[#This Row],[Nitrate (PPM)]]&gt;2, "Very high", IF(AllData[[#This Row],[Nitrate (PPM)]]&gt;1, "High", IF(AllData[[#This Row],[Nitrate (PPM)]]&gt;0.5, "Some evidence", IF(AllData[[#This Row],[Nitrate (PPM)]]&gt;=0, "No evidence"))))</f>
        <v>Very high</v>
      </c>
      <c r="S422" s="4">
        <v>0.59</v>
      </c>
      <c r="T422" s="7" t="str">
        <f>IF(AllData[[#This Row],[Phosphate (PPM)]]&gt;0.5, "Very high", IF(AllData[[#This Row],[Phosphate (PPM)]]&gt;0.1, "High", IF(AllData[[#This Row],[Phosphate (PPM)]]&gt;0.05, "Some evidence", IF(AllData[[#This Row],[Phosphate (PPM)]]&lt;=0.05, "No Evidence", ""))))</f>
        <v>Very high</v>
      </c>
      <c r="U422">
        <v>1.5</v>
      </c>
      <c r="V422" t="s">
        <v>662</v>
      </c>
    </row>
    <row r="423" spans="1:22" x14ac:dyDescent="0.25">
      <c r="A423" t="s">
        <v>663</v>
      </c>
      <c r="B423" s="2">
        <v>45336</v>
      </c>
      <c r="C423" s="2" t="str" cm="1">
        <f t="array" ref="C4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3">
        <v>2023</v>
      </c>
      <c r="E423" s="1">
        <v>0.70833333333333337</v>
      </c>
      <c r="F423" s="2" t="str">
        <f>IF(AND(AllData[[#This Row],[Time]]&lt;0.5, AllData[[#This Row],[Time]]&gt;0.17)=TRUE, "Morning", IF(AND(AllData[[#This Row],[Time]]&lt;0.75, AllData[[#This Row],[Time]]&gt;=0.5)=TRUE, "Afternoon", IF(AND(AllData[[#This Row],[Time]]&lt;1, AllData[[#This Row],[Time]]&gt;=0.75)=TRUE, "Evening", "Night")))</f>
        <v>Afternoon</v>
      </c>
      <c r="G423" t="str">
        <f>_xlfn.XLOOKUP(AllData[[#This Row],[Location Name]], Locations[Location Name],Locations[Group As])</f>
        <v>Stour Newbold Mill</v>
      </c>
      <c r="H423" t="e" vm="2">
        <f>_xlfn.XLOOKUP(AllData[[#This Row],[Site Name]],LocationsKey[Site Name],LocationsKey[District])</f>
        <v>#VALUE!</v>
      </c>
      <c r="I423" t="e" vm="8">
        <f>_xlfn.XLOOKUP(AllData[[#This Row],[Site Name]],LocationsKey[Site Name],LocationsKey[Town])</f>
        <v>#VALUE!</v>
      </c>
      <c r="J423" t="str">
        <f>_xlfn.XLOOKUP(AllData[[#This Row],[Site Name]],LocationsKey[Site Name], LocationsKey[Waterway])</f>
        <v>Stour</v>
      </c>
      <c r="K423" t="s">
        <v>140</v>
      </c>
      <c r="L423">
        <v>52.112822999999999</v>
      </c>
      <c r="M423">
        <v>-1.633321</v>
      </c>
      <c r="N423" t="s">
        <v>66</v>
      </c>
      <c r="O423">
        <v>513</v>
      </c>
      <c r="P423">
        <v>11.2</v>
      </c>
      <c r="Q423">
        <v>2</v>
      </c>
      <c r="R423" s="7" t="str">
        <f>IF(AllData[[#This Row],[Nitrate (PPM)]]&gt;2, "Very high", IF(AllData[[#This Row],[Nitrate (PPM)]]&gt;1, "High", IF(AllData[[#This Row],[Nitrate (PPM)]]&gt;0.5, "Some evidence", IF(AllData[[#This Row],[Nitrate (PPM)]]&gt;=0, "No evidence"))))</f>
        <v>High</v>
      </c>
      <c r="S423" s="4">
        <v>0.1</v>
      </c>
      <c r="T423" s="7" t="str">
        <f>IF(AllData[[#This Row],[Phosphate (PPM)]]&gt;0.5, "Very high", IF(AllData[[#This Row],[Phosphate (PPM)]]&gt;0.1, "High", IF(AllData[[#This Row],[Phosphate (PPM)]]&gt;0.05, "Some evidence", IF(AllData[[#This Row],[Phosphate (PPM)]]&lt;=0.05, "No Evidence", ""))))</f>
        <v>Some evidence</v>
      </c>
      <c r="U423">
        <v>3.5</v>
      </c>
      <c r="V423" t="s">
        <v>664</v>
      </c>
    </row>
    <row r="424" spans="1:22" x14ac:dyDescent="0.25">
      <c r="A424" t="s">
        <v>665</v>
      </c>
      <c r="B424" s="2">
        <v>45337</v>
      </c>
      <c r="C424" s="2" t="str" cm="1">
        <f t="array" ref="C4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4">
        <v>2023</v>
      </c>
      <c r="E424" s="1">
        <v>0.49861111111111112</v>
      </c>
      <c r="F424" s="2" t="str">
        <f>IF(AND(AllData[[#This Row],[Time]]&lt;0.5, AllData[[#This Row],[Time]]&gt;0.17)=TRUE, "Morning", IF(AND(AllData[[#This Row],[Time]]&lt;0.75, AllData[[#This Row],[Time]]&gt;=0.5)=TRUE, "Afternoon", IF(AND(AllData[[#This Row],[Time]]&lt;1, AllData[[#This Row],[Time]]&gt;=0.75)=TRUE, "Evening", "Night")))</f>
        <v>Morning</v>
      </c>
      <c r="G424" t="str">
        <f>_xlfn.XLOOKUP(AllData[[#This Row],[Location Name]], Locations[Location Name],Locations[Group As])</f>
        <v>Stour Willington</v>
      </c>
      <c r="H424" t="e" vm="2">
        <f>_xlfn.XLOOKUP(AllData[[#This Row],[Site Name]],LocationsKey[Site Name],LocationsKey[District])</f>
        <v>#VALUE!</v>
      </c>
      <c r="I424" t="str">
        <f>_xlfn.XLOOKUP(AllData[[#This Row],[Site Name]],LocationsKey[Site Name],LocationsKey[Town])</f>
        <v>Willington</v>
      </c>
      <c r="J424" t="str">
        <f>_xlfn.XLOOKUP(AllData[[#This Row],[Site Name]],LocationsKey[Site Name], LocationsKey[Waterway])</f>
        <v>Stour</v>
      </c>
      <c r="K424" t="s">
        <v>517</v>
      </c>
      <c r="L424">
        <v>52.053606000000002</v>
      </c>
      <c r="M424">
        <v>-1.6202080000000001</v>
      </c>
      <c r="N424" t="s">
        <v>23</v>
      </c>
      <c r="O424">
        <v>523</v>
      </c>
      <c r="P424">
        <v>12.4</v>
      </c>
      <c r="Q424">
        <v>0.5</v>
      </c>
      <c r="R424" s="7" t="str">
        <f>IF(AllData[[#This Row],[Nitrate (PPM)]]&gt;2, "Very high", IF(AllData[[#This Row],[Nitrate (PPM)]]&gt;1, "High", IF(AllData[[#This Row],[Nitrate (PPM)]]&gt;0.5, "Some evidence", IF(AllData[[#This Row],[Nitrate (PPM)]]&gt;=0, "No evidence"))))</f>
        <v>No evidence</v>
      </c>
      <c r="S424" s="4">
        <v>0.23</v>
      </c>
      <c r="T424" s="7" t="str">
        <f>IF(AllData[[#This Row],[Phosphate (PPM)]]&gt;0.5, "Very high", IF(AllData[[#This Row],[Phosphate (PPM)]]&gt;0.1, "High", IF(AllData[[#This Row],[Phosphate (PPM)]]&gt;0.05, "Some evidence", IF(AllData[[#This Row],[Phosphate (PPM)]]&lt;=0.05, "No Evidence", ""))))</f>
        <v>High</v>
      </c>
      <c r="U424">
        <v>0.75</v>
      </c>
      <c r="V424" t="s">
        <v>666</v>
      </c>
    </row>
    <row r="425" spans="1:22" x14ac:dyDescent="0.25">
      <c r="A425" t="s">
        <v>667</v>
      </c>
      <c r="B425" s="2">
        <v>45337</v>
      </c>
      <c r="C425" s="2" t="str" cm="1">
        <f t="array" ref="C4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5">
        <v>2023</v>
      </c>
      <c r="E425" s="1">
        <v>0.52986111111111112</v>
      </c>
      <c r="F425" s="2" t="str">
        <f>IF(AND(AllData[[#This Row],[Time]]&lt;0.5, AllData[[#This Row],[Time]]&gt;0.17)=TRUE, "Morning", IF(AND(AllData[[#This Row],[Time]]&lt;0.75, AllData[[#This Row],[Time]]&gt;=0.5)=TRUE, "Afternoon", IF(AND(AllData[[#This Row],[Time]]&lt;1, AllData[[#This Row],[Time]]&gt;=0.75)=TRUE, "Evening", "Night")))</f>
        <v>Afternoon</v>
      </c>
      <c r="G425" t="str">
        <f>_xlfn.XLOOKUP(AllData[[#This Row],[Location Name]], Locations[Location Name],Locations[Group As])</f>
        <v>Preston-on-Stour River Bridge</v>
      </c>
      <c r="H425" t="e" vm="2">
        <f>_xlfn.XLOOKUP(AllData[[#This Row],[Site Name]],LocationsKey[Site Name],LocationsKey[District])</f>
        <v>#VALUE!</v>
      </c>
      <c r="I425" t="e" vm="9">
        <f>_xlfn.XLOOKUP(AllData[[#This Row],[Site Name]],LocationsKey[Site Name],LocationsKey[Town])</f>
        <v>#VALUE!</v>
      </c>
      <c r="J425" t="str">
        <f>_xlfn.XLOOKUP(AllData[[#This Row],[Site Name]],LocationsKey[Site Name], LocationsKey[Waterway])</f>
        <v>Stour</v>
      </c>
      <c r="K425" t="s">
        <v>163</v>
      </c>
      <c r="L425">
        <v>52.146580999999998</v>
      </c>
      <c r="M425">
        <v>-1.6992020000000001</v>
      </c>
      <c r="N425" t="s">
        <v>29</v>
      </c>
      <c r="O425" s="219">
        <v>548</v>
      </c>
      <c r="P425">
        <v>11.3</v>
      </c>
      <c r="Q425" s="219">
        <v>7</v>
      </c>
      <c r="R425" s="7" t="str">
        <f>IF(AllData[[#This Row],[Nitrate (PPM)]]&gt;2, "Very high", IF(AllData[[#This Row],[Nitrate (PPM)]]&gt;1, "High", IF(AllData[[#This Row],[Nitrate (PPM)]]&gt;0.5, "Some evidence", IF(AllData[[#This Row],[Nitrate (PPM)]]&gt;=0, "No evidence"))))</f>
        <v>Very high</v>
      </c>
      <c r="S425" s="221">
        <v>0.25</v>
      </c>
      <c r="T425" s="7" t="str">
        <f>IF(AllData[[#This Row],[Phosphate (PPM)]]&gt;0.5, "Very high", IF(AllData[[#This Row],[Phosphate (PPM)]]&gt;0.1, "High", IF(AllData[[#This Row],[Phosphate (PPM)]]&gt;0.05, "Some evidence", IF(AllData[[#This Row],[Phosphate (PPM)]]&lt;=0.05, "No Evidence", ""))))</f>
        <v>High</v>
      </c>
      <c r="U425">
        <v>2</v>
      </c>
      <c r="V425" t="s">
        <v>668</v>
      </c>
    </row>
    <row r="426" spans="1:22" x14ac:dyDescent="0.25">
      <c r="A426" t="s">
        <v>669</v>
      </c>
      <c r="B426" s="2">
        <v>45338</v>
      </c>
      <c r="C426" s="2" t="str" cm="1">
        <f t="array" ref="C4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6">
        <v>2023</v>
      </c>
      <c r="E426" s="1">
        <v>0.59722222222222221</v>
      </c>
      <c r="F426" s="2" t="str">
        <f>IF(AND(AllData[[#This Row],[Time]]&lt;0.5, AllData[[#This Row],[Time]]&gt;0.17)=TRUE, "Morning", IF(AND(AllData[[#This Row],[Time]]&lt;0.75, AllData[[#This Row],[Time]]&gt;=0.5)=TRUE, "Afternoon", IF(AND(AllData[[#This Row],[Time]]&lt;1, AllData[[#This Row],[Time]]&gt;=0.75)=TRUE, "Evening", "Night")))</f>
        <v>Afternoon</v>
      </c>
      <c r="G426" t="str">
        <f>_xlfn.XLOOKUP(AllData[[#This Row],[Location Name]], Locations[Location Name],Locations[Group As])</f>
        <v>Preston Bagot Canal</v>
      </c>
      <c r="H426" t="e" vm="2">
        <f>_xlfn.XLOOKUP(AllData[[#This Row],[Site Name]],LocationsKey[Site Name],LocationsKey[District])</f>
        <v>#VALUE!</v>
      </c>
      <c r="I426" t="e" vm="19">
        <f>_xlfn.XLOOKUP(AllData[[#This Row],[Site Name]],LocationsKey[Site Name],LocationsKey[Town])</f>
        <v>#VALUE!</v>
      </c>
      <c r="J426" t="str">
        <f>_xlfn.XLOOKUP(AllData[[#This Row],[Site Name]],LocationsKey[Site Name], LocationsKey[Waterway])</f>
        <v>Preston Bagot Canal</v>
      </c>
      <c r="K426" t="s">
        <v>615</v>
      </c>
      <c r="N426" t="s">
        <v>23</v>
      </c>
      <c r="O426" s="219">
        <v>308</v>
      </c>
      <c r="P426">
        <v>11.6</v>
      </c>
      <c r="Q426" s="219">
        <v>2</v>
      </c>
      <c r="R426" s="7" t="str">
        <f>IF(AllData[[#This Row],[Nitrate (PPM)]]&gt;2, "Very high", IF(AllData[[#This Row],[Nitrate (PPM)]]&gt;1, "High", IF(AllData[[#This Row],[Nitrate (PPM)]]&gt;0.5, "Some evidence", IF(AllData[[#This Row],[Nitrate (PPM)]]&gt;=0, "No evidence"))))</f>
        <v>High</v>
      </c>
      <c r="S426" s="221">
        <v>0.22</v>
      </c>
      <c r="T426" s="7" t="str">
        <f>IF(AllData[[#This Row],[Phosphate (PPM)]]&gt;0.5, "Very high", IF(AllData[[#This Row],[Phosphate (PPM)]]&gt;0.1, "High", IF(AllData[[#This Row],[Phosphate (PPM)]]&gt;0.05, "Some evidence", IF(AllData[[#This Row],[Phosphate (PPM)]]&lt;=0.05, "No Evidence", ""))))</f>
        <v>High</v>
      </c>
      <c r="U426">
        <v>0</v>
      </c>
    </row>
    <row r="427" spans="1:22" x14ac:dyDescent="0.25">
      <c r="A427" t="s">
        <v>670</v>
      </c>
      <c r="B427" s="2">
        <v>45338</v>
      </c>
      <c r="C427" s="2" t="str" cm="1">
        <f t="array" ref="C4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7">
        <v>2023</v>
      </c>
      <c r="E427" s="1">
        <v>0.61111111111111116</v>
      </c>
      <c r="F427" s="2" t="str">
        <f>IF(AND(AllData[[#This Row],[Time]]&lt;0.5, AllData[[#This Row],[Time]]&gt;0.17)=TRUE, "Morning", IF(AND(AllData[[#This Row],[Time]]&lt;0.75, AllData[[#This Row],[Time]]&gt;=0.5)=TRUE, "Afternoon", IF(AND(AllData[[#This Row],[Time]]&lt;1, AllData[[#This Row],[Time]]&gt;=0.75)=TRUE, "Evening", "Night")))</f>
        <v>Afternoon</v>
      </c>
      <c r="G427" t="str">
        <f>_xlfn.XLOOKUP(AllData[[#This Row],[Location Name]], Locations[Location Name],Locations[Group As])</f>
        <v>Preston Bagot Brook</v>
      </c>
      <c r="H427" t="e" vm="2">
        <f>_xlfn.XLOOKUP(AllData[[#This Row],[Site Name]],LocationsKey[Site Name],LocationsKey[District])</f>
        <v>#VALUE!</v>
      </c>
      <c r="I427" t="e" vm="19">
        <f>_xlfn.XLOOKUP(AllData[[#This Row],[Site Name]],LocationsKey[Site Name],LocationsKey[Town])</f>
        <v>#VALUE!</v>
      </c>
      <c r="J427" t="str">
        <f>_xlfn.XLOOKUP(AllData[[#This Row],[Site Name]],LocationsKey[Site Name], LocationsKey[Waterway])</f>
        <v>Preston Bagot Brook</v>
      </c>
      <c r="K427" t="s">
        <v>618</v>
      </c>
      <c r="L427">
        <v>52.286200000000001</v>
      </c>
      <c r="M427">
        <v>-1.7478</v>
      </c>
      <c r="N427" t="s">
        <v>23</v>
      </c>
      <c r="O427">
        <v>353</v>
      </c>
      <c r="P427">
        <v>12.4</v>
      </c>
      <c r="Q427">
        <v>2</v>
      </c>
      <c r="R427" s="7" t="str">
        <f>IF(AllData[[#This Row],[Nitrate (PPM)]]&gt;2, "Very high", IF(AllData[[#This Row],[Nitrate (PPM)]]&gt;1, "High", IF(AllData[[#This Row],[Nitrate (PPM)]]&gt;0.5, "Some evidence", IF(AllData[[#This Row],[Nitrate (PPM)]]&gt;=0, "No evidence"))))</f>
        <v>High</v>
      </c>
      <c r="S427" s="4">
        <v>0.56000000000000005</v>
      </c>
      <c r="T427" s="7" t="str">
        <f>IF(AllData[[#This Row],[Phosphate (PPM)]]&gt;0.5, "Very high", IF(AllData[[#This Row],[Phosphate (PPM)]]&gt;0.1, "High", IF(AllData[[#This Row],[Phosphate (PPM)]]&gt;0.05, "Some evidence", IF(AllData[[#This Row],[Phosphate (PPM)]]&lt;=0.05, "No Evidence", ""))))</f>
        <v>Very high</v>
      </c>
      <c r="U427">
        <v>0</v>
      </c>
    </row>
    <row r="428" spans="1:22" x14ac:dyDescent="0.25">
      <c r="A428" t="s">
        <v>671</v>
      </c>
      <c r="B428" s="2">
        <v>45338</v>
      </c>
      <c r="C428" s="2" t="str" cm="1">
        <f t="array" ref="C4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8">
        <v>2023</v>
      </c>
      <c r="E428" s="1">
        <v>0.625</v>
      </c>
      <c r="F428" s="2" t="str">
        <f>IF(AND(AllData[[#This Row],[Time]]&lt;0.5, AllData[[#This Row],[Time]]&gt;0.17)=TRUE, "Morning", IF(AND(AllData[[#This Row],[Time]]&lt;0.75, AllData[[#This Row],[Time]]&gt;=0.5)=TRUE, "Afternoon", IF(AND(AllData[[#This Row],[Time]]&lt;1, AllData[[#This Row],[Time]]&gt;=0.75)=TRUE, "Evening", "Night")))</f>
        <v>Afternoon</v>
      </c>
      <c r="G428" t="str">
        <f>_xlfn.XLOOKUP(AllData[[#This Row],[Location Name]], Locations[Location Name],Locations[Group As])</f>
        <v>Sherbourne Brook 1</v>
      </c>
      <c r="H428" t="e" vm="2">
        <f>_xlfn.XLOOKUP(AllData[[#This Row],[Site Name]],LocationsKey[Site Name],LocationsKey[District])</f>
        <v>#VALUE!</v>
      </c>
      <c r="I428" t="e" vm="16">
        <f>_xlfn.XLOOKUP(AllData[[#This Row],[Site Name]],LocationsKey[Site Name],LocationsKey[Town])</f>
        <v>#VALUE!</v>
      </c>
      <c r="J428" t="str">
        <f>_xlfn.XLOOKUP(AllData[[#This Row],[Site Name]],LocationsKey[Site Name], LocationsKey[Waterway])</f>
        <v>Sherbourne Brook</v>
      </c>
      <c r="K428" t="s">
        <v>570</v>
      </c>
      <c r="L428">
        <v>52.252499999999998</v>
      </c>
      <c r="M428">
        <v>-1.6685000000000001</v>
      </c>
      <c r="N428" t="s">
        <v>23</v>
      </c>
      <c r="O428">
        <v>776</v>
      </c>
      <c r="P428">
        <v>11.4</v>
      </c>
      <c r="Q428">
        <v>5</v>
      </c>
      <c r="R428" s="7" t="str">
        <f>IF(AllData[[#This Row],[Nitrate (PPM)]]&gt;2, "Very high", IF(AllData[[#This Row],[Nitrate (PPM)]]&gt;1, "High", IF(AllData[[#This Row],[Nitrate (PPM)]]&gt;0.5, "Some evidence", IF(AllData[[#This Row],[Nitrate (PPM)]]&gt;=0, "No evidence"))))</f>
        <v>Very high</v>
      </c>
      <c r="S428" s="4">
        <v>0.73</v>
      </c>
      <c r="T428" s="7" t="str">
        <f>IF(AllData[[#This Row],[Phosphate (PPM)]]&gt;0.5, "Very high", IF(AllData[[#This Row],[Phosphate (PPM)]]&gt;0.1, "High", IF(AllData[[#This Row],[Phosphate (PPM)]]&gt;0.05, "Some evidence", IF(AllData[[#This Row],[Phosphate (PPM)]]&lt;=0.05, "No Evidence", ""))))</f>
        <v>Very high</v>
      </c>
      <c r="U428">
        <v>0.5</v>
      </c>
    </row>
    <row r="429" spans="1:22" x14ac:dyDescent="0.25">
      <c r="A429" t="s">
        <v>672</v>
      </c>
      <c r="B429" s="2">
        <v>45338</v>
      </c>
      <c r="C429" s="2" t="str" cm="1">
        <f t="array" ref="C4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9">
        <v>2023</v>
      </c>
      <c r="E429" s="1">
        <v>0.63541666666666663</v>
      </c>
      <c r="F429" s="2" t="str">
        <f>IF(AND(AllData[[#This Row],[Time]]&lt;0.5, AllData[[#This Row],[Time]]&gt;0.17)=TRUE, "Morning", IF(AND(AllData[[#This Row],[Time]]&lt;0.75, AllData[[#This Row],[Time]]&gt;=0.5)=TRUE, "Afternoon", IF(AND(AllData[[#This Row],[Time]]&lt;1, AllData[[#This Row],[Time]]&gt;=0.75)=TRUE, "Evening", "Night")))</f>
        <v>Afternoon</v>
      </c>
      <c r="G429" t="str">
        <f>_xlfn.XLOOKUP(AllData[[#This Row],[Location Name]], Locations[Location Name],Locations[Group As])</f>
        <v>Bell Brook 1</v>
      </c>
      <c r="H429" t="e" vm="2">
        <f>_xlfn.XLOOKUP(AllData[[#This Row],[Site Name]],LocationsKey[Site Name],LocationsKey[District])</f>
        <v>#VALUE!</v>
      </c>
      <c r="I429" t="e" vm="15">
        <f>_xlfn.XLOOKUP(AllData[[#This Row],[Site Name]],LocationsKey[Site Name],LocationsKey[Town])</f>
        <v>#VALUE!</v>
      </c>
      <c r="J429" t="str">
        <f>_xlfn.XLOOKUP(AllData[[#This Row],[Site Name]],LocationsKey[Site Name], LocationsKey[Waterway])</f>
        <v>Bell Brook</v>
      </c>
      <c r="K429" t="s">
        <v>534</v>
      </c>
      <c r="L429">
        <v>52.244900000000001</v>
      </c>
      <c r="M429">
        <v>-1.6617</v>
      </c>
      <c r="N429" t="s">
        <v>23</v>
      </c>
      <c r="O429">
        <v>542</v>
      </c>
      <c r="P429">
        <v>10.6</v>
      </c>
      <c r="Q429">
        <v>4</v>
      </c>
      <c r="R429" s="7" t="str">
        <f>IF(AllData[[#This Row],[Nitrate (PPM)]]&gt;2, "Very high", IF(AllData[[#This Row],[Nitrate (PPM)]]&gt;1, "High", IF(AllData[[#This Row],[Nitrate (PPM)]]&gt;0.5, "Some evidence", IF(AllData[[#This Row],[Nitrate (PPM)]]&gt;=0, "No evidence"))))</f>
        <v>Very high</v>
      </c>
      <c r="S429" s="4">
        <v>0.16</v>
      </c>
      <c r="T429" s="7" t="str">
        <f>IF(AllData[[#This Row],[Phosphate (PPM)]]&gt;0.5, "Very high", IF(AllData[[#This Row],[Phosphate (PPM)]]&gt;0.1, "High", IF(AllData[[#This Row],[Phosphate (PPM)]]&gt;0.05, "Some evidence", IF(AllData[[#This Row],[Phosphate (PPM)]]&lt;=0.05, "No Evidence", ""))))</f>
        <v>High</v>
      </c>
      <c r="U429">
        <v>0.5</v>
      </c>
    </row>
    <row r="430" spans="1:22" x14ac:dyDescent="0.25">
      <c r="A430" t="s">
        <v>673</v>
      </c>
      <c r="B430" s="2">
        <v>45338</v>
      </c>
      <c r="C430" s="2" t="str" cm="1">
        <f t="array" ref="C4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0">
        <v>2023</v>
      </c>
      <c r="E430" s="1">
        <v>0.66666666666666663</v>
      </c>
      <c r="F430" s="2" t="str">
        <f>IF(AND(AllData[[#This Row],[Time]]&lt;0.5, AllData[[#This Row],[Time]]&gt;0.17)=TRUE, "Morning", IF(AND(AllData[[#This Row],[Time]]&lt;0.75, AllData[[#This Row],[Time]]&gt;=0.5)=TRUE, "Afternoon", IF(AND(AllData[[#This Row],[Time]]&lt;1, AllData[[#This Row],[Time]]&gt;=0.75)=TRUE, "Evening", "Night")))</f>
        <v>Afternoon</v>
      </c>
      <c r="G430" t="str">
        <f>_xlfn.XLOOKUP(AllData[[#This Row],[Location Name]], Locations[Location Name],Locations[Group As])</f>
        <v>Swilgate</v>
      </c>
      <c r="H430" t="e" vm="1">
        <f>_xlfn.XLOOKUP(AllData[[#This Row],[Site Name]],LocationsKey[Site Name],LocationsKey[District])</f>
        <v>#VALUE!</v>
      </c>
      <c r="I430" t="e" vm="1">
        <f>_xlfn.XLOOKUP(AllData[[#This Row],[Site Name]],LocationsKey[Site Name],LocationsKey[Town])</f>
        <v>#VALUE!</v>
      </c>
      <c r="J430" t="str">
        <f>_xlfn.XLOOKUP(AllData[[#This Row],[Site Name]],LocationsKey[Site Name], LocationsKey[Waterway])</f>
        <v>Swilgate</v>
      </c>
      <c r="K430" t="s">
        <v>84</v>
      </c>
      <c r="N430" t="s">
        <v>23</v>
      </c>
      <c r="O430">
        <v>757</v>
      </c>
      <c r="P430">
        <v>13.6</v>
      </c>
      <c r="Q430">
        <v>3</v>
      </c>
      <c r="R430" s="7" t="str">
        <f>IF(AllData[[#This Row],[Nitrate (PPM)]]&gt;2, "Very high", IF(AllData[[#This Row],[Nitrate (PPM)]]&gt;1, "High", IF(AllData[[#This Row],[Nitrate (PPM)]]&gt;0.5, "Some evidence", IF(AllData[[#This Row],[Nitrate (PPM)]]&gt;=0, "No evidence"))))</f>
        <v>Very high</v>
      </c>
      <c r="S430" s="4">
        <v>0.39</v>
      </c>
      <c r="T430" s="7" t="str">
        <f>IF(AllData[[#This Row],[Phosphate (PPM)]]&gt;0.5, "Very high", IF(AllData[[#This Row],[Phosphate (PPM)]]&gt;0.1, "High", IF(AllData[[#This Row],[Phosphate (PPM)]]&gt;0.05, "Some evidence", IF(AllData[[#This Row],[Phosphate (PPM)]]&lt;=0.05, "No Evidence", ""))))</f>
        <v>High</v>
      </c>
      <c r="U430">
        <v>2</v>
      </c>
      <c r="V430" t="s">
        <v>270</v>
      </c>
    </row>
    <row r="431" spans="1:22" x14ac:dyDescent="0.25">
      <c r="A431" t="s">
        <v>1744</v>
      </c>
      <c r="B431" s="2">
        <v>45338</v>
      </c>
      <c r="C431" s="2" t="str" cm="1">
        <f t="array" ref="C4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1">
        <v>2023</v>
      </c>
      <c r="F431" s="2" t="str">
        <f>IF(AND(AllData[[#This Row],[Time]]&lt;0.5, AllData[[#This Row],[Time]]&gt;0.17)=TRUE, "Morning", IF(AND(AllData[[#This Row],[Time]]&lt;0.75, AllData[[#This Row],[Time]]&gt;=0.5)=TRUE, "Afternoon", IF(AND(AllData[[#This Row],[Time]]&lt;1, AllData[[#This Row],[Time]]&gt;=0.75)=TRUE, "Evening", "Night")))</f>
        <v>Night</v>
      </c>
      <c r="G431" t="str">
        <f>_xlfn.XLOOKUP(AllData[[#This Row],[Location Name]], Locations[Location Name],Locations[Group As])</f>
        <v>Site 1  :  Middle Street</v>
      </c>
      <c r="H431" t="e" vm="2">
        <f>_xlfn.XLOOKUP(AllData[[#This Row],[Site Name]],LocationsKey[Site Name],LocationsKey[District])</f>
        <v>#VALUE!</v>
      </c>
      <c r="I431" t="e" vm="11">
        <f>_xlfn.XLOOKUP(AllData[[#This Row],[Site Name]],LocationsKey[Site Name],LocationsKey[Town])</f>
        <v>#VALUE!</v>
      </c>
      <c r="J431" t="str">
        <f>_xlfn.XLOOKUP(AllData[[#This Row],[Site Name]],LocationsKey[Site Name], LocationsKey[Waterway])</f>
        <v>Fosseway Brook</v>
      </c>
      <c r="K431" t="s">
        <v>1859</v>
      </c>
      <c r="L431">
        <v>52.090085000000002</v>
      </c>
      <c r="M431">
        <v>-1.692593</v>
      </c>
      <c r="N431" t="s">
        <v>66</v>
      </c>
      <c r="O431">
        <v>584</v>
      </c>
      <c r="P431">
        <v>12.3</v>
      </c>
      <c r="Q431">
        <v>3</v>
      </c>
      <c r="R431" s="7" t="str">
        <f>IF(AllData[[#This Row],[Nitrate (PPM)]]&gt;2, "Very high", IF(AllData[[#This Row],[Nitrate (PPM)]]&gt;1, "High", IF(AllData[[#This Row],[Nitrate (PPM)]]&gt;0.5, "Some evidence", IF(AllData[[#This Row],[Nitrate (PPM)]]&gt;=0, "No evidence"))))</f>
        <v>Very high</v>
      </c>
      <c r="S431" s="4">
        <v>0.08</v>
      </c>
      <c r="T431" s="7" t="str">
        <f>IF(AllData[[#This Row],[Phosphate (PPM)]]&gt;0.5, "Very high", IF(AllData[[#This Row],[Phosphate (PPM)]]&gt;0.1, "High", IF(AllData[[#This Row],[Phosphate (PPM)]]&gt;0.05, "Some evidence", IF(AllData[[#This Row],[Phosphate (PPM)]]&lt;=0.05, "No Evidence", ""))))</f>
        <v>Some evidence</v>
      </c>
      <c r="U431">
        <v>0</v>
      </c>
      <c r="V431" t="s">
        <v>1895</v>
      </c>
    </row>
    <row r="432" spans="1:22" x14ac:dyDescent="0.25">
      <c r="A432" t="s">
        <v>1461</v>
      </c>
      <c r="B432" s="2">
        <v>45338</v>
      </c>
      <c r="C432" s="2" t="str" cm="1">
        <f t="array" ref="C4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2">
        <v>2023</v>
      </c>
      <c r="E432" s="1"/>
      <c r="F432" s="2" t="str">
        <f>IF(AND(AllData[[#This Row],[Time]]&lt;0.5, AllData[[#This Row],[Time]]&gt;0.17)=TRUE, "Morning", IF(AND(AllData[[#This Row],[Time]]&lt;0.75, AllData[[#This Row],[Time]]&gt;=0.5)=TRUE, "Afternoon", IF(AND(AllData[[#This Row],[Time]]&lt;1, AllData[[#This Row],[Time]]&gt;=0.75)=TRUE, "Evening", "Night")))</f>
        <v>Night</v>
      </c>
      <c r="G432" t="str">
        <f>_xlfn.XLOOKUP(AllData[[#This Row],[Location Name]], Locations[Location Name],Locations[Group As])</f>
        <v>Site 1  :  Middle Street</v>
      </c>
      <c r="H432" t="e" vm="2">
        <f>_xlfn.XLOOKUP(AllData[[#This Row],[Site Name]],LocationsKey[Site Name],LocationsKey[District])</f>
        <v>#VALUE!</v>
      </c>
      <c r="I432" t="e" vm="11">
        <f>_xlfn.XLOOKUP(AllData[[#This Row],[Site Name]],LocationsKey[Site Name],LocationsKey[Town])</f>
        <v>#VALUE!</v>
      </c>
      <c r="J432" t="str">
        <f>_xlfn.XLOOKUP(AllData[[#This Row],[Site Name]],LocationsKey[Site Name], LocationsKey[Waterway])</f>
        <v>Fosseway Brook</v>
      </c>
      <c r="K432" t="s">
        <v>1373</v>
      </c>
      <c r="L432">
        <v>52.090085000000002</v>
      </c>
      <c r="M432">
        <v>-1.692593</v>
      </c>
      <c r="N432" t="s">
        <v>66</v>
      </c>
      <c r="O432">
        <v>584</v>
      </c>
      <c r="P432">
        <v>12.3</v>
      </c>
      <c r="Q432">
        <v>3</v>
      </c>
      <c r="R432" s="7" t="str">
        <f>IF(AllData[[#This Row],[Nitrate (PPM)]]&gt;2, "Very high", IF(AllData[[#This Row],[Nitrate (PPM)]]&gt;1, "High", IF(AllData[[#This Row],[Nitrate (PPM)]]&gt;0.5, "Some evidence", IF(AllData[[#This Row],[Nitrate (PPM)]]&gt;=0, "No evidence"))))</f>
        <v>Very high</v>
      </c>
      <c r="S432" s="4">
        <v>0.08</v>
      </c>
      <c r="T432" s="7" t="str">
        <f>IF(AllData[[#This Row],[Phosphate (PPM)]]&gt;0.5, "Very high", IF(AllData[[#This Row],[Phosphate (PPM)]]&gt;0.1, "High", IF(AllData[[#This Row],[Phosphate (PPM)]]&gt;0.05, "Some evidence", IF(AllData[[#This Row],[Phosphate (PPM)]]&lt;=0.05, "No Evidence", ""))))</f>
        <v>Some evidence</v>
      </c>
      <c r="V432" t="s">
        <v>1458</v>
      </c>
    </row>
    <row r="433" spans="1:22" x14ac:dyDescent="0.25">
      <c r="A433" t="s">
        <v>1749</v>
      </c>
      <c r="B433" s="2">
        <v>45338</v>
      </c>
      <c r="C433" s="2" t="str" cm="1">
        <f t="array" ref="C4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3">
        <v>2023</v>
      </c>
      <c r="F433" s="2" t="str">
        <f>IF(AND(AllData[[#This Row],[Time]]&lt;0.5, AllData[[#This Row],[Time]]&gt;0.17)=TRUE, "Morning", IF(AND(AllData[[#This Row],[Time]]&lt;0.75, AllData[[#This Row],[Time]]&gt;=0.5)=TRUE, "Afternoon", IF(AND(AllData[[#This Row],[Time]]&lt;1, AllData[[#This Row],[Time]]&gt;=0.75)=TRUE, "Evening", "Night")))</f>
        <v>Night</v>
      </c>
      <c r="G433" t="str">
        <f>_xlfn.XLOOKUP(AllData[[#This Row],[Location Name]], Locations[Location Name],Locations[Group As])</f>
        <v>Site 2  :  Cross Leys culvert</v>
      </c>
      <c r="H433" t="e" vm="2">
        <f>_xlfn.XLOOKUP(AllData[[#This Row],[Site Name]],LocationsKey[Site Name],LocationsKey[District])</f>
        <v>#VALUE!</v>
      </c>
      <c r="I433" t="e" vm="11">
        <f>_xlfn.XLOOKUP(AllData[[#This Row],[Site Name]],LocationsKey[Site Name],LocationsKey[Town])</f>
        <v>#VALUE!</v>
      </c>
      <c r="J433" t="str">
        <f>_xlfn.XLOOKUP(AllData[[#This Row],[Site Name]],LocationsKey[Site Name], LocationsKey[Waterway])</f>
        <v>Fosseway Brook</v>
      </c>
      <c r="K433" t="s">
        <v>1860</v>
      </c>
      <c r="L433">
        <v>52.092967999999999</v>
      </c>
      <c r="M433">
        <v>-1.6862710000000001</v>
      </c>
      <c r="N433" t="s">
        <v>66</v>
      </c>
      <c r="O433">
        <v>592</v>
      </c>
      <c r="P433">
        <v>11</v>
      </c>
      <c r="Q433">
        <v>2</v>
      </c>
      <c r="R433" s="7" t="str">
        <f>IF(AllData[[#This Row],[Nitrate (PPM)]]&gt;2, "Very high", IF(AllData[[#This Row],[Nitrate (PPM)]]&gt;1, "High", IF(AllData[[#This Row],[Nitrate (PPM)]]&gt;0.5, "Some evidence", IF(AllData[[#This Row],[Nitrate (PPM)]]&gt;=0, "No evidence"))))</f>
        <v>High</v>
      </c>
      <c r="S433" s="4">
        <v>0.17</v>
      </c>
      <c r="T433" s="7" t="str">
        <f>IF(AllData[[#This Row],[Phosphate (PPM)]]&gt;0.5, "Very high", IF(AllData[[#This Row],[Phosphate (PPM)]]&gt;0.1, "High", IF(AllData[[#This Row],[Phosphate (PPM)]]&gt;0.05, "Some evidence", IF(AllData[[#This Row],[Phosphate (PPM)]]&lt;=0.05, "No Evidence", ""))))</f>
        <v>High</v>
      </c>
      <c r="U433">
        <v>0</v>
      </c>
      <c r="V433" t="s">
        <v>1899</v>
      </c>
    </row>
    <row r="434" spans="1:22" x14ac:dyDescent="0.25">
      <c r="A434" t="s">
        <v>1453</v>
      </c>
      <c r="B434" s="2">
        <v>45338</v>
      </c>
      <c r="C434" s="2" t="str" cm="1">
        <f t="array" ref="C4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4">
        <v>2023</v>
      </c>
      <c r="E434" s="1"/>
      <c r="F434" s="2" t="str">
        <f>IF(AND(AllData[[#This Row],[Time]]&lt;0.5, AllData[[#This Row],[Time]]&gt;0.17)=TRUE, "Morning", IF(AND(AllData[[#This Row],[Time]]&lt;0.75, AllData[[#This Row],[Time]]&gt;=0.5)=TRUE, "Afternoon", IF(AND(AllData[[#This Row],[Time]]&lt;1, AllData[[#This Row],[Time]]&gt;=0.75)=TRUE, "Evening", "Night")))</f>
        <v>Night</v>
      </c>
      <c r="G434" t="str">
        <f>_xlfn.XLOOKUP(AllData[[#This Row],[Location Name]], Locations[Location Name],Locations[Group As])</f>
        <v>Site 2  :  Cross Leys culvert</v>
      </c>
      <c r="H434" t="e" vm="2">
        <f>_xlfn.XLOOKUP(AllData[[#This Row],[Site Name]],LocationsKey[Site Name],LocationsKey[District])</f>
        <v>#VALUE!</v>
      </c>
      <c r="I434" t="e" vm="11">
        <f>_xlfn.XLOOKUP(AllData[[#This Row],[Site Name]],LocationsKey[Site Name],LocationsKey[Town])</f>
        <v>#VALUE!</v>
      </c>
      <c r="J434" t="str">
        <f>_xlfn.XLOOKUP(AllData[[#This Row],[Site Name]],LocationsKey[Site Name], LocationsKey[Waterway])</f>
        <v>Fosseway Brook</v>
      </c>
      <c r="K434" t="s">
        <v>1371</v>
      </c>
      <c r="L434">
        <v>52.092967999999999</v>
      </c>
      <c r="M434">
        <v>-1.6862710000000001</v>
      </c>
      <c r="N434" t="s">
        <v>66</v>
      </c>
      <c r="O434">
        <v>592</v>
      </c>
      <c r="P434">
        <v>11</v>
      </c>
      <c r="Q434">
        <v>2</v>
      </c>
      <c r="R434" s="7" t="str">
        <f>IF(AllData[[#This Row],[Nitrate (PPM)]]&gt;2, "Very high", IF(AllData[[#This Row],[Nitrate (PPM)]]&gt;1, "High", IF(AllData[[#This Row],[Nitrate (PPM)]]&gt;0.5, "Some evidence", IF(AllData[[#This Row],[Nitrate (PPM)]]&gt;=0, "No evidence"))))</f>
        <v>High</v>
      </c>
      <c r="S434" s="4">
        <v>0.17</v>
      </c>
      <c r="T434" s="7" t="str">
        <f>IF(AllData[[#This Row],[Phosphate (PPM)]]&gt;0.5, "Very high", IF(AllData[[#This Row],[Phosphate (PPM)]]&gt;0.1, "High", IF(AllData[[#This Row],[Phosphate (PPM)]]&gt;0.05, "Some evidence", IF(AllData[[#This Row],[Phosphate (PPM)]]&lt;=0.05, "No Evidence", ""))))</f>
        <v>High</v>
      </c>
      <c r="V434" t="s">
        <v>1445</v>
      </c>
    </row>
    <row r="435" spans="1:22" x14ac:dyDescent="0.25">
      <c r="A435" t="s">
        <v>1754</v>
      </c>
      <c r="B435" s="2">
        <v>45338</v>
      </c>
      <c r="C435" s="2" t="str" cm="1">
        <f t="array" ref="C4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5">
        <v>2023</v>
      </c>
      <c r="F435" s="2" t="str">
        <f>IF(AND(AllData[[#This Row],[Time]]&lt;0.5, AllData[[#This Row],[Time]]&gt;0.17)=TRUE, "Morning", IF(AND(AllData[[#This Row],[Time]]&lt;0.75, AllData[[#This Row],[Time]]&gt;=0.5)=TRUE, "Afternoon", IF(AND(AllData[[#This Row],[Time]]&lt;1, AllData[[#This Row],[Time]]&gt;=0.75)=TRUE, "Evening", "Night")))</f>
        <v>Night</v>
      </c>
      <c r="G435" t="str">
        <f>_xlfn.XLOOKUP(AllData[[#This Row],[Location Name]], Locations[Location Name],Locations[Group As])</f>
        <v>Site 3  :  Severn Trent Water processing plant outflow</v>
      </c>
      <c r="H435" t="e" vm="2">
        <f>_xlfn.XLOOKUP(AllData[[#This Row],[Site Name]],LocationsKey[Site Name],LocationsKey[District])</f>
        <v>#VALUE!</v>
      </c>
      <c r="I435" t="e" vm="11">
        <f>_xlfn.XLOOKUP(AllData[[#This Row],[Site Name]],LocationsKey[Site Name],LocationsKey[Town])</f>
        <v>#VALUE!</v>
      </c>
      <c r="J435" t="str">
        <f>_xlfn.XLOOKUP(AllData[[#This Row],[Site Name]],LocationsKey[Site Name], LocationsKey[Waterway])</f>
        <v>Fosseway Brook</v>
      </c>
      <c r="K435" t="s">
        <v>1861</v>
      </c>
      <c r="L435">
        <v>52.094423999999997</v>
      </c>
      <c r="M435">
        <v>-1.6759090000000001</v>
      </c>
      <c r="N435" t="s">
        <v>29</v>
      </c>
      <c r="O435">
        <v>640</v>
      </c>
      <c r="P435">
        <v>10.9</v>
      </c>
      <c r="Q435">
        <v>5</v>
      </c>
      <c r="R435" s="7" t="str">
        <f>IF(AllData[[#This Row],[Nitrate (PPM)]]&gt;2, "Very high", IF(AllData[[#This Row],[Nitrate (PPM)]]&gt;1, "High", IF(AllData[[#This Row],[Nitrate (PPM)]]&gt;0.5, "Some evidence", IF(AllData[[#This Row],[Nitrate (PPM)]]&gt;=0, "No evidence"))))</f>
        <v>Very high</v>
      </c>
      <c r="S435" s="4">
        <v>2.2599999999999998</v>
      </c>
      <c r="T435" s="7" t="str">
        <f>IF(AllData[[#This Row],[Phosphate (PPM)]]&gt;0.5, "Very high", IF(AllData[[#This Row],[Phosphate (PPM)]]&gt;0.1, "High", IF(AllData[[#This Row],[Phosphate (PPM)]]&gt;0.05, "Some evidence", IF(AllData[[#This Row],[Phosphate (PPM)]]&lt;=0.05, "No Evidence", ""))))</f>
        <v>Very high</v>
      </c>
      <c r="U435">
        <v>0</v>
      </c>
      <c r="V435" t="s">
        <v>1902</v>
      </c>
    </row>
    <row r="436" spans="1:22" x14ac:dyDescent="0.25">
      <c r="A436" t="s">
        <v>1447</v>
      </c>
      <c r="B436" s="2">
        <v>45338</v>
      </c>
      <c r="C436" s="2" t="str" cm="1">
        <f t="array" ref="C4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6">
        <v>2023</v>
      </c>
      <c r="E436" s="1"/>
      <c r="F436" s="2" t="str">
        <f>IF(AND(AllData[[#This Row],[Time]]&lt;0.5, AllData[[#This Row],[Time]]&gt;0.17)=TRUE, "Morning", IF(AND(AllData[[#This Row],[Time]]&lt;0.75, AllData[[#This Row],[Time]]&gt;=0.5)=TRUE, "Afternoon", IF(AND(AllData[[#This Row],[Time]]&lt;1, AllData[[#This Row],[Time]]&gt;=0.75)=TRUE, "Evening", "Night")))</f>
        <v>Night</v>
      </c>
      <c r="G436" t="str">
        <f>_xlfn.XLOOKUP(AllData[[#This Row],[Location Name]], Locations[Location Name],Locations[Group As])</f>
        <v>Site 3  :  Severn Trent Water processing plant outflow</v>
      </c>
      <c r="H436" t="e" vm="2">
        <f>_xlfn.XLOOKUP(AllData[[#This Row],[Site Name]],LocationsKey[Site Name],LocationsKey[District])</f>
        <v>#VALUE!</v>
      </c>
      <c r="I436" t="e" vm="11">
        <f>_xlfn.XLOOKUP(AllData[[#This Row],[Site Name]],LocationsKey[Site Name],LocationsKey[Town])</f>
        <v>#VALUE!</v>
      </c>
      <c r="J436" t="str">
        <f>_xlfn.XLOOKUP(AllData[[#This Row],[Site Name]],LocationsKey[Site Name], LocationsKey[Waterway])</f>
        <v>Fosseway Brook</v>
      </c>
      <c r="K436" t="s">
        <v>1368</v>
      </c>
      <c r="L436">
        <v>52.094423999999997</v>
      </c>
      <c r="M436">
        <v>-1.6759090000000001</v>
      </c>
      <c r="N436" t="s">
        <v>29</v>
      </c>
      <c r="O436">
        <v>640</v>
      </c>
      <c r="P436">
        <v>10.9</v>
      </c>
      <c r="Q436">
        <v>5</v>
      </c>
      <c r="R436" s="7" t="str">
        <f>IF(AllData[[#This Row],[Nitrate (PPM)]]&gt;2, "Very high", IF(AllData[[#This Row],[Nitrate (PPM)]]&gt;1, "High", IF(AllData[[#This Row],[Nitrate (PPM)]]&gt;0.5, "Some evidence", IF(AllData[[#This Row],[Nitrate (PPM)]]&gt;=0, "No evidence"))))</f>
        <v>Very high</v>
      </c>
      <c r="S436" s="4">
        <v>2.2599999999999998</v>
      </c>
      <c r="T436" s="7" t="str">
        <f>IF(AllData[[#This Row],[Phosphate (PPM)]]&gt;0.5, "Very high", IF(AllData[[#This Row],[Phosphate (PPM)]]&gt;0.1, "High", IF(AllData[[#This Row],[Phosphate (PPM)]]&gt;0.05, "Some evidence", IF(AllData[[#This Row],[Phosphate (PPM)]]&lt;=0.05, "No Evidence", ""))))</f>
        <v>Very high</v>
      </c>
      <c r="V436" t="s">
        <v>1445</v>
      </c>
    </row>
    <row r="437" spans="1:22" x14ac:dyDescent="0.25">
      <c r="A437" t="s">
        <v>674</v>
      </c>
      <c r="B437" s="2">
        <v>45339</v>
      </c>
      <c r="C437" s="2" t="str" cm="1">
        <f t="array" ref="C4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7">
        <v>2023</v>
      </c>
      <c r="E437" s="1">
        <v>0.47013888888888888</v>
      </c>
      <c r="F437" s="2" t="str">
        <f>IF(AND(AllData[[#This Row],[Time]]&lt;0.5, AllData[[#This Row],[Time]]&gt;0.17)=TRUE, "Morning", IF(AND(AllData[[#This Row],[Time]]&lt;0.75, AllData[[#This Row],[Time]]&gt;=0.5)=TRUE, "Afternoon", IF(AND(AllData[[#This Row],[Time]]&lt;1, AllData[[#This Row],[Time]]&gt;=0.75)=TRUE, "Evening", "Night")))</f>
        <v>Morning</v>
      </c>
      <c r="G437" t="str">
        <f>_xlfn.XLOOKUP(AllData[[#This Row],[Location Name]], Locations[Location Name],Locations[Group As])</f>
        <v>Stour Cherington Sewage Works</v>
      </c>
      <c r="H437" t="e" vm="2">
        <f>_xlfn.XLOOKUP(AllData[[#This Row],[Site Name]],LocationsKey[Site Name],LocationsKey[District])</f>
        <v>#VALUE!</v>
      </c>
      <c r="I437" t="str">
        <f>_xlfn.XLOOKUP(AllData[[#This Row],[Site Name]],LocationsKey[Site Name],LocationsKey[Town])</f>
        <v>Cherington</v>
      </c>
      <c r="J437" t="str">
        <f>_xlfn.XLOOKUP(AllData[[#This Row],[Site Name]],LocationsKey[Site Name], LocationsKey[Waterway])</f>
        <v>Stour</v>
      </c>
      <c r="K437" t="s">
        <v>675</v>
      </c>
      <c r="L437">
        <v>52.029713999999998</v>
      </c>
      <c r="M437">
        <v>-1.58226</v>
      </c>
      <c r="N437" t="s">
        <v>29</v>
      </c>
      <c r="O437">
        <v>574</v>
      </c>
      <c r="P437">
        <v>11.1</v>
      </c>
      <c r="Q437">
        <v>0.5</v>
      </c>
      <c r="R437" s="7" t="str">
        <f>IF(AllData[[#This Row],[Nitrate (PPM)]]&gt;2, "Very high", IF(AllData[[#This Row],[Nitrate (PPM)]]&gt;1, "High", IF(AllData[[#This Row],[Nitrate (PPM)]]&gt;0.5, "Some evidence", IF(AllData[[#This Row],[Nitrate (PPM)]]&gt;=0, "No evidence"))))</f>
        <v>No evidence</v>
      </c>
      <c r="S437" s="4">
        <v>0.33</v>
      </c>
      <c r="T437" s="7" t="str">
        <f>IF(AllData[[#This Row],[Phosphate (PPM)]]&gt;0.5, "Very high", IF(AllData[[#This Row],[Phosphate (PPM)]]&gt;0.1, "High", IF(AllData[[#This Row],[Phosphate (PPM)]]&gt;0.05, "Some evidence", IF(AllData[[#This Row],[Phosphate (PPM)]]&lt;=0.05, "No Evidence", ""))))</f>
        <v>High</v>
      </c>
      <c r="U437">
        <v>0.5</v>
      </c>
      <c r="V437" t="s">
        <v>676</v>
      </c>
    </row>
    <row r="438" spans="1:22" x14ac:dyDescent="0.25">
      <c r="A438" t="s">
        <v>677</v>
      </c>
      <c r="B438" s="2">
        <v>45339</v>
      </c>
      <c r="C438" s="2" t="str" cm="1">
        <f t="array" ref="C4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8">
        <v>2023</v>
      </c>
      <c r="E438" s="1">
        <v>0.54166666666666663</v>
      </c>
      <c r="F438" s="2" t="str">
        <f>IF(AND(AllData[[#This Row],[Time]]&lt;0.5, AllData[[#This Row],[Time]]&gt;0.17)=TRUE, "Morning", IF(AND(AllData[[#This Row],[Time]]&lt;0.75, AllData[[#This Row],[Time]]&gt;=0.5)=TRUE, "Afternoon", IF(AND(AllData[[#This Row],[Time]]&lt;1, AllData[[#This Row],[Time]]&gt;=0.75)=TRUE, "Evening", "Night")))</f>
        <v>Afternoon</v>
      </c>
      <c r="G438" t="str">
        <f>_xlfn.XLOOKUP(AllData[[#This Row],[Location Name]], Locations[Location Name],Locations[Group As])</f>
        <v>Clifford Chambers Mill Bridge</v>
      </c>
      <c r="H438" t="e" vm="2">
        <f>_xlfn.XLOOKUP(AllData[[#This Row],[Site Name]],LocationsKey[Site Name],LocationsKey[District])</f>
        <v>#VALUE!</v>
      </c>
      <c r="I438" t="e" vm="12">
        <f>_xlfn.XLOOKUP(AllData[[#This Row],[Site Name]],LocationsKey[Site Name],LocationsKey[Town])</f>
        <v>#VALUE!</v>
      </c>
      <c r="J438" t="str">
        <f>_xlfn.XLOOKUP(AllData[[#This Row],[Site Name]],LocationsKey[Site Name], LocationsKey[Waterway])</f>
        <v>Stour</v>
      </c>
      <c r="K438" t="s">
        <v>263</v>
      </c>
      <c r="L438">
        <v>52.166370000000001</v>
      </c>
      <c r="M438">
        <v>-1.708032</v>
      </c>
      <c r="N438" t="s">
        <v>66</v>
      </c>
      <c r="O438" s="219">
        <v>551</v>
      </c>
      <c r="P438">
        <v>14.9</v>
      </c>
      <c r="Q438" s="219">
        <v>5</v>
      </c>
      <c r="R438" s="7" t="str">
        <f>IF(AllData[[#This Row],[Nitrate (PPM)]]&gt;2, "Very high", IF(AllData[[#This Row],[Nitrate (PPM)]]&gt;1, "High", IF(AllData[[#This Row],[Nitrate (PPM)]]&gt;0.5, "Some evidence", IF(AllData[[#This Row],[Nitrate (PPM)]]&gt;=0, "No evidence"))))</f>
        <v>Very high</v>
      </c>
      <c r="S438" s="221">
        <v>0.33</v>
      </c>
      <c r="T438" s="7" t="str">
        <f>IF(AllData[[#This Row],[Phosphate (PPM)]]&gt;0.5, "Very high", IF(AllData[[#This Row],[Phosphate (PPM)]]&gt;0.1, "High", IF(AllData[[#This Row],[Phosphate (PPM)]]&gt;0.05, "Some evidence", IF(AllData[[#This Row],[Phosphate (PPM)]]&lt;=0.05, "No Evidence", ""))))</f>
        <v>High</v>
      </c>
      <c r="U438">
        <v>1.3</v>
      </c>
    </row>
    <row r="439" spans="1:22" x14ac:dyDescent="0.25">
      <c r="A439" t="s">
        <v>678</v>
      </c>
      <c r="B439" s="2">
        <v>45339</v>
      </c>
      <c r="C439" s="2" t="str" cm="1">
        <f t="array" ref="C4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9">
        <v>2023</v>
      </c>
      <c r="E439" s="1">
        <v>0.65555555555555556</v>
      </c>
      <c r="F439" s="2" t="str">
        <f>IF(AND(AllData[[#This Row],[Time]]&lt;0.5, AllData[[#This Row],[Time]]&gt;0.17)=TRUE, "Morning", IF(AND(AllData[[#This Row],[Time]]&lt;0.75, AllData[[#This Row],[Time]]&gt;=0.5)=TRUE, "Afternoon", IF(AND(AllData[[#This Row],[Time]]&lt;1, AllData[[#This Row],[Time]]&gt;=0.75)=TRUE, "Evening", "Night")))</f>
        <v>Afternoon</v>
      </c>
      <c r="G439" t="str">
        <f>_xlfn.XLOOKUP(AllData[[#This Row],[Location Name]], Locations[Location Name],Locations[Group As])</f>
        <v>Black Bear</v>
      </c>
      <c r="H439" t="e" vm="1">
        <f>_xlfn.XLOOKUP(AllData[[#This Row],[Site Name]],LocationsKey[Site Name],LocationsKey[District])</f>
        <v>#VALUE!</v>
      </c>
      <c r="I439" t="e" vm="1">
        <f>_xlfn.XLOOKUP(AllData[[#This Row],[Site Name]],LocationsKey[Site Name],LocationsKey[Town])</f>
        <v>#VALUE!</v>
      </c>
      <c r="J439" t="str">
        <f>_xlfn.XLOOKUP(AllData[[#This Row],[Site Name]],LocationsKey[Site Name], LocationsKey[Waterway])</f>
        <v>Avon</v>
      </c>
      <c r="K439" t="s">
        <v>567</v>
      </c>
      <c r="L439">
        <v>51.997287999999998</v>
      </c>
      <c r="M439">
        <v>-2.156129</v>
      </c>
      <c r="N439" t="s">
        <v>23</v>
      </c>
      <c r="O439">
        <v>504</v>
      </c>
      <c r="P439">
        <v>12.7</v>
      </c>
      <c r="Q439">
        <v>5</v>
      </c>
      <c r="R439" s="7" t="str">
        <f>IF(AllData[[#This Row],[Nitrate (PPM)]]&gt;2, "Very high", IF(AllData[[#This Row],[Nitrate (PPM)]]&gt;1, "High", IF(AllData[[#This Row],[Nitrate (PPM)]]&gt;0.5, "Some evidence", IF(AllData[[#This Row],[Nitrate (PPM)]]&gt;=0, "No evidence"))))</f>
        <v>Very high</v>
      </c>
      <c r="S439" s="4">
        <v>0.89</v>
      </c>
      <c r="T439" s="7" t="str">
        <f>IF(AllData[[#This Row],[Phosphate (PPM)]]&gt;0.5, "Very high", IF(AllData[[#This Row],[Phosphate (PPM)]]&gt;0.1, "High", IF(AllData[[#This Row],[Phosphate (PPM)]]&gt;0.05, "Some evidence", IF(AllData[[#This Row],[Phosphate (PPM)]]&lt;=0.05, "No Evidence", ""))))</f>
        <v>Very high</v>
      </c>
      <c r="U439">
        <v>2.5</v>
      </c>
      <c r="V439" t="s">
        <v>270</v>
      </c>
    </row>
    <row r="440" spans="1:22" x14ac:dyDescent="0.25">
      <c r="A440" t="s">
        <v>679</v>
      </c>
      <c r="B440" s="2">
        <v>45339</v>
      </c>
      <c r="C440" s="2" t="str" cm="1">
        <f t="array" ref="C4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0">
        <v>2023</v>
      </c>
      <c r="E440" s="1">
        <v>0.70138888888888884</v>
      </c>
      <c r="F440" s="2" t="str">
        <f>IF(AND(AllData[[#This Row],[Time]]&lt;0.5, AllData[[#This Row],[Time]]&gt;0.17)=TRUE, "Morning", IF(AND(AllData[[#This Row],[Time]]&lt;0.75, AllData[[#This Row],[Time]]&gt;=0.5)=TRUE, "Afternoon", IF(AND(AllData[[#This Row],[Time]]&lt;1, AllData[[#This Row],[Time]]&gt;=0.75)=TRUE, "Evening", "Night")))</f>
        <v>Afternoon</v>
      </c>
      <c r="G440" t="str">
        <f>_xlfn.XLOOKUP(AllData[[#This Row],[Location Name]], Locations[Location Name],Locations[Group As])</f>
        <v>Pershore Leisure Centre</v>
      </c>
      <c r="H440" t="e" vm="17">
        <f>_xlfn.XLOOKUP(AllData[[#This Row],[Site Name]],LocationsKey[Site Name],LocationsKey[District])</f>
        <v>#VALUE!</v>
      </c>
      <c r="I440" t="e" vm="18">
        <f>_xlfn.XLOOKUP(AllData[[#This Row],[Site Name]],LocationsKey[Site Name],LocationsKey[Town])</f>
        <v>#VALUE!</v>
      </c>
      <c r="J440" t="str">
        <f>_xlfn.XLOOKUP(AllData[[#This Row],[Site Name]],LocationsKey[Site Name], LocationsKey[Waterway])</f>
        <v>Avon</v>
      </c>
      <c r="K440" t="s">
        <v>583</v>
      </c>
      <c r="L440">
        <v>52.112295000000003</v>
      </c>
      <c r="M440">
        <v>-2.072295</v>
      </c>
      <c r="O440">
        <v>634</v>
      </c>
      <c r="P440">
        <v>12.5</v>
      </c>
      <c r="Q440">
        <v>5</v>
      </c>
      <c r="R440" s="7" t="str">
        <f>IF(AllData[[#This Row],[Nitrate (PPM)]]&gt;2, "Very high", IF(AllData[[#This Row],[Nitrate (PPM)]]&gt;1, "High", IF(AllData[[#This Row],[Nitrate (PPM)]]&gt;0.5, "Some evidence", IF(AllData[[#This Row],[Nitrate (PPM)]]&gt;=0, "No evidence"))))</f>
        <v>Very high</v>
      </c>
      <c r="S440" s="4">
        <v>0.5</v>
      </c>
      <c r="T440" s="7" t="str">
        <f>IF(AllData[[#This Row],[Phosphate (PPM)]]&gt;0.5, "Very high", IF(AllData[[#This Row],[Phosphate (PPM)]]&gt;0.1, "High", IF(AllData[[#This Row],[Phosphate (PPM)]]&gt;0.05, "Some evidence", IF(AllData[[#This Row],[Phosphate (PPM)]]&lt;=0.05, "No Evidence", ""))))</f>
        <v>High</v>
      </c>
      <c r="U440">
        <v>3.48</v>
      </c>
      <c r="V440" t="s">
        <v>680</v>
      </c>
    </row>
    <row r="441" spans="1:22" x14ac:dyDescent="0.25">
      <c r="A441" t="s">
        <v>681</v>
      </c>
      <c r="B441" s="2">
        <v>45339</v>
      </c>
      <c r="C441" s="2" t="str" cm="1">
        <f t="array" ref="C4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1">
        <v>2023</v>
      </c>
      <c r="E441" s="1">
        <v>0.71458333333333335</v>
      </c>
      <c r="F441" s="2" t="str">
        <f>IF(AND(AllData[[#This Row],[Time]]&lt;0.5, AllData[[#This Row],[Time]]&gt;0.17)=TRUE, "Morning", IF(AND(AllData[[#This Row],[Time]]&lt;0.75, AllData[[#This Row],[Time]]&gt;=0.5)=TRUE, "Afternoon", IF(AND(AllData[[#This Row],[Time]]&lt;1, AllData[[#This Row],[Time]]&gt;=0.75)=TRUE, "Evening", "Night")))</f>
        <v>Afternoon</v>
      </c>
      <c r="G441" t="str">
        <f>_xlfn.XLOOKUP(AllData[[#This Row],[Location Name]], Locations[Location Name],Locations[Group As])</f>
        <v>Pershore Bridges</v>
      </c>
      <c r="H441" t="e" vm="17">
        <f>_xlfn.XLOOKUP(AllData[[#This Row],[Site Name]],LocationsKey[Site Name],LocationsKey[District])</f>
        <v>#VALUE!</v>
      </c>
      <c r="I441" t="e" vm="18">
        <f>_xlfn.XLOOKUP(AllData[[#This Row],[Site Name]],LocationsKey[Site Name],LocationsKey[Town])</f>
        <v>#VALUE!</v>
      </c>
      <c r="J441" t="str">
        <f>_xlfn.XLOOKUP(AllData[[#This Row],[Site Name]],LocationsKey[Site Name], LocationsKey[Waterway])</f>
        <v>Avon</v>
      </c>
      <c r="K441" t="s">
        <v>581</v>
      </c>
      <c r="L441">
        <v>52.104179999999999</v>
      </c>
      <c r="M441">
        <v>-2.0709089999999999</v>
      </c>
      <c r="O441">
        <v>533</v>
      </c>
      <c r="P441">
        <v>12.5</v>
      </c>
      <c r="Q441">
        <v>5</v>
      </c>
      <c r="R441" s="7" t="str">
        <f>IF(AllData[[#This Row],[Nitrate (PPM)]]&gt;2, "Very high", IF(AllData[[#This Row],[Nitrate (PPM)]]&gt;1, "High", IF(AllData[[#This Row],[Nitrate (PPM)]]&gt;0.5, "Some evidence", IF(AllData[[#This Row],[Nitrate (PPM)]]&gt;=0, "No evidence"))))</f>
        <v>Very high</v>
      </c>
      <c r="S441" s="4">
        <v>0.48</v>
      </c>
      <c r="T441" s="7" t="str">
        <f>IF(AllData[[#This Row],[Phosphate (PPM)]]&gt;0.5, "Very high", IF(AllData[[#This Row],[Phosphate (PPM)]]&gt;0.1, "High", IF(AllData[[#This Row],[Phosphate (PPM)]]&gt;0.05, "Some evidence", IF(AllData[[#This Row],[Phosphate (PPM)]]&lt;=0.05, "No Evidence", ""))))</f>
        <v>High</v>
      </c>
      <c r="U441">
        <v>3.48</v>
      </c>
      <c r="V441" t="s">
        <v>682</v>
      </c>
    </row>
    <row r="442" spans="1:22" x14ac:dyDescent="0.25">
      <c r="A442" t="s">
        <v>683</v>
      </c>
      <c r="B442" s="2">
        <v>45340</v>
      </c>
      <c r="C442" s="2" t="str" cm="1">
        <f t="array" ref="C4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2">
        <v>2023</v>
      </c>
      <c r="E442" s="1">
        <v>0.47916666666666669</v>
      </c>
      <c r="F442" s="2" t="str">
        <f>IF(AND(AllData[[#This Row],[Time]]&lt;0.5, AllData[[#This Row],[Time]]&gt;0.17)=TRUE, "Morning", IF(AND(AllData[[#This Row],[Time]]&lt;0.75, AllData[[#This Row],[Time]]&gt;=0.5)=TRUE, "Afternoon", IF(AND(AllData[[#This Row],[Time]]&lt;1, AllData[[#This Row],[Time]]&gt;=0.75)=TRUE, "Evening", "Night")))</f>
        <v>Morning</v>
      </c>
      <c r="G442" t="str">
        <f>_xlfn.XLOOKUP(AllData[[#This Row],[Location Name]], Locations[Location Name],Locations[Group As])</f>
        <v>Carrant Bredon Rd</v>
      </c>
      <c r="H442" t="e" vm="1">
        <f>_xlfn.XLOOKUP(AllData[[#This Row],[Site Name]],LocationsKey[Site Name],LocationsKey[District])</f>
        <v>#VALUE!</v>
      </c>
      <c r="I442" t="e" vm="1">
        <f>_xlfn.XLOOKUP(AllData[[#This Row],[Site Name]],LocationsKey[Site Name],LocationsKey[Town])</f>
        <v>#VALUE!</v>
      </c>
      <c r="J442" t="str">
        <f>_xlfn.XLOOKUP(AllData[[#This Row],[Site Name]],LocationsKey[Site Name], LocationsKey[Waterway])</f>
        <v>Carrant</v>
      </c>
      <c r="K442" t="s">
        <v>600</v>
      </c>
      <c r="L442">
        <v>51.996437999999998</v>
      </c>
      <c r="M442">
        <v>-2.1560069999999998</v>
      </c>
      <c r="N442" t="s">
        <v>23</v>
      </c>
      <c r="O442">
        <v>519</v>
      </c>
      <c r="P442">
        <v>13.4</v>
      </c>
      <c r="Q442">
        <v>4</v>
      </c>
      <c r="R442" s="7" t="str">
        <f>IF(AllData[[#This Row],[Nitrate (PPM)]]&gt;2, "Very high", IF(AllData[[#This Row],[Nitrate (PPM)]]&gt;1, "High", IF(AllData[[#This Row],[Nitrate (PPM)]]&gt;0.5, "Some evidence", IF(AllData[[#This Row],[Nitrate (PPM)]]&gt;=0, "No evidence"))))</f>
        <v>Very high</v>
      </c>
      <c r="S442" s="4">
        <v>0.37</v>
      </c>
      <c r="T442" s="7" t="str">
        <f>IF(AllData[[#This Row],[Phosphate (PPM)]]&gt;0.5, "Very high", IF(AllData[[#This Row],[Phosphate (PPM)]]&gt;0.1, "High", IF(AllData[[#This Row],[Phosphate (PPM)]]&gt;0.05, "Some evidence", IF(AllData[[#This Row],[Phosphate (PPM)]]&lt;=0.05, "No Evidence", ""))))</f>
        <v>High</v>
      </c>
      <c r="U442">
        <v>1.42</v>
      </c>
      <c r="V442" t="s">
        <v>684</v>
      </c>
    </row>
    <row r="443" spans="1:22" x14ac:dyDescent="0.25">
      <c r="A443" t="s">
        <v>685</v>
      </c>
      <c r="B443" s="2">
        <v>45340</v>
      </c>
      <c r="C443" s="2" t="str" cm="1">
        <f t="array" ref="C4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3">
        <v>2023</v>
      </c>
      <c r="E443" s="1">
        <v>0.54861111111111116</v>
      </c>
      <c r="F443" s="2" t="str">
        <f>IF(AND(AllData[[#This Row],[Time]]&lt;0.5, AllData[[#This Row],[Time]]&gt;0.17)=TRUE, "Morning", IF(AND(AllData[[#This Row],[Time]]&lt;0.75, AllData[[#This Row],[Time]]&gt;=0.5)=TRUE, "Afternoon", IF(AND(AllData[[#This Row],[Time]]&lt;1, AllData[[#This Row],[Time]]&gt;=0.75)=TRUE, "Evening", "Night")))</f>
        <v>Afternoon</v>
      </c>
      <c r="G443" t="str">
        <f>_xlfn.XLOOKUP(AllData[[#This Row],[Location Name]], Locations[Location Name],Locations[Group As])</f>
        <v>The Ford, Langley</v>
      </c>
      <c r="H443" t="e" vm="2">
        <f>_xlfn.XLOOKUP(AllData[[#This Row],[Site Name]],LocationsKey[Site Name],LocationsKey[District])</f>
        <v>#VALUE!</v>
      </c>
      <c r="I443" t="str">
        <f>_xlfn.XLOOKUP(AllData[[#This Row],[Site Name]],LocationsKey[Site Name],LocationsKey[Town])</f>
        <v>Langley</v>
      </c>
      <c r="J443" t="str">
        <f>_xlfn.XLOOKUP(AllData[[#This Row],[Site Name]],LocationsKey[Site Name], LocationsKey[Waterway])</f>
        <v>Langley Ford</v>
      </c>
      <c r="K443" t="s">
        <v>557</v>
      </c>
      <c r="L443">
        <v>52.269078999999998</v>
      </c>
      <c r="M443">
        <v>-1.7232719999999999</v>
      </c>
      <c r="N443" t="s">
        <v>29</v>
      </c>
      <c r="O443" s="219">
        <v>199</v>
      </c>
      <c r="P443">
        <v>12.3</v>
      </c>
      <c r="Q443" s="219">
        <v>2</v>
      </c>
      <c r="R443" s="7" t="str">
        <f>IF(AllData[[#This Row],[Nitrate (PPM)]]&gt;2, "Very high", IF(AllData[[#This Row],[Nitrate (PPM)]]&gt;1, "High", IF(AllData[[#This Row],[Nitrate (PPM)]]&gt;0.5, "Some evidence", IF(AllData[[#This Row],[Nitrate (PPM)]]&gt;=0, "No evidence"))))</f>
        <v>High</v>
      </c>
      <c r="S443" s="221">
        <v>1.06</v>
      </c>
      <c r="T443" s="7" t="str">
        <f>IF(AllData[[#This Row],[Phosphate (PPM)]]&gt;0.5, "Very high", IF(AllData[[#This Row],[Phosphate (PPM)]]&gt;0.1, "High", IF(AllData[[#This Row],[Phosphate (PPM)]]&gt;0.05, "Some evidence", IF(AllData[[#This Row],[Phosphate (PPM)]]&lt;=0.05, "No Evidence", ""))))</f>
        <v>Very high</v>
      </c>
      <c r="U443">
        <v>0.91400000000000003</v>
      </c>
      <c r="V443" t="s">
        <v>686</v>
      </c>
    </row>
    <row r="444" spans="1:22" x14ac:dyDescent="0.25">
      <c r="A444" t="s">
        <v>687</v>
      </c>
      <c r="B444" s="2">
        <v>45340</v>
      </c>
      <c r="C444" s="2" t="str" cm="1">
        <f t="array" ref="C4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4">
        <v>2023</v>
      </c>
      <c r="E444" s="1">
        <v>0.65972222222222221</v>
      </c>
      <c r="F444" s="2" t="str">
        <f>IF(AND(AllData[[#This Row],[Time]]&lt;0.5, AllData[[#This Row],[Time]]&gt;0.17)=TRUE, "Morning", IF(AND(AllData[[#This Row],[Time]]&lt;0.75, AllData[[#This Row],[Time]]&gt;=0.5)=TRUE, "Afternoon", IF(AND(AllData[[#This Row],[Time]]&lt;1, AllData[[#This Row],[Time]]&gt;=0.75)=TRUE, "Evening", "Night")))</f>
        <v>Afternoon</v>
      </c>
      <c r="G444" t="str">
        <f>_xlfn.XLOOKUP(AllData[[#This Row],[Location Name]], Locations[Location Name],Locations[Group As])</f>
        <v>Fell Mill Footbridge</v>
      </c>
      <c r="H444" t="e" vm="2">
        <f>_xlfn.XLOOKUP(AllData[[#This Row],[Site Name]],LocationsKey[Site Name],LocationsKey[District])</f>
        <v>#VALUE!</v>
      </c>
      <c r="I444" t="e" vm="10">
        <f>_xlfn.XLOOKUP(AllData[[#This Row],[Site Name]],LocationsKey[Site Name],LocationsKey[Town])</f>
        <v>#VALUE!</v>
      </c>
      <c r="J444" t="str">
        <f>_xlfn.XLOOKUP(AllData[[#This Row],[Site Name]],LocationsKey[Site Name], LocationsKey[Waterway])</f>
        <v>Stour</v>
      </c>
      <c r="K444" t="s">
        <v>496</v>
      </c>
      <c r="L444">
        <v>52.070131000000003</v>
      </c>
      <c r="M444">
        <v>-1.6114869999999999</v>
      </c>
      <c r="N444" t="s">
        <v>29</v>
      </c>
      <c r="O444">
        <v>272</v>
      </c>
      <c r="P444">
        <v>12</v>
      </c>
      <c r="Q444">
        <v>2</v>
      </c>
      <c r="R444" s="7" t="str">
        <f>IF(AllData[[#This Row],[Nitrate (PPM)]]&gt;2, "Very high", IF(AllData[[#This Row],[Nitrate (PPM)]]&gt;1, "High", IF(AllData[[#This Row],[Nitrate (PPM)]]&gt;0.5, "Some evidence", IF(AllData[[#This Row],[Nitrate (PPM)]]&gt;=0, "No evidence"))))</f>
        <v>High</v>
      </c>
      <c r="S444" s="4">
        <v>0.11</v>
      </c>
      <c r="T444" s="7" t="str">
        <f>IF(AllData[[#This Row],[Phosphate (PPM)]]&gt;0.5, "Very high", IF(AllData[[#This Row],[Phosphate (PPM)]]&gt;0.1, "High", IF(AllData[[#This Row],[Phosphate (PPM)]]&gt;0.05, "Some evidence", IF(AllData[[#This Row],[Phosphate (PPM)]]&lt;=0.05, "No Evidence", ""))))</f>
        <v>High</v>
      </c>
      <c r="U444">
        <v>3</v>
      </c>
    </row>
    <row r="445" spans="1:22" x14ac:dyDescent="0.25">
      <c r="A445" t="s">
        <v>688</v>
      </c>
      <c r="B445" s="2">
        <v>45340</v>
      </c>
      <c r="C445" s="2" t="str" cm="1">
        <f t="array" ref="C4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5">
        <v>2023</v>
      </c>
      <c r="E445" s="1">
        <v>0.73958333333333337</v>
      </c>
      <c r="F445" s="2" t="str">
        <f>IF(AND(AllData[[#This Row],[Time]]&lt;0.5, AllData[[#This Row],[Time]]&gt;0.17)=TRUE, "Morning", IF(AND(AllData[[#This Row],[Time]]&lt;0.75, AllData[[#This Row],[Time]]&gt;=0.5)=TRUE, "Afternoon", IF(AND(AllData[[#This Row],[Time]]&lt;1, AllData[[#This Row],[Time]]&gt;=0.75)=TRUE, "Evening", "Night")))</f>
        <v>Afternoon</v>
      </c>
      <c r="G445" t="str">
        <f>_xlfn.XLOOKUP(AllData[[#This Row],[Location Name]], Locations[Location Name],Locations[Group As])</f>
        <v>Stour Shipston Mill Bridge</v>
      </c>
      <c r="H445" t="e" vm="2">
        <f>_xlfn.XLOOKUP(AllData[[#This Row],[Site Name]],LocationsKey[Site Name],LocationsKey[District])</f>
        <v>#VALUE!</v>
      </c>
      <c r="I445" t="e" vm="10">
        <f>_xlfn.XLOOKUP(AllData[[#This Row],[Site Name]],LocationsKey[Site Name],LocationsKey[Town])</f>
        <v>#VALUE!</v>
      </c>
      <c r="J445" t="str">
        <f>_xlfn.XLOOKUP(AllData[[#This Row],[Site Name]],LocationsKey[Site Name], LocationsKey[Waterway])</f>
        <v>Stour</v>
      </c>
      <c r="K445" t="s">
        <v>432</v>
      </c>
      <c r="L445">
        <v>52.061956000000002</v>
      </c>
      <c r="M445">
        <v>-1.621896</v>
      </c>
      <c r="N445" t="s">
        <v>23</v>
      </c>
      <c r="O445">
        <v>384</v>
      </c>
      <c r="P445">
        <v>9.1999999999999993</v>
      </c>
      <c r="Q445">
        <v>4</v>
      </c>
      <c r="R445" s="7" t="str">
        <f>IF(AllData[[#This Row],[Nitrate (PPM)]]&gt;2, "Very high", IF(AllData[[#This Row],[Nitrate (PPM)]]&gt;1, "High", IF(AllData[[#This Row],[Nitrate (PPM)]]&gt;0.5, "Some evidence", IF(AllData[[#This Row],[Nitrate (PPM)]]&gt;=0, "No evidence"))))</f>
        <v>Very high</v>
      </c>
      <c r="S445" s="4">
        <v>0.18</v>
      </c>
      <c r="T445" s="7" t="str">
        <f>IF(AllData[[#This Row],[Phosphate (PPM)]]&gt;0.5, "Very high", IF(AllData[[#This Row],[Phosphate (PPM)]]&gt;0.1, "High", IF(AllData[[#This Row],[Phosphate (PPM)]]&gt;0.05, "Some evidence", IF(AllData[[#This Row],[Phosphate (PPM)]]&lt;=0.05, "No Evidence", ""))))</f>
        <v>High</v>
      </c>
      <c r="U445">
        <v>2.5</v>
      </c>
    </row>
    <row r="446" spans="1:22" x14ac:dyDescent="0.25">
      <c r="A446" t="s">
        <v>689</v>
      </c>
      <c r="B446" s="2">
        <v>45341</v>
      </c>
      <c r="C446" s="2" t="str" cm="1">
        <f t="array" ref="C4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6">
        <v>2023</v>
      </c>
      <c r="E446" s="1">
        <v>0.37430555555555556</v>
      </c>
      <c r="F446" s="2" t="str">
        <f>IF(AND(AllData[[#This Row],[Time]]&lt;0.5, AllData[[#This Row],[Time]]&gt;0.17)=TRUE, "Morning", IF(AND(AllData[[#This Row],[Time]]&lt;0.75, AllData[[#This Row],[Time]]&gt;=0.5)=TRUE, "Afternoon", IF(AND(AllData[[#This Row],[Time]]&lt;1, AllData[[#This Row],[Time]]&gt;=0.75)=TRUE, "Evening", "Night")))</f>
        <v>Morning</v>
      </c>
      <c r="G446" t="str">
        <f>_xlfn.XLOOKUP(AllData[[#This Row],[Location Name]], Locations[Location Name],Locations[Group As])</f>
        <v>Stour Stretton-on-Fosse Village</v>
      </c>
      <c r="H446" t="e" vm="2">
        <f>_xlfn.XLOOKUP(AllData[[#This Row],[Site Name]],LocationsKey[Site Name],LocationsKey[District])</f>
        <v>#VALUE!</v>
      </c>
      <c r="I446" t="e" vm="14">
        <f>_xlfn.XLOOKUP(AllData[[#This Row],[Site Name]],LocationsKey[Site Name],LocationsKey[Town])</f>
        <v>#VALUE!</v>
      </c>
      <c r="J446" t="str">
        <f>_xlfn.XLOOKUP(AllData[[#This Row],[Site Name]],LocationsKey[Site Name], LocationsKey[Waterway])</f>
        <v>Stour</v>
      </c>
      <c r="K446" t="s">
        <v>544</v>
      </c>
      <c r="L446">
        <v>52.046523000000001</v>
      </c>
      <c r="M446">
        <v>-1.6734359999999999</v>
      </c>
      <c r="N446" t="s">
        <v>66</v>
      </c>
      <c r="O446">
        <v>483</v>
      </c>
      <c r="P446">
        <v>10</v>
      </c>
      <c r="Q446">
        <v>2</v>
      </c>
      <c r="R446" s="7" t="str">
        <f>IF(AllData[[#This Row],[Nitrate (PPM)]]&gt;2, "Very high", IF(AllData[[#This Row],[Nitrate (PPM)]]&gt;1, "High", IF(AllData[[#This Row],[Nitrate (PPM)]]&gt;0.5, "Some evidence", IF(AllData[[#This Row],[Nitrate (PPM)]]&gt;=0, "No evidence"))))</f>
        <v>High</v>
      </c>
      <c r="S446" s="4">
        <v>0.73</v>
      </c>
      <c r="T446" s="7" t="str">
        <f>IF(AllData[[#This Row],[Phosphate (PPM)]]&gt;0.5, "Very high", IF(AllData[[#This Row],[Phosphate (PPM)]]&gt;0.1, "High", IF(AllData[[#This Row],[Phosphate (PPM)]]&gt;0.05, "Some evidence", IF(AllData[[#This Row],[Phosphate (PPM)]]&lt;=0.05, "No Evidence", ""))))</f>
        <v>Very high</v>
      </c>
      <c r="U446">
        <v>0.25</v>
      </c>
    </row>
    <row r="447" spans="1:22" x14ac:dyDescent="0.25">
      <c r="A447" t="s">
        <v>690</v>
      </c>
      <c r="B447" s="2">
        <v>45341</v>
      </c>
      <c r="C447" s="2" t="str" cm="1">
        <f t="array" ref="C4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7">
        <v>2023</v>
      </c>
      <c r="E447" s="1">
        <v>0.38750000000000001</v>
      </c>
      <c r="F447" s="2" t="str">
        <f>IF(AND(AllData[[#This Row],[Time]]&lt;0.5, AllData[[#This Row],[Time]]&gt;0.17)=TRUE, "Morning", IF(AND(AllData[[#This Row],[Time]]&lt;0.75, AllData[[#This Row],[Time]]&gt;=0.5)=TRUE, "Afternoon", IF(AND(AllData[[#This Row],[Time]]&lt;1, AllData[[#This Row],[Time]]&gt;=0.75)=TRUE, "Evening", "Night")))</f>
        <v>Morning</v>
      </c>
      <c r="G447" t="str">
        <f>_xlfn.XLOOKUP(AllData[[#This Row],[Location Name]], Locations[Location Name],Locations[Group As])</f>
        <v>Stour Stretton-on-Fosse Sewage Works</v>
      </c>
      <c r="H447" t="e" vm="2">
        <f>_xlfn.XLOOKUP(AllData[[#This Row],[Site Name]],LocationsKey[Site Name],LocationsKey[District])</f>
        <v>#VALUE!</v>
      </c>
      <c r="I447" t="e" vm="14">
        <f>_xlfn.XLOOKUP(AllData[[#This Row],[Site Name]],LocationsKey[Site Name],LocationsKey[Town])</f>
        <v>#VALUE!</v>
      </c>
      <c r="J447" t="str">
        <f>_xlfn.XLOOKUP(AllData[[#This Row],[Site Name]],LocationsKey[Site Name], LocationsKey[Waterway])</f>
        <v>Stour</v>
      </c>
      <c r="K447" t="s">
        <v>335</v>
      </c>
      <c r="L447">
        <v>52.045682999999997</v>
      </c>
      <c r="M447">
        <v>-1.6719710000000001</v>
      </c>
      <c r="N447" t="s">
        <v>29</v>
      </c>
      <c r="O447">
        <v>513</v>
      </c>
      <c r="P447">
        <v>9.1999999999999993</v>
      </c>
      <c r="Q447">
        <v>2</v>
      </c>
      <c r="R447" s="7" t="str">
        <f>IF(AllData[[#This Row],[Nitrate (PPM)]]&gt;2, "Very high", IF(AllData[[#This Row],[Nitrate (PPM)]]&gt;1, "High", IF(AllData[[#This Row],[Nitrate (PPM)]]&gt;0.5, "Some evidence", IF(AllData[[#This Row],[Nitrate (PPM)]]&gt;=0, "No evidence"))))</f>
        <v>High</v>
      </c>
      <c r="S447" s="4">
        <v>0.85</v>
      </c>
      <c r="T447" s="7" t="str">
        <f>IF(AllData[[#This Row],[Phosphate (PPM)]]&gt;0.5, "Very high", IF(AllData[[#This Row],[Phosphate (PPM)]]&gt;0.1, "High", IF(AllData[[#This Row],[Phosphate (PPM)]]&gt;0.05, "Some evidence", IF(AllData[[#This Row],[Phosphate (PPM)]]&lt;=0.05, "No Evidence", ""))))</f>
        <v>Very high</v>
      </c>
      <c r="U447">
        <v>0.3</v>
      </c>
    </row>
    <row r="448" spans="1:22" x14ac:dyDescent="0.25">
      <c r="A448" t="s">
        <v>691</v>
      </c>
      <c r="B448" s="2">
        <v>45341</v>
      </c>
      <c r="C448" s="2" t="str" cm="1">
        <f t="array" ref="C4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8">
        <v>2023</v>
      </c>
      <c r="E448" s="1">
        <v>0.6694444444444444</v>
      </c>
      <c r="F448" s="2" t="str">
        <f>IF(AND(AllData[[#This Row],[Time]]&lt;0.5, AllData[[#This Row],[Time]]&gt;0.17)=TRUE, "Morning", IF(AND(AllData[[#This Row],[Time]]&lt;0.75, AllData[[#This Row],[Time]]&gt;=0.5)=TRUE, "Afternoon", IF(AND(AllData[[#This Row],[Time]]&lt;1, AllData[[#This Row],[Time]]&gt;=0.75)=TRUE, "Evening", "Night")))</f>
        <v>Afternoon</v>
      </c>
      <c r="G448" t="str">
        <f>_xlfn.XLOOKUP(AllData[[#This Row],[Location Name]], Locations[Location Name],Locations[Group As])</f>
        <v>Abbey Mill</v>
      </c>
      <c r="H448" t="e" vm="1">
        <f>_xlfn.XLOOKUP(AllData[[#This Row],[Site Name]],LocationsKey[Site Name],LocationsKey[District])</f>
        <v>#VALUE!</v>
      </c>
      <c r="I448" t="e" vm="1">
        <f>_xlfn.XLOOKUP(AllData[[#This Row],[Site Name]],LocationsKey[Site Name],LocationsKey[Town])</f>
        <v>#VALUE!</v>
      </c>
      <c r="J448" t="str">
        <f>_xlfn.XLOOKUP(AllData[[#This Row],[Site Name]],LocationsKey[Site Name], LocationsKey[Waterway])</f>
        <v>Avon</v>
      </c>
      <c r="K448" t="s">
        <v>25</v>
      </c>
      <c r="L448">
        <v>51.990988000000002</v>
      </c>
      <c r="M448">
        <v>-2.162048</v>
      </c>
      <c r="N448" t="s">
        <v>23</v>
      </c>
      <c r="O448">
        <v>469</v>
      </c>
      <c r="P448">
        <v>11.6</v>
      </c>
      <c r="Q448">
        <v>4</v>
      </c>
      <c r="R448" s="7" t="str">
        <f>IF(AllData[[#This Row],[Nitrate (PPM)]]&gt;2, "Very high", IF(AllData[[#This Row],[Nitrate (PPM)]]&gt;1, "High", IF(AllData[[#This Row],[Nitrate (PPM)]]&gt;0.5, "Some evidence", IF(AllData[[#This Row],[Nitrate (PPM)]]&gt;=0, "No evidence"))))</f>
        <v>Very high</v>
      </c>
      <c r="S448" s="4">
        <v>0.6</v>
      </c>
      <c r="T448" s="7" t="str">
        <f>IF(AllData[[#This Row],[Phosphate (PPM)]]&gt;0.5, "Very high", IF(AllData[[#This Row],[Phosphate (PPM)]]&gt;0.1, "High", IF(AllData[[#This Row],[Phosphate (PPM)]]&gt;0.05, "Some evidence", IF(AllData[[#This Row],[Phosphate (PPM)]]&lt;=0.05, "No Evidence", ""))))</f>
        <v>Very high</v>
      </c>
      <c r="U448">
        <v>2.2999999999999998</v>
      </c>
      <c r="V448" t="s">
        <v>692</v>
      </c>
    </row>
    <row r="449" spans="1:22" x14ac:dyDescent="0.25">
      <c r="A449" t="s">
        <v>693</v>
      </c>
      <c r="B449" s="2">
        <v>45343</v>
      </c>
      <c r="C449" s="2" t="str" cm="1">
        <f t="array" ref="C4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9">
        <v>2023</v>
      </c>
      <c r="E449" s="1">
        <v>0.625</v>
      </c>
      <c r="F449" s="2" t="str">
        <f>IF(AND(AllData[[#This Row],[Time]]&lt;0.5, AllData[[#This Row],[Time]]&gt;0.17)=TRUE, "Morning", IF(AND(AllData[[#This Row],[Time]]&lt;0.75, AllData[[#This Row],[Time]]&gt;=0.5)=TRUE, "Afternoon", IF(AND(AllData[[#This Row],[Time]]&lt;1, AllData[[#This Row],[Time]]&gt;=0.75)=TRUE, "Evening", "Night")))</f>
        <v>Afternoon</v>
      </c>
      <c r="G449" t="str">
        <f>_xlfn.XLOOKUP(AllData[[#This Row],[Location Name]], Locations[Location Name],Locations[Group As])</f>
        <v>Swiffen Bank</v>
      </c>
      <c r="H449" t="e" vm="2">
        <f>_xlfn.XLOOKUP(AllData[[#This Row],[Site Name]],LocationsKey[Site Name],LocationsKey[District])</f>
        <v>#VALUE!</v>
      </c>
      <c r="I449" t="e" vm="13">
        <f>_xlfn.XLOOKUP(AllData[[#This Row],[Site Name]],LocationsKey[Site Name],LocationsKey[Town])</f>
        <v>#VALUE!</v>
      </c>
      <c r="J449" t="str">
        <f>_xlfn.XLOOKUP(AllData[[#This Row],[Site Name]],LocationsKey[Site Name], LocationsKey[Waterway])</f>
        <v>Avon</v>
      </c>
      <c r="K449" t="s">
        <v>284</v>
      </c>
      <c r="L449">
        <v>52.206477999999997</v>
      </c>
      <c r="M449">
        <v>-1.653894</v>
      </c>
      <c r="N449" t="s">
        <v>29</v>
      </c>
      <c r="O449">
        <v>496</v>
      </c>
      <c r="P449">
        <v>12.6</v>
      </c>
      <c r="Q449">
        <v>5</v>
      </c>
      <c r="R449" s="7" t="str">
        <f>IF(AllData[[#This Row],[Nitrate (PPM)]]&gt;2, "Very high", IF(AllData[[#This Row],[Nitrate (PPM)]]&gt;1, "High", IF(AllData[[#This Row],[Nitrate (PPM)]]&gt;0.5, "Some evidence", IF(AllData[[#This Row],[Nitrate (PPM)]]&gt;=0, "No evidence"))))</f>
        <v>Very high</v>
      </c>
      <c r="S449" s="4">
        <v>0.56000000000000005</v>
      </c>
      <c r="T449" s="7" t="str">
        <f>IF(AllData[[#This Row],[Phosphate (PPM)]]&gt;0.5, "Very high", IF(AllData[[#This Row],[Phosphate (PPM)]]&gt;0.1, "High", IF(AllData[[#This Row],[Phosphate (PPM)]]&gt;0.05, "Some evidence", IF(AllData[[#This Row],[Phosphate (PPM)]]&lt;=0.05, "No Evidence", ""))))</f>
        <v>Very high</v>
      </c>
      <c r="U449">
        <v>1.8</v>
      </c>
      <c r="V449" t="s">
        <v>694</v>
      </c>
    </row>
    <row r="450" spans="1:22" x14ac:dyDescent="0.25">
      <c r="A450" t="s">
        <v>695</v>
      </c>
      <c r="B450" s="2">
        <v>45343</v>
      </c>
      <c r="C450" s="2" t="str" cm="1">
        <f t="array" ref="C4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0">
        <v>2023</v>
      </c>
      <c r="E450" s="1">
        <v>0.64583333333333337</v>
      </c>
      <c r="F450" s="2" t="str">
        <f>IF(AND(AllData[[#This Row],[Time]]&lt;0.5, AllData[[#This Row],[Time]]&gt;0.17)=TRUE, "Morning", IF(AND(AllData[[#This Row],[Time]]&lt;0.75, AllData[[#This Row],[Time]]&gt;=0.5)=TRUE, "Afternoon", IF(AND(AllData[[#This Row],[Time]]&lt;1, AllData[[#This Row],[Time]]&gt;=0.75)=TRUE, "Evening", "Night")))</f>
        <v>Afternoon</v>
      </c>
      <c r="G450" t="str">
        <f>_xlfn.XLOOKUP(AllData[[#This Row],[Location Name]], Locations[Location Name],Locations[Group As])</f>
        <v>Alveston Weir</v>
      </c>
      <c r="H450" t="e" vm="2">
        <f>_xlfn.XLOOKUP(AllData[[#This Row],[Site Name]],LocationsKey[Site Name],LocationsKey[District])</f>
        <v>#VALUE!</v>
      </c>
      <c r="I450" t="e" vm="13">
        <f>_xlfn.XLOOKUP(AllData[[#This Row],[Site Name]],LocationsKey[Site Name],LocationsKey[Town])</f>
        <v>#VALUE!</v>
      </c>
      <c r="J450" t="str">
        <f>_xlfn.XLOOKUP(AllData[[#This Row],[Site Name]],LocationsKey[Site Name], LocationsKey[Waterway])</f>
        <v>Avon</v>
      </c>
      <c r="K450" t="s">
        <v>286</v>
      </c>
      <c r="L450">
        <v>52.212288999999998</v>
      </c>
      <c r="M450">
        <v>-1.660452</v>
      </c>
      <c r="N450" t="s">
        <v>29</v>
      </c>
      <c r="O450">
        <v>498</v>
      </c>
      <c r="P450">
        <v>11.4</v>
      </c>
      <c r="Q450">
        <v>5</v>
      </c>
      <c r="R450" s="7" t="str">
        <f>IF(AllData[[#This Row],[Nitrate (PPM)]]&gt;2, "Very high", IF(AllData[[#This Row],[Nitrate (PPM)]]&gt;1, "High", IF(AllData[[#This Row],[Nitrate (PPM)]]&gt;0.5, "Some evidence", IF(AllData[[#This Row],[Nitrate (PPM)]]&gt;=0, "No evidence"))))</f>
        <v>Very high</v>
      </c>
      <c r="S450" s="4">
        <v>0.48</v>
      </c>
      <c r="T450" s="7" t="str">
        <f>IF(AllData[[#This Row],[Phosphate (PPM)]]&gt;0.5, "Very high", IF(AllData[[#This Row],[Phosphate (PPM)]]&gt;0.1, "High", IF(AllData[[#This Row],[Phosphate (PPM)]]&gt;0.05, "Some evidence", IF(AllData[[#This Row],[Phosphate (PPM)]]&lt;=0.05, "No Evidence", ""))))</f>
        <v>High</v>
      </c>
      <c r="U450">
        <v>1.8</v>
      </c>
      <c r="V450" t="s">
        <v>696</v>
      </c>
    </row>
    <row r="451" spans="1:22" x14ac:dyDescent="0.25">
      <c r="A451" t="s">
        <v>697</v>
      </c>
      <c r="B451" s="2">
        <v>45343</v>
      </c>
      <c r="C451" s="2" t="str" cm="1">
        <f t="array" ref="C4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1">
        <v>2023</v>
      </c>
      <c r="E451" s="1">
        <v>0.66666666666666663</v>
      </c>
      <c r="F451" s="2" t="str">
        <f>IF(AND(AllData[[#This Row],[Time]]&lt;0.5, AllData[[#This Row],[Time]]&gt;0.17)=TRUE, "Morning", IF(AND(AllData[[#This Row],[Time]]&lt;0.75, AllData[[#This Row],[Time]]&gt;=0.5)=TRUE, "Afternoon", IF(AND(AllData[[#This Row],[Time]]&lt;1, AllData[[#This Row],[Time]]&gt;=0.75)=TRUE, "Evening", "Night")))</f>
        <v>Afternoon</v>
      </c>
      <c r="G451" t="str">
        <f>_xlfn.XLOOKUP(AllData[[#This Row],[Location Name]], Locations[Location Name],Locations[Group As])</f>
        <v>Stour Newbold Mill</v>
      </c>
      <c r="H451" t="e" vm="2">
        <f>_xlfn.XLOOKUP(AllData[[#This Row],[Site Name]],LocationsKey[Site Name],LocationsKey[District])</f>
        <v>#VALUE!</v>
      </c>
      <c r="I451" t="e" vm="8">
        <f>_xlfn.XLOOKUP(AllData[[#This Row],[Site Name]],LocationsKey[Site Name],LocationsKey[Town])</f>
        <v>#VALUE!</v>
      </c>
      <c r="J451" t="str">
        <f>_xlfn.XLOOKUP(AllData[[#This Row],[Site Name]],LocationsKey[Site Name], LocationsKey[Waterway])</f>
        <v>Stour</v>
      </c>
      <c r="K451" t="s">
        <v>140</v>
      </c>
      <c r="L451">
        <v>52.112822000000001</v>
      </c>
      <c r="M451">
        <v>-1.6334850000000001</v>
      </c>
      <c r="N451" t="s">
        <v>66</v>
      </c>
      <c r="O451">
        <v>483</v>
      </c>
      <c r="P451">
        <v>12.1</v>
      </c>
      <c r="Q451">
        <v>2</v>
      </c>
      <c r="R451" s="7" t="str">
        <f>IF(AllData[[#This Row],[Nitrate (PPM)]]&gt;2, "Very high", IF(AllData[[#This Row],[Nitrate (PPM)]]&gt;1, "High", IF(AllData[[#This Row],[Nitrate (PPM)]]&gt;0.5, "Some evidence", IF(AllData[[#This Row],[Nitrate (PPM)]]&gt;=0, "No evidence"))))</f>
        <v>High</v>
      </c>
      <c r="S451" s="4">
        <v>0.22</v>
      </c>
      <c r="T451" s="7" t="str">
        <f>IF(AllData[[#This Row],[Phosphate (PPM)]]&gt;0.5, "Very high", IF(AllData[[#This Row],[Phosphate (PPM)]]&gt;0.1, "High", IF(AllData[[#This Row],[Phosphate (PPM)]]&gt;0.05, "Some evidence", IF(AllData[[#This Row],[Phosphate (PPM)]]&lt;=0.05, "No Evidence", ""))))</f>
        <v>High</v>
      </c>
      <c r="U451">
        <v>3.5</v>
      </c>
      <c r="V451" t="s">
        <v>698</v>
      </c>
    </row>
    <row r="452" spans="1:22" x14ac:dyDescent="0.25">
      <c r="A452" t="s">
        <v>699</v>
      </c>
      <c r="B452" s="2">
        <v>45344</v>
      </c>
      <c r="C452" s="2" t="str" cm="1">
        <f t="array" ref="C4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2">
        <v>2023</v>
      </c>
      <c r="E452" s="1">
        <v>0.49444444444444446</v>
      </c>
      <c r="F452" s="2" t="str">
        <f>IF(AND(AllData[[#This Row],[Time]]&lt;0.5, AllData[[#This Row],[Time]]&gt;0.17)=TRUE, "Morning", IF(AND(AllData[[#This Row],[Time]]&lt;0.75, AllData[[#This Row],[Time]]&gt;=0.5)=TRUE, "Afternoon", IF(AND(AllData[[#This Row],[Time]]&lt;1, AllData[[#This Row],[Time]]&gt;=0.75)=TRUE, "Evening", "Night")))</f>
        <v>Morning</v>
      </c>
      <c r="G452" t="str">
        <f>_xlfn.XLOOKUP(AllData[[#This Row],[Location Name]], Locations[Location Name],Locations[Group As])</f>
        <v>Stour Willington</v>
      </c>
      <c r="H452" t="e" vm="2">
        <f>_xlfn.XLOOKUP(AllData[[#This Row],[Site Name]],LocationsKey[Site Name],LocationsKey[District])</f>
        <v>#VALUE!</v>
      </c>
      <c r="I452" t="str">
        <f>_xlfn.XLOOKUP(AllData[[#This Row],[Site Name]],LocationsKey[Site Name],LocationsKey[Town])</f>
        <v>Willington</v>
      </c>
      <c r="J452" t="str">
        <f>_xlfn.XLOOKUP(AllData[[#This Row],[Site Name]],LocationsKey[Site Name], LocationsKey[Waterway])</f>
        <v>Stour</v>
      </c>
      <c r="K452" t="s">
        <v>517</v>
      </c>
      <c r="L452">
        <v>52.053592000000002</v>
      </c>
      <c r="M452">
        <v>-1.620263</v>
      </c>
      <c r="N452" t="s">
        <v>23</v>
      </c>
      <c r="O452">
        <v>427</v>
      </c>
      <c r="P452">
        <v>10.4</v>
      </c>
      <c r="Q452">
        <v>0.2</v>
      </c>
      <c r="R452" s="7" t="str">
        <f>IF(AllData[[#This Row],[Nitrate (PPM)]]&gt;2, "Very high", IF(AllData[[#This Row],[Nitrate (PPM)]]&gt;1, "High", IF(AllData[[#This Row],[Nitrate (PPM)]]&gt;0.5, "Some evidence", IF(AllData[[#This Row],[Nitrate (PPM)]]&gt;=0, "No evidence"))))</f>
        <v>No evidence</v>
      </c>
      <c r="S452" s="4">
        <v>0.16</v>
      </c>
      <c r="T452" s="7" t="str">
        <f>IF(AllData[[#This Row],[Phosphate (PPM)]]&gt;0.5, "Very high", IF(AllData[[#This Row],[Phosphate (PPM)]]&gt;0.1, "High", IF(AllData[[#This Row],[Phosphate (PPM)]]&gt;0.05, "Some evidence", IF(AllData[[#This Row],[Phosphate (PPM)]]&lt;=0.05, "No Evidence", ""))))</f>
        <v>High</v>
      </c>
      <c r="U452">
        <v>1.25</v>
      </c>
      <c r="V452" t="s">
        <v>666</v>
      </c>
    </row>
    <row r="453" spans="1:22" x14ac:dyDescent="0.25">
      <c r="A453" t="s">
        <v>700</v>
      </c>
      <c r="B453" s="2">
        <v>45344</v>
      </c>
      <c r="C453" s="2" t="str" cm="1">
        <f t="array" ref="C4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3">
        <v>2023</v>
      </c>
      <c r="E453" s="1">
        <v>0.5625</v>
      </c>
      <c r="F453" s="2" t="str">
        <f>IF(AND(AllData[[#This Row],[Time]]&lt;0.5, AllData[[#This Row],[Time]]&gt;0.17)=TRUE, "Morning", IF(AND(AllData[[#This Row],[Time]]&lt;0.75, AllData[[#This Row],[Time]]&gt;=0.5)=TRUE, "Afternoon", IF(AND(AllData[[#This Row],[Time]]&lt;1, AllData[[#This Row],[Time]]&gt;=0.75)=TRUE, "Evening", "Night")))</f>
        <v>Afternoon</v>
      </c>
      <c r="G453" t="str">
        <f>_xlfn.XLOOKUP(AllData[[#This Row],[Location Name]], Locations[Location Name],Locations[Group As])</f>
        <v>Swilgate</v>
      </c>
      <c r="H453" t="e" vm="1">
        <f>_xlfn.XLOOKUP(AllData[[#This Row],[Site Name]],LocationsKey[Site Name],LocationsKey[District])</f>
        <v>#VALUE!</v>
      </c>
      <c r="I453" t="e" vm="1">
        <f>_xlfn.XLOOKUP(AllData[[#This Row],[Site Name]],LocationsKey[Site Name],LocationsKey[Town])</f>
        <v>#VALUE!</v>
      </c>
      <c r="J453" t="str">
        <f>_xlfn.XLOOKUP(AllData[[#This Row],[Site Name]],LocationsKey[Site Name], LocationsKey[Waterway])</f>
        <v>Swilgate</v>
      </c>
      <c r="K453" t="s">
        <v>84</v>
      </c>
      <c r="N453" t="s">
        <v>23</v>
      </c>
      <c r="O453" s="219">
        <v>709</v>
      </c>
      <c r="P453">
        <v>9.5</v>
      </c>
      <c r="Q453" s="219">
        <v>3</v>
      </c>
      <c r="R453" s="7" t="str">
        <f>IF(AllData[[#This Row],[Nitrate (PPM)]]&gt;2, "Very high", IF(AllData[[#This Row],[Nitrate (PPM)]]&gt;1, "High", IF(AllData[[#This Row],[Nitrate (PPM)]]&gt;0.5, "Some evidence", IF(AllData[[#This Row],[Nitrate (PPM)]]&gt;=0, "No evidence"))))</f>
        <v>Very high</v>
      </c>
      <c r="S453" s="221">
        <v>0.47</v>
      </c>
      <c r="T453" s="7" t="str">
        <f>IF(AllData[[#This Row],[Phosphate (PPM)]]&gt;0.5, "Very high", IF(AllData[[#This Row],[Phosphate (PPM)]]&gt;0.1, "High", IF(AllData[[#This Row],[Phosphate (PPM)]]&gt;0.05, "Some evidence", IF(AllData[[#This Row],[Phosphate (PPM)]]&lt;=0.05, "No Evidence", ""))))</f>
        <v>High</v>
      </c>
      <c r="U453">
        <v>2.5</v>
      </c>
      <c r="V453" t="s">
        <v>291</v>
      </c>
    </row>
    <row r="454" spans="1:22" x14ac:dyDescent="0.25">
      <c r="A454" t="s">
        <v>701</v>
      </c>
      <c r="B454" s="2">
        <v>45345</v>
      </c>
      <c r="C454" s="2" t="str" cm="1">
        <f t="array" ref="C4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4">
        <v>2023</v>
      </c>
      <c r="E454" s="1">
        <v>0.4375</v>
      </c>
      <c r="F454" s="2" t="str">
        <f>IF(AND(AllData[[#This Row],[Time]]&lt;0.5, AllData[[#This Row],[Time]]&gt;0.17)=TRUE, "Morning", IF(AND(AllData[[#This Row],[Time]]&lt;0.75, AllData[[#This Row],[Time]]&gt;=0.5)=TRUE, "Afternoon", IF(AND(AllData[[#This Row],[Time]]&lt;1, AllData[[#This Row],[Time]]&gt;=0.75)=TRUE, "Evening", "Night")))</f>
        <v>Morning</v>
      </c>
      <c r="G454" t="str">
        <f>_xlfn.XLOOKUP(AllData[[#This Row],[Location Name]], Locations[Location Name],Locations[Group As])</f>
        <v>Mill Bridge Peopleton</v>
      </c>
      <c r="H454" t="e" vm="17">
        <f>_xlfn.XLOOKUP(AllData[[#This Row],[Site Name]],LocationsKey[Site Name],LocationsKey[District])</f>
        <v>#VALUE!</v>
      </c>
      <c r="I454" t="str">
        <f>_xlfn.XLOOKUP(AllData[[#This Row],[Site Name]],LocationsKey[Site Name],LocationsKey[Town])</f>
        <v>Peopleton</v>
      </c>
      <c r="J454" t="str">
        <f>_xlfn.XLOOKUP(AllData[[#This Row],[Site Name]],LocationsKey[Site Name], LocationsKey[Waterway])</f>
        <v>Bow Brook</v>
      </c>
      <c r="K454" t="s">
        <v>702</v>
      </c>
      <c r="L454">
        <v>52.151693999999999</v>
      </c>
      <c r="M454">
        <v>-2.0962040000000002</v>
      </c>
      <c r="N454" t="s">
        <v>29</v>
      </c>
      <c r="O454">
        <v>305</v>
      </c>
      <c r="P454">
        <v>6.9</v>
      </c>
      <c r="R454" s="7"/>
      <c r="S454" s="4">
        <v>0.21</v>
      </c>
      <c r="T454" s="7" t="str">
        <f>IF(AllData[[#This Row],[Phosphate (PPM)]]&gt;0.5, "Very high", IF(AllData[[#This Row],[Phosphate (PPM)]]&gt;0.1, "High", IF(AllData[[#This Row],[Phosphate (PPM)]]&gt;0.05, "Some evidence", IF(AllData[[#This Row],[Phosphate (PPM)]]&lt;=0.05, "No Evidence", ""))))</f>
        <v>High</v>
      </c>
      <c r="U454">
        <v>2</v>
      </c>
      <c r="V454" t="s">
        <v>703</v>
      </c>
    </row>
    <row r="455" spans="1:22" x14ac:dyDescent="0.25">
      <c r="A455" t="s">
        <v>704</v>
      </c>
      <c r="B455" s="2">
        <v>45345</v>
      </c>
      <c r="C455" s="2" t="str" cm="1">
        <f t="array" ref="C4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5">
        <v>2023</v>
      </c>
      <c r="E455" s="1">
        <v>0.60416666666666663</v>
      </c>
      <c r="F455" s="2" t="str">
        <f>IF(AND(AllData[[#This Row],[Time]]&lt;0.5, AllData[[#This Row],[Time]]&gt;0.17)=TRUE, "Morning", IF(AND(AllData[[#This Row],[Time]]&lt;0.75, AllData[[#This Row],[Time]]&gt;=0.5)=TRUE, "Afternoon", IF(AND(AllData[[#This Row],[Time]]&lt;1, AllData[[#This Row],[Time]]&gt;=0.75)=TRUE, "Evening", "Night")))</f>
        <v>Afternoon</v>
      </c>
      <c r="G455" t="str">
        <f>_xlfn.XLOOKUP(AllData[[#This Row],[Location Name]], Locations[Location Name],Locations[Group As])</f>
        <v>Preston Bagot Canal</v>
      </c>
      <c r="H455" t="e" vm="2">
        <f>_xlfn.XLOOKUP(AllData[[#This Row],[Site Name]],LocationsKey[Site Name],LocationsKey[District])</f>
        <v>#VALUE!</v>
      </c>
      <c r="I455" t="e" vm="19">
        <f>_xlfn.XLOOKUP(AllData[[#This Row],[Site Name]],LocationsKey[Site Name],LocationsKey[Town])</f>
        <v>#VALUE!</v>
      </c>
      <c r="J455" t="str">
        <f>_xlfn.XLOOKUP(AllData[[#This Row],[Site Name]],LocationsKey[Site Name], LocationsKey[Waterway])</f>
        <v>Preston Bagot Canal</v>
      </c>
      <c r="K455" t="s">
        <v>615</v>
      </c>
      <c r="N455" t="s">
        <v>23</v>
      </c>
      <c r="O455" s="219">
        <v>22</v>
      </c>
      <c r="P455">
        <v>10.1</v>
      </c>
      <c r="Q455" s="219">
        <v>2</v>
      </c>
      <c r="R455" s="7" t="str">
        <f>IF(AllData[[#This Row],[Nitrate (PPM)]]&gt;2, "Very high", IF(AllData[[#This Row],[Nitrate (PPM)]]&gt;1, "High", IF(AllData[[#This Row],[Nitrate (PPM)]]&gt;0.5, "Some evidence", IF(AllData[[#This Row],[Nitrate (PPM)]]&gt;=0, "No evidence"))))</f>
        <v>High</v>
      </c>
      <c r="S455" s="221">
        <v>0.3</v>
      </c>
      <c r="T455" s="7" t="str">
        <f>IF(AllData[[#This Row],[Phosphate (PPM)]]&gt;0.5, "Very high", IF(AllData[[#This Row],[Phosphate (PPM)]]&gt;0.1, "High", IF(AllData[[#This Row],[Phosphate (PPM)]]&gt;0.05, "Some evidence", IF(AllData[[#This Row],[Phosphate (PPM)]]&lt;=0.05, "No Evidence", ""))))</f>
        <v>High</v>
      </c>
      <c r="U455">
        <v>0</v>
      </c>
      <c r="V455" t="s">
        <v>705</v>
      </c>
    </row>
    <row r="456" spans="1:22" x14ac:dyDescent="0.25">
      <c r="A456" t="s">
        <v>706</v>
      </c>
      <c r="B456" s="2">
        <v>45345</v>
      </c>
      <c r="C456" s="2" t="str" cm="1">
        <f t="array" ref="C4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6">
        <v>2023</v>
      </c>
      <c r="E456" s="1">
        <v>0.61111111111111116</v>
      </c>
      <c r="F456" s="2" t="str">
        <f>IF(AND(AllData[[#This Row],[Time]]&lt;0.5, AllData[[#This Row],[Time]]&gt;0.17)=TRUE, "Morning", IF(AND(AllData[[#This Row],[Time]]&lt;0.75, AllData[[#This Row],[Time]]&gt;=0.5)=TRUE, "Afternoon", IF(AND(AllData[[#This Row],[Time]]&lt;1, AllData[[#This Row],[Time]]&gt;=0.75)=TRUE, "Evening", "Night")))</f>
        <v>Afternoon</v>
      </c>
      <c r="G456" t="str">
        <f>_xlfn.XLOOKUP(AllData[[#This Row],[Location Name]], Locations[Location Name],Locations[Group As])</f>
        <v>Preston Bagot Brook</v>
      </c>
      <c r="H456" t="e" vm="2">
        <f>_xlfn.XLOOKUP(AllData[[#This Row],[Site Name]],LocationsKey[Site Name],LocationsKey[District])</f>
        <v>#VALUE!</v>
      </c>
      <c r="I456" t="e" vm="19">
        <f>_xlfn.XLOOKUP(AllData[[#This Row],[Site Name]],LocationsKey[Site Name],LocationsKey[Town])</f>
        <v>#VALUE!</v>
      </c>
      <c r="J456" t="str">
        <f>_xlfn.XLOOKUP(AllData[[#This Row],[Site Name]],LocationsKey[Site Name], LocationsKey[Waterway])</f>
        <v>Preston Bagot Brook</v>
      </c>
      <c r="K456" t="s">
        <v>618</v>
      </c>
      <c r="L456">
        <v>52.286200000000001</v>
      </c>
      <c r="M456">
        <v>-1.7478</v>
      </c>
      <c r="N456" t="s">
        <v>23</v>
      </c>
      <c r="O456">
        <v>390</v>
      </c>
      <c r="P456">
        <v>11.2</v>
      </c>
      <c r="Q456">
        <v>2</v>
      </c>
      <c r="R456" s="7" t="str">
        <f>IF(AllData[[#This Row],[Nitrate (PPM)]]&gt;2, "Very high", IF(AllData[[#This Row],[Nitrate (PPM)]]&gt;1, "High", IF(AllData[[#This Row],[Nitrate (PPM)]]&gt;0.5, "Some evidence", IF(AllData[[#This Row],[Nitrate (PPM)]]&gt;=0, "No evidence"))))</f>
        <v>High</v>
      </c>
      <c r="S456" s="4">
        <v>0.56000000000000005</v>
      </c>
      <c r="T456" s="7" t="str">
        <f>IF(AllData[[#This Row],[Phosphate (PPM)]]&gt;0.5, "Very high", IF(AllData[[#This Row],[Phosphate (PPM)]]&gt;0.1, "High", IF(AllData[[#This Row],[Phosphate (PPM)]]&gt;0.05, "Some evidence", IF(AllData[[#This Row],[Phosphate (PPM)]]&lt;=0.05, "No Evidence", ""))))</f>
        <v>Very high</v>
      </c>
      <c r="U456">
        <v>0</v>
      </c>
      <c r="V456" t="s">
        <v>705</v>
      </c>
    </row>
    <row r="457" spans="1:22" x14ac:dyDescent="0.25">
      <c r="A457" t="s">
        <v>707</v>
      </c>
      <c r="B457" s="2">
        <v>45345</v>
      </c>
      <c r="C457" s="2" t="str" cm="1">
        <f t="array" ref="C4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7">
        <v>2023</v>
      </c>
      <c r="E457" s="1">
        <v>0.7006944444444444</v>
      </c>
      <c r="F457" s="2" t="str">
        <f>IF(AND(AllData[[#This Row],[Time]]&lt;0.5, AllData[[#This Row],[Time]]&gt;0.17)=TRUE, "Morning", IF(AND(AllData[[#This Row],[Time]]&lt;0.75, AllData[[#This Row],[Time]]&gt;=0.5)=TRUE, "Afternoon", IF(AND(AllData[[#This Row],[Time]]&lt;1, AllData[[#This Row],[Time]]&gt;=0.75)=TRUE, "Evening", "Night")))</f>
        <v>Afternoon</v>
      </c>
      <c r="G457" t="str">
        <f>_xlfn.XLOOKUP(AllData[[#This Row],[Location Name]], Locations[Location Name],Locations[Group As])</f>
        <v>Preston-on-Stour River Bridge</v>
      </c>
      <c r="H457" t="e" vm="2">
        <f>_xlfn.XLOOKUP(AllData[[#This Row],[Site Name]],LocationsKey[Site Name],LocationsKey[District])</f>
        <v>#VALUE!</v>
      </c>
      <c r="I457" t="e" vm="9">
        <f>_xlfn.XLOOKUP(AllData[[#This Row],[Site Name]],LocationsKey[Site Name],LocationsKey[Town])</f>
        <v>#VALUE!</v>
      </c>
      <c r="J457" t="str">
        <f>_xlfn.XLOOKUP(AllData[[#This Row],[Site Name]],LocationsKey[Site Name], LocationsKey[Waterway])</f>
        <v>Stour</v>
      </c>
      <c r="K457" t="s">
        <v>163</v>
      </c>
      <c r="L457">
        <v>52.146557000000001</v>
      </c>
      <c r="M457">
        <v>-1.6997789999999999</v>
      </c>
      <c r="N457" t="s">
        <v>29</v>
      </c>
      <c r="O457">
        <v>436</v>
      </c>
      <c r="P457">
        <v>7.6</v>
      </c>
      <c r="Q457">
        <v>5</v>
      </c>
      <c r="R457" s="7" t="str">
        <f>IF(AllData[[#This Row],[Nitrate (PPM)]]&gt;2, "Very high", IF(AllData[[#This Row],[Nitrate (PPM)]]&gt;1, "High", IF(AllData[[#This Row],[Nitrate (PPM)]]&gt;0.5, "Some evidence", IF(AllData[[#This Row],[Nitrate (PPM)]]&gt;=0, "No evidence"))))</f>
        <v>Very high</v>
      </c>
      <c r="S457" s="4">
        <v>0.28000000000000003</v>
      </c>
      <c r="T457" s="7" t="str">
        <f>IF(AllData[[#This Row],[Phosphate (PPM)]]&gt;0.5, "Very high", IF(AllData[[#This Row],[Phosphate (PPM)]]&gt;0.1, "High", IF(AllData[[#This Row],[Phosphate (PPM)]]&gt;0.05, "Some evidence", IF(AllData[[#This Row],[Phosphate (PPM)]]&lt;=0.05, "No Evidence", ""))))</f>
        <v>High</v>
      </c>
      <c r="U457">
        <v>2</v>
      </c>
      <c r="V457" t="s">
        <v>708</v>
      </c>
    </row>
    <row r="458" spans="1:22" x14ac:dyDescent="0.25">
      <c r="A458" t="s">
        <v>709</v>
      </c>
      <c r="B458" s="2">
        <v>45346</v>
      </c>
      <c r="C458" s="2" t="str" cm="1">
        <f t="array" ref="C4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8">
        <v>2023</v>
      </c>
      <c r="E458" s="1">
        <v>0.46180555555555558</v>
      </c>
      <c r="F458" s="2" t="str">
        <f>IF(AND(AllData[[#This Row],[Time]]&lt;0.5, AllData[[#This Row],[Time]]&gt;0.17)=TRUE, "Morning", IF(AND(AllData[[#This Row],[Time]]&lt;0.75, AllData[[#This Row],[Time]]&gt;=0.5)=TRUE, "Afternoon", IF(AND(AllData[[#This Row],[Time]]&lt;1, AllData[[#This Row],[Time]]&gt;=0.75)=TRUE, "Evening", "Night")))</f>
        <v>Morning</v>
      </c>
      <c r="G458" t="str">
        <f>_xlfn.XLOOKUP(AllData[[#This Row],[Location Name]], Locations[Location Name],Locations[Group As])</f>
        <v>Black Bear</v>
      </c>
      <c r="H458" t="e" vm="1">
        <f>_xlfn.XLOOKUP(AllData[[#This Row],[Site Name]],LocationsKey[Site Name],LocationsKey[District])</f>
        <v>#VALUE!</v>
      </c>
      <c r="I458" t="e" vm="1">
        <f>_xlfn.XLOOKUP(AllData[[#This Row],[Site Name]],LocationsKey[Site Name],LocationsKey[Town])</f>
        <v>#VALUE!</v>
      </c>
      <c r="J458" t="str">
        <f>_xlfn.XLOOKUP(AllData[[#This Row],[Site Name]],LocationsKey[Site Name], LocationsKey[Waterway])</f>
        <v>Avon</v>
      </c>
      <c r="K458" t="s">
        <v>567</v>
      </c>
      <c r="L458">
        <v>51.997377</v>
      </c>
      <c r="M458">
        <v>-2.1561089999999998</v>
      </c>
      <c r="N458" t="s">
        <v>23</v>
      </c>
      <c r="O458">
        <v>408</v>
      </c>
      <c r="P458">
        <v>8.1999999999999993</v>
      </c>
      <c r="Q458">
        <v>4</v>
      </c>
      <c r="R458" s="7" t="str">
        <f>IF(AllData[[#This Row],[Nitrate (PPM)]]&gt;2, "Very high", IF(AllData[[#This Row],[Nitrate (PPM)]]&gt;1, "High", IF(AllData[[#This Row],[Nitrate (PPM)]]&gt;0.5, "Some evidence", IF(AllData[[#This Row],[Nitrate (PPM)]]&gt;=0, "No evidence"))))</f>
        <v>Very high</v>
      </c>
      <c r="S458" s="4">
        <v>0.64</v>
      </c>
      <c r="T458" s="7" t="str">
        <f>IF(AllData[[#This Row],[Phosphate (PPM)]]&gt;0.5, "Very high", IF(AllData[[#This Row],[Phosphate (PPM)]]&gt;0.1, "High", IF(AllData[[#This Row],[Phosphate (PPM)]]&gt;0.05, "Some evidence", IF(AllData[[#This Row],[Phosphate (PPM)]]&lt;=0.05, "No Evidence", ""))))</f>
        <v>Very high</v>
      </c>
      <c r="U458">
        <v>3</v>
      </c>
    </row>
    <row r="459" spans="1:22" x14ac:dyDescent="0.25">
      <c r="A459" t="s">
        <v>710</v>
      </c>
      <c r="B459" s="2">
        <v>45346</v>
      </c>
      <c r="C459" s="2" t="str" cm="1">
        <f t="array" ref="C4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9">
        <v>2023</v>
      </c>
      <c r="E459" s="1">
        <v>0.47916666666666669</v>
      </c>
      <c r="F459" s="2" t="str">
        <f>IF(AND(AllData[[#This Row],[Time]]&lt;0.5, AllData[[#This Row],[Time]]&gt;0.17)=TRUE, "Morning", IF(AND(AllData[[#This Row],[Time]]&lt;0.75, AllData[[#This Row],[Time]]&gt;=0.5)=TRUE, "Afternoon", IF(AND(AllData[[#This Row],[Time]]&lt;1, AllData[[#This Row],[Time]]&gt;=0.75)=TRUE, "Evening", "Night")))</f>
        <v>Morning</v>
      </c>
      <c r="G459" t="str">
        <f>_xlfn.XLOOKUP(AllData[[#This Row],[Location Name]], Locations[Location Name],Locations[Group As])</f>
        <v>Carrant Bredon Rd</v>
      </c>
      <c r="H459" t="e" vm="1">
        <f>_xlfn.XLOOKUP(AllData[[#This Row],[Site Name]],LocationsKey[Site Name],LocationsKey[District])</f>
        <v>#VALUE!</v>
      </c>
      <c r="I459" t="e" vm="1">
        <f>_xlfn.XLOOKUP(AllData[[#This Row],[Site Name]],LocationsKey[Site Name],LocationsKey[Town])</f>
        <v>#VALUE!</v>
      </c>
      <c r="J459" t="str">
        <f>_xlfn.XLOOKUP(AllData[[#This Row],[Site Name]],LocationsKey[Site Name], LocationsKey[Waterway])</f>
        <v>Carrant</v>
      </c>
      <c r="K459" t="s">
        <v>600</v>
      </c>
      <c r="L459">
        <v>51.998399999999997</v>
      </c>
      <c r="M459">
        <v>-2.1528</v>
      </c>
      <c r="N459" t="s">
        <v>23</v>
      </c>
      <c r="O459">
        <v>446</v>
      </c>
      <c r="P459">
        <v>8</v>
      </c>
      <c r="Q459">
        <v>3</v>
      </c>
      <c r="R459" s="7" t="str">
        <f>IF(AllData[[#This Row],[Nitrate (PPM)]]&gt;2, "Very high", IF(AllData[[#This Row],[Nitrate (PPM)]]&gt;1, "High", IF(AllData[[#This Row],[Nitrate (PPM)]]&gt;0.5, "Some evidence", IF(AllData[[#This Row],[Nitrate (PPM)]]&gt;=0, "No evidence"))))</f>
        <v>Very high</v>
      </c>
      <c r="S459" s="4">
        <v>0.62</v>
      </c>
      <c r="T459" s="7" t="str">
        <f>IF(AllData[[#This Row],[Phosphate (PPM)]]&gt;0.5, "Very high", IF(AllData[[#This Row],[Phosphate (PPM)]]&gt;0.1, "High", IF(AllData[[#This Row],[Phosphate (PPM)]]&gt;0.05, "Some evidence", IF(AllData[[#This Row],[Phosphate (PPM)]]&lt;=0.05, "No Evidence", ""))))</f>
        <v>Very high</v>
      </c>
      <c r="U459">
        <v>2.11</v>
      </c>
      <c r="V459" t="s">
        <v>711</v>
      </c>
    </row>
    <row r="460" spans="1:22" x14ac:dyDescent="0.25">
      <c r="A460" t="s">
        <v>712</v>
      </c>
      <c r="B460" s="2">
        <v>45347</v>
      </c>
      <c r="C460" s="2" t="str" cm="1">
        <f t="array" ref="C4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0">
        <v>2023</v>
      </c>
      <c r="E460" s="1">
        <v>0.47569444444444442</v>
      </c>
      <c r="F460" s="2" t="str">
        <f>IF(AND(AllData[[#This Row],[Time]]&lt;0.5, AllData[[#This Row],[Time]]&gt;0.17)=TRUE, "Morning", IF(AND(AllData[[#This Row],[Time]]&lt;0.75, AllData[[#This Row],[Time]]&gt;=0.5)=TRUE, "Afternoon", IF(AND(AllData[[#This Row],[Time]]&lt;1, AllData[[#This Row],[Time]]&gt;=0.75)=TRUE, "Evening", "Night")))</f>
        <v>Morning</v>
      </c>
      <c r="G460" t="str">
        <f>_xlfn.XLOOKUP(AllData[[#This Row],[Location Name]], Locations[Location Name],Locations[Group As])</f>
        <v>The Ford, Langley</v>
      </c>
      <c r="H460" t="e" vm="2">
        <f>_xlfn.XLOOKUP(AllData[[#This Row],[Site Name]],LocationsKey[Site Name],LocationsKey[District])</f>
        <v>#VALUE!</v>
      </c>
      <c r="I460" t="str">
        <f>_xlfn.XLOOKUP(AllData[[#This Row],[Site Name]],LocationsKey[Site Name],LocationsKey[Town])</f>
        <v>Langley</v>
      </c>
      <c r="J460" t="str">
        <f>_xlfn.XLOOKUP(AllData[[#This Row],[Site Name]],LocationsKey[Site Name], LocationsKey[Waterway])</f>
        <v>Langley Ford</v>
      </c>
      <c r="K460" t="s">
        <v>557</v>
      </c>
      <c r="L460">
        <v>52.259639</v>
      </c>
      <c r="M460">
        <v>-1.7181999999999999</v>
      </c>
      <c r="N460" t="s">
        <v>29</v>
      </c>
      <c r="O460">
        <v>520</v>
      </c>
      <c r="P460">
        <v>7.5</v>
      </c>
      <c r="Q460">
        <v>6</v>
      </c>
      <c r="R460" s="7" t="str">
        <f>IF(AllData[[#This Row],[Nitrate (PPM)]]&gt;2, "Very high", IF(AllData[[#This Row],[Nitrate (PPM)]]&gt;1, "High", IF(AllData[[#This Row],[Nitrate (PPM)]]&gt;0.5, "Some evidence", IF(AllData[[#This Row],[Nitrate (PPM)]]&gt;=0, "No evidence"))))</f>
        <v>Very high</v>
      </c>
      <c r="S460" s="4">
        <v>0.63</v>
      </c>
      <c r="T460" s="7" t="str">
        <f>IF(AllData[[#This Row],[Phosphate (PPM)]]&gt;0.5, "Very high", IF(AllData[[#This Row],[Phosphate (PPM)]]&gt;0.1, "High", IF(AllData[[#This Row],[Phosphate (PPM)]]&gt;0.05, "Some evidence", IF(AllData[[#This Row],[Phosphate (PPM)]]&lt;=0.05, "No Evidence", ""))))</f>
        <v>Very high</v>
      </c>
      <c r="U460">
        <v>35</v>
      </c>
      <c r="V460" t="s">
        <v>713</v>
      </c>
    </row>
    <row r="461" spans="1:22" x14ac:dyDescent="0.25">
      <c r="A461" t="s">
        <v>714</v>
      </c>
      <c r="B461" s="2">
        <v>45347</v>
      </c>
      <c r="C461" s="2" t="str" cm="1">
        <f t="array" ref="C4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1">
        <v>2023</v>
      </c>
      <c r="E461" s="1">
        <v>0.64583333333333337</v>
      </c>
      <c r="F461" s="2" t="str">
        <f>IF(AND(AllData[[#This Row],[Time]]&lt;0.5, AllData[[#This Row],[Time]]&gt;0.17)=TRUE, "Morning", IF(AND(AllData[[#This Row],[Time]]&lt;0.75, AllData[[#This Row],[Time]]&gt;=0.5)=TRUE, "Afternoon", IF(AND(AllData[[#This Row],[Time]]&lt;1, AllData[[#This Row],[Time]]&gt;=0.75)=TRUE, "Evening", "Night")))</f>
        <v>Afternoon</v>
      </c>
      <c r="G461" t="str">
        <f>_xlfn.XLOOKUP(AllData[[#This Row],[Location Name]], Locations[Location Name],Locations[Group As])</f>
        <v>Fell Mill Footbridge</v>
      </c>
      <c r="H461" t="e" vm="2">
        <f>_xlfn.XLOOKUP(AllData[[#This Row],[Site Name]],LocationsKey[Site Name],LocationsKey[District])</f>
        <v>#VALUE!</v>
      </c>
      <c r="I461" t="e" vm="10">
        <f>_xlfn.XLOOKUP(AllData[[#This Row],[Site Name]],LocationsKey[Site Name],LocationsKey[Town])</f>
        <v>#VALUE!</v>
      </c>
      <c r="J461" t="str">
        <f>_xlfn.XLOOKUP(AllData[[#This Row],[Site Name]],LocationsKey[Site Name], LocationsKey[Waterway])</f>
        <v>Stour</v>
      </c>
      <c r="K461" t="s">
        <v>496</v>
      </c>
      <c r="L461">
        <v>52.070131000000003</v>
      </c>
      <c r="M461">
        <v>-1.6114869999999999</v>
      </c>
      <c r="N461" t="s">
        <v>29</v>
      </c>
      <c r="O461">
        <v>560</v>
      </c>
      <c r="P461">
        <v>8.1</v>
      </c>
      <c r="Q461">
        <v>5</v>
      </c>
      <c r="R461" s="7" t="str">
        <f>IF(AllData[[#This Row],[Nitrate (PPM)]]&gt;2, "Very high", IF(AllData[[#This Row],[Nitrate (PPM)]]&gt;1, "High", IF(AllData[[#This Row],[Nitrate (PPM)]]&gt;0.5, "Some evidence", IF(AllData[[#This Row],[Nitrate (PPM)]]&gt;=0, "No evidence"))))</f>
        <v>Very high</v>
      </c>
      <c r="S461" s="4">
        <v>0.33</v>
      </c>
      <c r="T461" s="7" t="str">
        <f>IF(AllData[[#This Row],[Phosphate (PPM)]]&gt;0.5, "Very high", IF(AllData[[#This Row],[Phosphate (PPM)]]&gt;0.1, "High", IF(AllData[[#This Row],[Phosphate (PPM)]]&gt;0.05, "Some evidence", IF(AllData[[#This Row],[Phosphate (PPM)]]&lt;=0.05, "No Evidence", ""))))</f>
        <v>High</v>
      </c>
      <c r="U461">
        <v>1.5</v>
      </c>
    </row>
    <row r="462" spans="1:22" x14ac:dyDescent="0.25">
      <c r="A462" t="s">
        <v>715</v>
      </c>
      <c r="B462" s="2">
        <v>45347</v>
      </c>
      <c r="C462" s="2" t="str" cm="1">
        <f t="array" ref="C4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2">
        <v>2023</v>
      </c>
      <c r="E462" s="1">
        <v>0.70763888888888893</v>
      </c>
      <c r="F462" s="2" t="str">
        <f>IF(AND(AllData[[#This Row],[Time]]&lt;0.5, AllData[[#This Row],[Time]]&gt;0.17)=TRUE, "Morning", IF(AND(AllData[[#This Row],[Time]]&lt;0.75, AllData[[#This Row],[Time]]&gt;=0.5)=TRUE, "Afternoon", IF(AND(AllData[[#This Row],[Time]]&lt;1, AllData[[#This Row],[Time]]&gt;=0.75)=TRUE, "Evening", "Night")))</f>
        <v>Afternoon</v>
      </c>
      <c r="G462" t="str">
        <f>_xlfn.XLOOKUP(AllData[[#This Row],[Location Name]], Locations[Location Name],Locations[Group As])</f>
        <v>Abbey Mill</v>
      </c>
      <c r="H462" t="e" vm="1">
        <f>_xlfn.XLOOKUP(AllData[[#This Row],[Site Name]],LocationsKey[Site Name],LocationsKey[District])</f>
        <v>#VALUE!</v>
      </c>
      <c r="I462" t="e" vm="1">
        <f>_xlfn.XLOOKUP(AllData[[#This Row],[Site Name]],LocationsKey[Site Name],LocationsKey[Town])</f>
        <v>#VALUE!</v>
      </c>
      <c r="J462" t="str">
        <f>_xlfn.XLOOKUP(AllData[[#This Row],[Site Name]],LocationsKey[Site Name], LocationsKey[Waterway])</f>
        <v>Avon</v>
      </c>
      <c r="K462" t="s">
        <v>25</v>
      </c>
      <c r="L462">
        <v>51.991146000000001</v>
      </c>
      <c r="M462">
        <v>-2.1623779999999999</v>
      </c>
      <c r="N462" t="s">
        <v>23</v>
      </c>
      <c r="O462">
        <v>511</v>
      </c>
      <c r="P462">
        <v>7.2</v>
      </c>
      <c r="Q462">
        <v>5</v>
      </c>
      <c r="R462" s="7" t="str">
        <f>IF(AllData[[#This Row],[Nitrate (PPM)]]&gt;2, "Very high", IF(AllData[[#This Row],[Nitrate (PPM)]]&gt;1, "High", IF(AllData[[#This Row],[Nitrate (PPM)]]&gt;0.5, "Some evidence", IF(AllData[[#This Row],[Nitrate (PPM)]]&gt;=0, "No evidence"))))</f>
        <v>Very high</v>
      </c>
      <c r="S462" s="4">
        <v>0.51</v>
      </c>
      <c r="T462" s="7" t="str">
        <f>IF(AllData[[#This Row],[Phosphate (PPM)]]&gt;0.5, "Very high", IF(AllData[[#This Row],[Phosphate (PPM)]]&gt;0.1, "High", IF(AllData[[#This Row],[Phosphate (PPM)]]&gt;0.05, "Some evidence", IF(AllData[[#This Row],[Phosphate (PPM)]]&lt;=0.05, "No Evidence", ""))))</f>
        <v>Very high</v>
      </c>
      <c r="U462">
        <v>2.4</v>
      </c>
      <c r="V462" t="s">
        <v>716</v>
      </c>
    </row>
    <row r="463" spans="1:22" x14ac:dyDescent="0.25">
      <c r="A463" t="s">
        <v>717</v>
      </c>
      <c r="B463" s="2">
        <v>45347</v>
      </c>
      <c r="C463" s="2" t="str" cm="1">
        <f t="array" ref="C4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3">
        <v>2023</v>
      </c>
      <c r="E463" s="1">
        <v>0.70833333333333337</v>
      </c>
      <c r="F463" s="2" t="str">
        <f>IF(AND(AllData[[#This Row],[Time]]&lt;0.5, AllData[[#This Row],[Time]]&gt;0.17)=TRUE, "Morning", IF(AND(AllData[[#This Row],[Time]]&lt;0.75, AllData[[#This Row],[Time]]&gt;=0.5)=TRUE, "Afternoon", IF(AND(AllData[[#This Row],[Time]]&lt;1, AllData[[#This Row],[Time]]&gt;=0.75)=TRUE, "Evening", "Night")))</f>
        <v>Afternoon</v>
      </c>
      <c r="G463" t="str">
        <f>_xlfn.XLOOKUP(AllData[[#This Row],[Location Name]], Locations[Location Name],Locations[Group As])</f>
        <v>Sherbourne Brook 1</v>
      </c>
      <c r="H463" t="e" vm="2">
        <f>_xlfn.XLOOKUP(AllData[[#This Row],[Site Name]],LocationsKey[Site Name],LocationsKey[District])</f>
        <v>#VALUE!</v>
      </c>
      <c r="I463" t="e" vm="16">
        <f>_xlfn.XLOOKUP(AllData[[#This Row],[Site Name]],LocationsKey[Site Name],LocationsKey[Town])</f>
        <v>#VALUE!</v>
      </c>
      <c r="J463" t="str">
        <f>_xlfn.XLOOKUP(AllData[[#This Row],[Site Name]],LocationsKey[Site Name], LocationsKey[Waterway])</f>
        <v>Sherbourne Brook</v>
      </c>
      <c r="K463" t="s">
        <v>570</v>
      </c>
      <c r="L463">
        <v>52.252499999999998</v>
      </c>
      <c r="M463">
        <v>-1.6685000000000001</v>
      </c>
      <c r="N463" t="s">
        <v>23</v>
      </c>
      <c r="O463">
        <v>911</v>
      </c>
      <c r="P463">
        <v>7.8</v>
      </c>
      <c r="Q463">
        <v>5</v>
      </c>
      <c r="R463" s="7" t="str">
        <f>IF(AllData[[#This Row],[Nitrate (PPM)]]&gt;2, "Very high", IF(AllData[[#This Row],[Nitrate (PPM)]]&gt;1, "High", IF(AllData[[#This Row],[Nitrate (PPM)]]&gt;0.5, "Some evidence", IF(AllData[[#This Row],[Nitrate (PPM)]]&gt;=0, "No evidence"))))</f>
        <v>Very high</v>
      </c>
      <c r="S463" s="4">
        <v>0.68</v>
      </c>
      <c r="T463" s="7" t="str">
        <f>IF(AllData[[#This Row],[Phosphate (PPM)]]&gt;0.5, "Very high", IF(AllData[[#This Row],[Phosphate (PPM)]]&gt;0.1, "High", IF(AllData[[#This Row],[Phosphate (PPM)]]&gt;0.05, "Some evidence", IF(AllData[[#This Row],[Phosphate (PPM)]]&lt;=0.05, "No Evidence", ""))))</f>
        <v>Very high</v>
      </c>
      <c r="U463">
        <v>0.5</v>
      </c>
    </row>
    <row r="464" spans="1:22" x14ac:dyDescent="0.25">
      <c r="A464" t="s">
        <v>718</v>
      </c>
      <c r="B464" s="2">
        <v>45347</v>
      </c>
      <c r="C464" s="2" t="str" cm="1">
        <f t="array" ref="C4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4">
        <v>2023</v>
      </c>
      <c r="E464" s="1">
        <v>0.71527777777777779</v>
      </c>
      <c r="F464" s="2" t="str">
        <f>IF(AND(AllData[[#This Row],[Time]]&lt;0.5, AllData[[#This Row],[Time]]&gt;0.17)=TRUE, "Morning", IF(AND(AllData[[#This Row],[Time]]&lt;0.75, AllData[[#This Row],[Time]]&gt;=0.5)=TRUE, "Afternoon", IF(AND(AllData[[#This Row],[Time]]&lt;1, AllData[[#This Row],[Time]]&gt;=0.75)=TRUE, "Evening", "Night")))</f>
        <v>Afternoon</v>
      </c>
      <c r="G464" t="str">
        <f>_xlfn.XLOOKUP(AllData[[#This Row],[Location Name]], Locations[Location Name],Locations[Group As])</f>
        <v>Bell Brook 1</v>
      </c>
      <c r="H464" t="e" vm="2">
        <f>_xlfn.XLOOKUP(AllData[[#This Row],[Site Name]],LocationsKey[Site Name],LocationsKey[District])</f>
        <v>#VALUE!</v>
      </c>
      <c r="I464" t="e" vm="15">
        <f>_xlfn.XLOOKUP(AllData[[#This Row],[Site Name]],LocationsKey[Site Name],LocationsKey[Town])</f>
        <v>#VALUE!</v>
      </c>
      <c r="J464" t="str">
        <f>_xlfn.XLOOKUP(AllData[[#This Row],[Site Name]],LocationsKey[Site Name], LocationsKey[Waterway])</f>
        <v>Bell Brook</v>
      </c>
      <c r="K464" t="s">
        <v>534</v>
      </c>
      <c r="L464">
        <v>52.244900000000001</v>
      </c>
      <c r="M464">
        <v>-1.6617</v>
      </c>
      <c r="N464" t="s">
        <v>23</v>
      </c>
      <c r="O464">
        <v>595</v>
      </c>
      <c r="P464">
        <v>7.6</v>
      </c>
      <c r="Q464">
        <v>5</v>
      </c>
      <c r="R464" s="7" t="str">
        <f>IF(AllData[[#This Row],[Nitrate (PPM)]]&gt;2, "Very high", IF(AllData[[#This Row],[Nitrate (PPM)]]&gt;1, "High", IF(AllData[[#This Row],[Nitrate (PPM)]]&gt;0.5, "Some evidence", IF(AllData[[#This Row],[Nitrate (PPM)]]&gt;=0, "No evidence"))))</f>
        <v>Very high</v>
      </c>
      <c r="S464" s="4">
        <v>1.07</v>
      </c>
      <c r="T464" s="7" t="str">
        <f>IF(AllData[[#This Row],[Phosphate (PPM)]]&gt;0.5, "Very high", IF(AllData[[#This Row],[Phosphate (PPM)]]&gt;0.1, "High", IF(AllData[[#This Row],[Phosphate (PPM)]]&gt;0.05, "Some evidence", IF(AllData[[#This Row],[Phosphate (PPM)]]&lt;=0.05, "No Evidence", ""))))</f>
        <v>Very high</v>
      </c>
      <c r="U464">
        <v>0.5</v>
      </c>
    </row>
    <row r="465" spans="1:22" x14ac:dyDescent="0.25">
      <c r="A465" t="s">
        <v>719</v>
      </c>
      <c r="B465" s="2">
        <v>45347</v>
      </c>
      <c r="C465" s="2" t="str" cm="1">
        <f t="array" ref="C4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5">
        <v>2023</v>
      </c>
      <c r="E465" s="1">
        <v>0.78125</v>
      </c>
      <c r="F465" s="2" t="str">
        <f>IF(AND(AllData[[#This Row],[Time]]&lt;0.5, AllData[[#This Row],[Time]]&gt;0.17)=TRUE, "Morning", IF(AND(AllData[[#This Row],[Time]]&lt;0.75, AllData[[#This Row],[Time]]&gt;=0.5)=TRUE, "Afternoon", IF(AND(AllData[[#This Row],[Time]]&lt;1, AllData[[#This Row],[Time]]&gt;=0.75)=TRUE, "Evening", "Night")))</f>
        <v>Evening</v>
      </c>
      <c r="G465" t="str">
        <f>_xlfn.XLOOKUP(AllData[[#This Row],[Location Name]], Locations[Location Name],Locations[Group As])</f>
        <v>Stour Shipston Mill Bridge</v>
      </c>
      <c r="H465" t="e" vm="2">
        <f>_xlfn.XLOOKUP(AllData[[#This Row],[Site Name]],LocationsKey[Site Name],LocationsKey[District])</f>
        <v>#VALUE!</v>
      </c>
      <c r="I465" t="e" vm="10">
        <f>_xlfn.XLOOKUP(AllData[[#This Row],[Site Name]],LocationsKey[Site Name],LocationsKey[Town])</f>
        <v>#VALUE!</v>
      </c>
      <c r="J465" t="str">
        <f>_xlfn.XLOOKUP(AllData[[#This Row],[Site Name]],LocationsKey[Site Name], LocationsKey[Waterway])</f>
        <v>Stour</v>
      </c>
      <c r="K465" t="s">
        <v>432</v>
      </c>
      <c r="L465">
        <v>52.061956000000002</v>
      </c>
      <c r="M465">
        <v>-1.621896</v>
      </c>
      <c r="N465" t="s">
        <v>23</v>
      </c>
      <c r="O465">
        <v>586</v>
      </c>
      <c r="P465">
        <v>7.7</v>
      </c>
      <c r="Q465">
        <v>2</v>
      </c>
      <c r="R465" s="7" t="str">
        <f>IF(AllData[[#This Row],[Nitrate (PPM)]]&gt;2, "Very high", IF(AllData[[#This Row],[Nitrate (PPM)]]&gt;1, "High", IF(AllData[[#This Row],[Nitrate (PPM)]]&gt;0.5, "Some evidence", IF(AllData[[#This Row],[Nitrate (PPM)]]&gt;=0, "No evidence"))))</f>
        <v>High</v>
      </c>
      <c r="S465" s="4">
        <v>0.24</v>
      </c>
      <c r="T465" s="7" t="str">
        <f>IF(AllData[[#This Row],[Phosphate (PPM)]]&gt;0.5, "Very high", IF(AllData[[#This Row],[Phosphate (PPM)]]&gt;0.1, "High", IF(AllData[[#This Row],[Phosphate (PPM)]]&gt;0.05, "Some evidence", IF(AllData[[#This Row],[Phosphate (PPM)]]&lt;=0.05, "No Evidence", ""))))</f>
        <v>High</v>
      </c>
      <c r="U465">
        <v>1.5</v>
      </c>
    </row>
    <row r="466" spans="1:22" x14ac:dyDescent="0.25">
      <c r="A466" t="s">
        <v>1745</v>
      </c>
      <c r="B466" s="2">
        <v>45347</v>
      </c>
      <c r="C466" s="2" t="str" cm="1">
        <f t="array" ref="C4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6">
        <v>2023</v>
      </c>
      <c r="F466" s="2" t="str">
        <f>IF(AND(AllData[[#This Row],[Time]]&lt;0.5, AllData[[#This Row],[Time]]&gt;0.17)=TRUE, "Morning", IF(AND(AllData[[#This Row],[Time]]&lt;0.75, AllData[[#This Row],[Time]]&gt;=0.5)=TRUE, "Afternoon", IF(AND(AllData[[#This Row],[Time]]&lt;1, AllData[[#This Row],[Time]]&gt;=0.75)=TRUE, "Evening", "Night")))</f>
        <v>Night</v>
      </c>
      <c r="G466" t="str">
        <f>_xlfn.XLOOKUP(AllData[[#This Row],[Location Name]], Locations[Location Name],Locations[Group As])</f>
        <v>Site 1  :  Middle Street</v>
      </c>
      <c r="H466" t="e" vm="2">
        <f>_xlfn.XLOOKUP(AllData[[#This Row],[Site Name]],LocationsKey[Site Name],LocationsKey[District])</f>
        <v>#VALUE!</v>
      </c>
      <c r="I466" t="e" vm="11">
        <f>_xlfn.XLOOKUP(AllData[[#This Row],[Site Name]],LocationsKey[Site Name],LocationsKey[Town])</f>
        <v>#VALUE!</v>
      </c>
      <c r="J466" t="str">
        <f>_xlfn.XLOOKUP(AllData[[#This Row],[Site Name]],LocationsKey[Site Name], LocationsKey[Waterway])</f>
        <v>Fosseway Brook</v>
      </c>
      <c r="K466" t="s">
        <v>1859</v>
      </c>
      <c r="L466">
        <v>52.090085000000002</v>
      </c>
      <c r="M466">
        <v>-1.692593</v>
      </c>
      <c r="N466" t="s">
        <v>66</v>
      </c>
      <c r="O466">
        <v>561</v>
      </c>
      <c r="P466">
        <v>8.4</v>
      </c>
      <c r="Q466">
        <v>5</v>
      </c>
      <c r="R466" s="7" t="str">
        <f>IF(AllData[[#This Row],[Nitrate (PPM)]]&gt;2, "Very high", IF(AllData[[#This Row],[Nitrate (PPM)]]&gt;1, "High", IF(AllData[[#This Row],[Nitrate (PPM)]]&gt;0.5, "Some evidence", IF(AllData[[#This Row],[Nitrate (PPM)]]&gt;=0, "No evidence"))))</f>
        <v>Very high</v>
      </c>
      <c r="S466" s="4">
        <v>0.37</v>
      </c>
      <c r="T466" s="7" t="str">
        <f>IF(AllData[[#This Row],[Phosphate (PPM)]]&gt;0.5, "Very high", IF(AllData[[#This Row],[Phosphate (PPM)]]&gt;0.1, "High", IF(AllData[[#This Row],[Phosphate (PPM)]]&gt;0.05, "Some evidence", IF(AllData[[#This Row],[Phosphate (PPM)]]&lt;=0.05, "No Evidence", ""))))</f>
        <v>High</v>
      </c>
      <c r="U466">
        <v>0</v>
      </c>
      <c r="V466" t="s">
        <v>1896</v>
      </c>
    </row>
    <row r="467" spans="1:22" x14ac:dyDescent="0.25">
      <c r="A467" t="s">
        <v>1459</v>
      </c>
      <c r="B467" s="2">
        <v>45347</v>
      </c>
      <c r="C467" s="2" t="str" cm="1">
        <f t="array" ref="C4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7">
        <v>2023</v>
      </c>
      <c r="E467" s="1"/>
      <c r="F467" s="2" t="str">
        <f>IF(AND(AllData[[#This Row],[Time]]&lt;0.5, AllData[[#This Row],[Time]]&gt;0.17)=TRUE, "Morning", IF(AND(AllData[[#This Row],[Time]]&lt;0.75, AllData[[#This Row],[Time]]&gt;=0.5)=TRUE, "Afternoon", IF(AND(AllData[[#This Row],[Time]]&lt;1, AllData[[#This Row],[Time]]&gt;=0.75)=TRUE, "Evening", "Night")))</f>
        <v>Night</v>
      </c>
      <c r="G467" t="str">
        <f>_xlfn.XLOOKUP(AllData[[#This Row],[Location Name]], Locations[Location Name],Locations[Group As])</f>
        <v>Site 1  :  Middle Street</v>
      </c>
      <c r="H467" t="e" vm="2">
        <f>_xlfn.XLOOKUP(AllData[[#This Row],[Site Name]],LocationsKey[Site Name],LocationsKey[District])</f>
        <v>#VALUE!</v>
      </c>
      <c r="I467" t="e" vm="11">
        <f>_xlfn.XLOOKUP(AllData[[#This Row],[Site Name]],LocationsKey[Site Name],LocationsKey[Town])</f>
        <v>#VALUE!</v>
      </c>
      <c r="J467" t="str">
        <f>_xlfn.XLOOKUP(AllData[[#This Row],[Site Name]],LocationsKey[Site Name], LocationsKey[Waterway])</f>
        <v>Fosseway Brook</v>
      </c>
      <c r="K467" t="s">
        <v>1373</v>
      </c>
      <c r="L467">
        <v>52.090085000000002</v>
      </c>
      <c r="M467">
        <v>-1.692593</v>
      </c>
      <c r="N467" t="s">
        <v>66</v>
      </c>
      <c r="O467">
        <v>561</v>
      </c>
      <c r="P467">
        <v>8.4</v>
      </c>
      <c r="Q467">
        <v>5</v>
      </c>
      <c r="R467" s="7" t="str">
        <f>IF(AllData[[#This Row],[Nitrate (PPM)]]&gt;2, "Very high", IF(AllData[[#This Row],[Nitrate (PPM)]]&gt;1, "High", IF(AllData[[#This Row],[Nitrate (PPM)]]&gt;0.5, "Some evidence", IF(AllData[[#This Row],[Nitrate (PPM)]]&gt;=0, "No evidence"))))</f>
        <v>Very high</v>
      </c>
      <c r="S467" s="4">
        <v>0.37</v>
      </c>
      <c r="T467" s="7" t="str">
        <f>IF(AllData[[#This Row],[Phosphate (PPM)]]&gt;0.5, "Very high", IF(AllData[[#This Row],[Phosphate (PPM)]]&gt;0.1, "High", IF(AllData[[#This Row],[Phosphate (PPM)]]&gt;0.05, "Some evidence", IF(AllData[[#This Row],[Phosphate (PPM)]]&lt;=0.05, "No Evidence", ""))))</f>
        <v>High</v>
      </c>
      <c r="V467" t="s">
        <v>1460</v>
      </c>
    </row>
    <row r="468" spans="1:22" x14ac:dyDescent="0.25">
      <c r="A468" t="s">
        <v>1750</v>
      </c>
      <c r="B468" s="2">
        <v>45347</v>
      </c>
      <c r="C468" s="2" t="str" cm="1">
        <f t="array" ref="C4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8">
        <v>2023</v>
      </c>
      <c r="F468" s="2" t="str">
        <f>IF(AND(AllData[[#This Row],[Time]]&lt;0.5, AllData[[#This Row],[Time]]&gt;0.17)=TRUE, "Morning", IF(AND(AllData[[#This Row],[Time]]&lt;0.75, AllData[[#This Row],[Time]]&gt;=0.5)=TRUE, "Afternoon", IF(AND(AllData[[#This Row],[Time]]&lt;1, AllData[[#This Row],[Time]]&gt;=0.75)=TRUE, "Evening", "Night")))</f>
        <v>Night</v>
      </c>
      <c r="G468" t="str">
        <f>_xlfn.XLOOKUP(AllData[[#This Row],[Location Name]], Locations[Location Name],Locations[Group As])</f>
        <v>Site 2  :  Cross Leys culvert</v>
      </c>
      <c r="H468" t="e" vm="2">
        <f>_xlfn.XLOOKUP(AllData[[#This Row],[Site Name]],LocationsKey[Site Name],LocationsKey[District])</f>
        <v>#VALUE!</v>
      </c>
      <c r="I468" t="e" vm="11">
        <f>_xlfn.XLOOKUP(AllData[[#This Row],[Site Name]],LocationsKey[Site Name],LocationsKey[Town])</f>
        <v>#VALUE!</v>
      </c>
      <c r="J468" t="str">
        <f>_xlfn.XLOOKUP(AllData[[#This Row],[Site Name]],LocationsKey[Site Name], LocationsKey[Waterway])</f>
        <v>Fosseway Brook</v>
      </c>
      <c r="K468" t="s">
        <v>1860</v>
      </c>
      <c r="L468">
        <v>52.092967999999999</v>
      </c>
      <c r="M468">
        <v>-1.6862710000000001</v>
      </c>
      <c r="N468" t="s">
        <v>66</v>
      </c>
      <c r="O468">
        <v>625</v>
      </c>
      <c r="P468">
        <v>7.8</v>
      </c>
      <c r="Q468">
        <v>2</v>
      </c>
      <c r="R468" s="7" t="str">
        <f>IF(AllData[[#This Row],[Nitrate (PPM)]]&gt;2, "Very high", IF(AllData[[#This Row],[Nitrate (PPM)]]&gt;1, "High", IF(AllData[[#This Row],[Nitrate (PPM)]]&gt;0.5, "Some evidence", IF(AllData[[#This Row],[Nitrate (PPM)]]&gt;=0, "No evidence"))))</f>
        <v>High</v>
      </c>
      <c r="S468" s="4">
        <v>0.52</v>
      </c>
      <c r="T468" s="7" t="str">
        <f>IF(AllData[[#This Row],[Phosphate (PPM)]]&gt;0.5, "Very high", IF(AllData[[#This Row],[Phosphate (PPM)]]&gt;0.1, "High", IF(AllData[[#This Row],[Phosphate (PPM)]]&gt;0.05, "Some evidence", IF(AllData[[#This Row],[Phosphate (PPM)]]&lt;=0.05, "No Evidence", ""))))</f>
        <v>Very high</v>
      </c>
      <c r="U468">
        <v>0</v>
      </c>
      <c r="V468" t="s">
        <v>1898</v>
      </c>
    </row>
    <row r="469" spans="1:22" x14ac:dyDescent="0.25">
      <c r="A469" t="s">
        <v>1452</v>
      </c>
      <c r="B469" s="2">
        <v>45347</v>
      </c>
      <c r="C469" s="2" t="str" cm="1">
        <f t="array" ref="C4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9">
        <v>2023</v>
      </c>
      <c r="E469" s="1"/>
      <c r="F469" s="2" t="str">
        <f>IF(AND(AllData[[#This Row],[Time]]&lt;0.5, AllData[[#This Row],[Time]]&gt;0.17)=TRUE, "Morning", IF(AND(AllData[[#This Row],[Time]]&lt;0.75, AllData[[#This Row],[Time]]&gt;=0.5)=TRUE, "Afternoon", IF(AND(AllData[[#This Row],[Time]]&lt;1, AllData[[#This Row],[Time]]&gt;=0.75)=TRUE, "Evening", "Night")))</f>
        <v>Night</v>
      </c>
      <c r="G469" t="str">
        <f>_xlfn.XLOOKUP(AllData[[#This Row],[Location Name]], Locations[Location Name],Locations[Group As])</f>
        <v>Site 2  :  Cross Leys culvert</v>
      </c>
      <c r="H469" t="e" vm="2">
        <f>_xlfn.XLOOKUP(AllData[[#This Row],[Site Name]],LocationsKey[Site Name],LocationsKey[District])</f>
        <v>#VALUE!</v>
      </c>
      <c r="I469" t="e" vm="11">
        <f>_xlfn.XLOOKUP(AllData[[#This Row],[Site Name]],LocationsKey[Site Name],LocationsKey[Town])</f>
        <v>#VALUE!</v>
      </c>
      <c r="J469" t="str">
        <f>_xlfn.XLOOKUP(AllData[[#This Row],[Site Name]],LocationsKey[Site Name], LocationsKey[Waterway])</f>
        <v>Fosseway Brook</v>
      </c>
      <c r="K469" t="s">
        <v>1371</v>
      </c>
      <c r="L469">
        <v>52.092967999999999</v>
      </c>
      <c r="M469">
        <v>-1.6862710000000001</v>
      </c>
      <c r="N469" t="s">
        <v>66</v>
      </c>
      <c r="O469">
        <v>625</v>
      </c>
      <c r="P469">
        <v>7.8</v>
      </c>
      <c r="Q469">
        <v>2</v>
      </c>
      <c r="R469" s="7" t="str">
        <f>IF(AllData[[#This Row],[Nitrate (PPM)]]&gt;2, "Very high", IF(AllData[[#This Row],[Nitrate (PPM)]]&gt;1, "High", IF(AllData[[#This Row],[Nitrate (PPM)]]&gt;0.5, "Some evidence", IF(AllData[[#This Row],[Nitrate (PPM)]]&gt;=0, "No evidence"))))</f>
        <v>High</v>
      </c>
      <c r="S469" s="4">
        <v>0.52</v>
      </c>
      <c r="T469" s="7" t="str">
        <f>IF(AllData[[#This Row],[Phosphate (PPM)]]&gt;0.5, "Very high", IF(AllData[[#This Row],[Phosphate (PPM)]]&gt;0.1, "High", IF(AllData[[#This Row],[Phosphate (PPM)]]&gt;0.05, "Some evidence", IF(AllData[[#This Row],[Phosphate (PPM)]]&lt;=0.05, "No Evidence", ""))))</f>
        <v>Very high</v>
      </c>
      <c r="V469" t="s">
        <v>1369</v>
      </c>
    </row>
    <row r="470" spans="1:22" x14ac:dyDescent="0.25">
      <c r="A470" t="s">
        <v>1755</v>
      </c>
      <c r="B470" s="2">
        <v>45347</v>
      </c>
      <c r="C470" s="2" t="str" cm="1">
        <f t="array" ref="C4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0">
        <v>2023</v>
      </c>
      <c r="F470" s="2" t="str">
        <f>IF(AND(AllData[[#This Row],[Time]]&lt;0.5, AllData[[#This Row],[Time]]&gt;0.17)=TRUE, "Morning", IF(AND(AllData[[#This Row],[Time]]&lt;0.75, AllData[[#This Row],[Time]]&gt;=0.5)=TRUE, "Afternoon", IF(AND(AllData[[#This Row],[Time]]&lt;1, AllData[[#This Row],[Time]]&gt;=0.75)=TRUE, "Evening", "Night")))</f>
        <v>Night</v>
      </c>
      <c r="G470" t="str">
        <f>_xlfn.XLOOKUP(AllData[[#This Row],[Location Name]], Locations[Location Name],Locations[Group As])</f>
        <v>Site 3  :  Severn Trent Water processing plant outflow</v>
      </c>
      <c r="H470" t="e" vm="2">
        <f>_xlfn.XLOOKUP(AllData[[#This Row],[Site Name]],LocationsKey[Site Name],LocationsKey[District])</f>
        <v>#VALUE!</v>
      </c>
      <c r="I470" t="e" vm="11">
        <f>_xlfn.XLOOKUP(AllData[[#This Row],[Site Name]],LocationsKey[Site Name],LocationsKey[Town])</f>
        <v>#VALUE!</v>
      </c>
      <c r="J470" t="str">
        <f>_xlfn.XLOOKUP(AllData[[#This Row],[Site Name]],LocationsKey[Site Name], LocationsKey[Waterway])</f>
        <v>Fosseway Brook</v>
      </c>
      <c r="K470" t="s">
        <v>1861</v>
      </c>
      <c r="L470">
        <v>52.094423999999997</v>
      </c>
      <c r="M470">
        <v>-1.6759090000000001</v>
      </c>
      <c r="N470" t="s">
        <v>29</v>
      </c>
      <c r="O470">
        <v>775</v>
      </c>
      <c r="P470">
        <v>8.5</v>
      </c>
      <c r="Q470">
        <v>5</v>
      </c>
      <c r="R470" s="7" t="str">
        <f>IF(AllData[[#This Row],[Nitrate (PPM)]]&gt;2, "Very high", IF(AllData[[#This Row],[Nitrate (PPM)]]&gt;1, "High", IF(AllData[[#This Row],[Nitrate (PPM)]]&gt;0.5, "Some evidence", IF(AllData[[#This Row],[Nitrate (PPM)]]&gt;=0, "No evidence"))))</f>
        <v>Very high</v>
      </c>
      <c r="S470" s="4">
        <v>2.5</v>
      </c>
      <c r="T470" s="7" t="str">
        <f>IF(AllData[[#This Row],[Phosphate (PPM)]]&gt;0.5, "Very high", IF(AllData[[#This Row],[Phosphate (PPM)]]&gt;0.1, "High", IF(AllData[[#This Row],[Phosphate (PPM)]]&gt;0.05, "Some evidence", IF(AllData[[#This Row],[Phosphate (PPM)]]&lt;=0.05, "No Evidence", ""))))</f>
        <v>Very high</v>
      </c>
      <c r="U470">
        <v>0</v>
      </c>
      <c r="V470" t="s">
        <v>1901</v>
      </c>
    </row>
    <row r="471" spans="1:22" x14ac:dyDescent="0.25">
      <c r="A471" t="s">
        <v>1446</v>
      </c>
      <c r="B471" s="2">
        <v>45347</v>
      </c>
      <c r="C471" s="2" t="str" cm="1">
        <f t="array" ref="C4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1">
        <v>2023</v>
      </c>
      <c r="E471" s="1"/>
      <c r="F471" s="2" t="str">
        <f>IF(AND(AllData[[#This Row],[Time]]&lt;0.5, AllData[[#This Row],[Time]]&gt;0.17)=TRUE, "Morning", IF(AND(AllData[[#This Row],[Time]]&lt;0.75, AllData[[#This Row],[Time]]&gt;=0.5)=TRUE, "Afternoon", IF(AND(AllData[[#This Row],[Time]]&lt;1, AllData[[#This Row],[Time]]&gt;=0.75)=TRUE, "Evening", "Night")))</f>
        <v>Night</v>
      </c>
      <c r="G471" t="str">
        <f>_xlfn.XLOOKUP(AllData[[#This Row],[Location Name]], Locations[Location Name],Locations[Group As])</f>
        <v>Site 3  :  Severn Trent Water processing plant outflow</v>
      </c>
      <c r="H471" t="e" vm="2">
        <f>_xlfn.XLOOKUP(AllData[[#This Row],[Site Name]],LocationsKey[Site Name],LocationsKey[District])</f>
        <v>#VALUE!</v>
      </c>
      <c r="I471" t="e" vm="11">
        <f>_xlfn.XLOOKUP(AllData[[#This Row],[Site Name]],LocationsKey[Site Name],LocationsKey[Town])</f>
        <v>#VALUE!</v>
      </c>
      <c r="J471" t="str">
        <f>_xlfn.XLOOKUP(AllData[[#This Row],[Site Name]],LocationsKey[Site Name], LocationsKey[Waterway])</f>
        <v>Fosseway Brook</v>
      </c>
      <c r="K471" t="s">
        <v>1368</v>
      </c>
      <c r="L471">
        <v>52.094423999999997</v>
      </c>
      <c r="M471">
        <v>-1.6759090000000001</v>
      </c>
      <c r="N471" t="s">
        <v>29</v>
      </c>
      <c r="O471">
        <v>775</v>
      </c>
      <c r="P471">
        <v>8.5</v>
      </c>
      <c r="Q471">
        <v>5</v>
      </c>
      <c r="R471" s="7" t="str">
        <f>IF(AllData[[#This Row],[Nitrate (PPM)]]&gt;2, "Very high", IF(AllData[[#This Row],[Nitrate (PPM)]]&gt;1, "High", IF(AllData[[#This Row],[Nitrate (PPM)]]&gt;0.5, "Some evidence", IF(AllData[[#This Row],[Nitrate (PPM)]]&gt;=0, "No evidence"))))</f>
        <v>Very high</v>
      </c>
      <c r="S471" s="4">
        <v>2.5</v>
      </c>
      <c r="T471" s="7" t="str">
        <f>IF(AllData[[#This Row],[Phosphate (PPM)]]&gt;0.5, "Very high", IF(AllData[[#This Row],[Phosphate (PPM)]]&gt;0.1, "High", IF(AllData[[#This Row],[Phosphate (PPM)]]&gt;0.05, "Some evidence", IF(AllData[[#This Row],[Phosphate (PPM)]]&lt;=0.05, "No Evidence", ""))))</f>
        <v>Very high</v>
      </c>
      <c r="V471" t="s">
        <v>1369</v>
      </c>
    </row>
    <row r="472" spans="1:22" x14ac:dyDescent="0.25">
      <c r="A472" t="s">
        <v>720</v>
      </c>
      <c r="B472" s="2">
        <v>45348</v>
      </c>
      <c r="C472" s="2" t="str" cm="1">
        <f t="array" ref="C4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2">
        <v>2023</v>
      </c>
      <c r="E472" s="1">
        <v>0.36458333333333331</v>
      </c>
      <c r="F472" s="2" t="str">
        <f>IF(AND(AllData[[#This Row],[Time]]&lt;0.5, AllData[[#This Row],[Time]]&gt;0.17)=TRUE, "Morning", IF(AND(AllData[[#This Row],[Time]]&lt;0.75, AllData[[#This Row],[Time]]&gt;=0.5)=TRUE, "Afternoon", IF(AND(AllData[[#This Row],[Time]]&lt;1, AllData[[#This Row],[Time]]&gt;=0.75)=TRUE, "Evening", "Night")))</f>
        <v>Morning</v>
      </c>
      <c r="G472" t="str">
        <f>_xlfn.XLOOKUP(AllData[[#This Row],[Location Name]], Locations[Location Name],Locations[Group As])</f>
        <v>Stour Stretton-on-Fosse Village</v>
      </c>
      <c r="H472" t="e" vm="2">
        <f>_xlfn.XLOOKUP(AllData[[#This Row],[Site Name]],LocationsKey[Site Name],LocationsKey[District])</f>
        <v>#VALUE!</v>
      </c>
      <c r="I472" t="e" vm="14">
        <f>_xlfn.XLOOKUP(AllData[[#This Row],[Site Name]],LocationsKey[Site Name],LocationsKey[Town])</f>
        <v>#VALUE!</v>
      </c>
      <c r="J472" t="str">
        <f>_xlfn.XLOOKUP(AllData[[#This Row],[Site Name]],LocationsKey[Site Name], LocationsKey[Waterway])</f>
        <v>Stour</v>
      </c>
      <c r="K472" t="s">
        <v>544</v>
      </c>
      <c r="L472">
        <v>52.046529</v>
      </c>
      <c r="M472">
        <v>-1.6734070000000001</v>
      </c>
      <c r="N472" t="s">
        <v>66</v>
      </c>
      <c r="O472">
        <v>564</v>
      </c>
      <c r="P472">
        <v>6</v>
      </c>
      <c r="Q472">
        <v>2</v>
      </c>
      <c r="R472" s="7" t="str">
        <f>IF(AllData[[#This Row],[Nitrate (PPM)]]&gt;2, "Very high", IF(AllData[[#This Row],[Nitrate (PPM)]]&gt;1, "High", IF(AllData[[#This Row],[Nitrate (PPM)]]&gt;0.5, "Some evidence", IF(AllData[[#This Row],[Nitrate (PPM)]]&gt;=0, "No evidence"))))</f>
        <v>High</v>
      </c>
      <c r="S472" s="4">
        <v>1.0900000000000001</v>
      </c>
      <c r="T472" s="7" t="str">
        <f>IF(AllData[[#This Row],[Phosphate (PPM)]]&gt;0.5, "Very high", IF(AllData[[#This Row],[Phosphate (PPM)]]&gt;0.1, "High", IF(AllData[[#This Row],[Phosphate (PPM)]]&gt;0.05, "Some evidence", IF(AllData[[#This Row],[Phosphate (PPM)]]&lt;=0.05, "No Evidence", ""))))</f>
        <v>Very high</v>
      </c>
      <c r="U472">
        <v>0.15</v>
      </c>
    </row>
    <row r="473" spans="1:22" x14ac:dyDescent="0.25">
      <c r="A473" t="s">
        <v>721</v>
      </c>
      <c r="B473" s="2">
        <v>45348</v>
      </c>
      <c r="C473" s="2" t="str" cm="1">
        <f t="array" ref="C4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3">
        <v>2023</v>
      </c>
      <c r="E473" s="1">
        <v>0.39166666666666666</v>
      </c>
      <c r="F473" s="2" t="str">
        <f>IF(AND(AllData[[#This Row],[Time]]&lt;0.5, AllData[[#This Row],[Time]]&gt;0.17)=TRUE, "Morning", IF(AND(AllData[[#This Row],[Time]]&lt;0.75, AllData[[#This Row],[Time]]&gt;=0.5)=TRUE, "Afternoon", IF(AND(AllData[[#This Row],[Time]]&lt;1, AllData[[#This Row],[Time]]&gt;=0.75)=TRUE, "Evening", "Night")))</f>
        <v>Morning</v>
      </c>
      <c r="G473" t="str">
        <f>_xlfn.XLOOKUP(AllData[[#This Row],[Location Name]], Locations[Location Name],Locations[Group As])</f>
        <v>Stour Stretton-on-Fosse Sewage Works</v>
      </c>
      <c r="H473" t="e" vm="2">
        <f>_xlfn.XLOOKUP(AllData[[#This Row],[Site Name]],LocationsKey[Site Name],LocationsKey[District])</f>
        <v>#VALUE!</v>
      </c>
      <c r="I473" t="e" vm="14">
        <f>_xlfn.XLOOKUP(AllData[[#This Row],[Site Name]],LocationsKey[Site Name],LocationsKey[Town])</f>
        <v>#VALUE!</v>
      </c>
      <c r="J473" t="str">
        <f>_xlfn.XLOOKUP(AllData[[#This Row],[Site Name]],LocationsKey[Site Name], LocationsKey[Waterway])</f>
        <v>Stour</v>
      </c>
      <c r="K473" t="s">
        <v>335</v>
      </c>
      <c r="L473">
        <v>52.045724</v>
      </c>
      <c r="M473">
        <v>-1.6718580000000001</v>
      </c>
      <c r="N473" t="s">
        <v>29</v>
      </c>
      <c r="O473">
        <v>628</v>
      </c>
      <c r="P473">
        <v>6.5</v>
      </c>
      <c r="Q473">
        <v>3.5</v>
      </c>
      <c r="R473" s="7" t="str">
        <f>IF(AllData[[#This Row],[Nitrate (PPM)]]&gt;2, "Very high", IF(AllData[[#This Row],[Nitrate (PPM)]]&gt;1, "High", IF(AllData[[#This Row],[Nitrate (PPM)]]&gt;0.5, "Some evidence", IF(AllData[[#This Row],[Nitrate (PPM)]]&gt;=0, "No evidence"))))</f>
        <v>Very high</v>
      </c>
      <c r="S473" s="4">
        <v>2.04</v>
      </c>
      <c r="T473" s="7" t="str">
        <f>IF(AllData[[#This Row],[Phosphate (PPM)]]&gt;0.5, "Very high", IF(AllData[[#This Row],[Phosphate (PPM)]]&gt;0.1, "High", IF(AllData[[#This Row],[Phosphate (PPM)]]&gt;0.05, "Some evidence", IF(AllData[[#This Row],[Phosphate (PPM)]]&lt;=0.05, "No Evidence", ""))))</f>
        <v>Very high</v>
      </c>
      <c r="U473">
        <v>0.25</v>
      </c>
    </row>
    <row r="474" spans="1:22" x14ac:dyDescent="0.25">
      <c r="A474" t="s">
        <v>722</v>
      </c>
      <c r="B474" s="2">
        <v>45348</v>
      </c>
      <c r="C474" s="2" t="str" cm="1">
        <f t="array" ref="C4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4">
        <v>2023</v>
      </c>
      <c r="E474" s="1">
        <v>0.69791666666666663</v>
      </c>
      <c r="F474" s="2" t="str">
        <f>IF(AND(AllData[[#This Row],[Time]]&lt;0.5, AllData[[#This Row],[Time]]&gt;0.17)=TRUE, "Morning", IF(AND(AllData[[#This Row],[Time]]&lt;0.75, AllData[[#This Row],[Time]]&gt;=0.5)=TRUE, "Afternoon", IF(AND(AllData[[#This Row],[Time]]&lt;1, AllData[[#This Row],[Time]]&gt;=0.75)=TRUE, "Evening", "Night")))</f>
        <v>Afternoon</v>
      </c>
      <c r="G474" t="str">
        <f>_xlfn.XLOOKUP(AllData[[#This Row],[Location Name]], Locations[Location Name],Locations[Group As])</f>
        <v>Clifford Chambers Mill Bridge</v>
      </c>
      <c r="H474" t="e" vm="2">
        <f>_xlfn.XLOOKUP(AllData[[#This Row],[Site Name]],LocationsKey[Site Name],LocationsKey[District])</f>
        <v>#VALUE!</v>
      </c>
      <c r="I474" t="e" vm="12">
        <f>_xlfn.XLOOKUP(AllData[[#This Row],[Site Name]],LocationsKey[Site Name],LocationsKey[Town])</f>
        <v>#VALUE!</v>
      </c>
      <c r="J474" t="str">
        <f>_xlfn.XLOOKUP(AllData[[#This Row],[Site Name]],LocationsKey[Site Name], LocationsKey[Waterway])</f>
        <v>Stour</v>
      </c>
      <c r="K474" t="s">
        <v>723</v>
      </c>
      <c r="L474">
        <v>52.166370000000001</v>
      </c>
      <c r="M474">
        <v>-1.708032</v>
      </c>
      <c r="N474" t="s">
        <v>66</v>
      </c>
      <c r="O474">
        <v>615</v>
      </c>
      <c r="P474">
        <v>8.6999999999999993</v>
      </c>
      <c r="Q474">
        <v>5</v>
      </c>
      <c r="R474" s="7" t="str">
        <f>IF(AllData[[#This Row],[Nitrate (PPM)]]&gt;2, "Very high", IF(AllData[[#This Row],[Nitrate (PPM)]]&gt;1, "High", IF(AllData[[#This Row],[Nitrate (PPM)]]&gt;0.5, "Some evidence", IF(AllData[[#This Row],[Nitrate (PPM)]]&gt;=0, "No evidence"))))</f>
        <v>Very high</v>
      </c>
      <c r="S474" s="4">
        <v>0.21</v>
      </c>
      <c r="T474" s="7" t="str">
        <f>IF(AllData[[#This Row],[Phosphate (PPM)]]&gt;0.5, "Very high", IF(AllData[[#This Row],[Phosphate (PPM)]]&gt;0.1, "High", IF(AllData[[#This Row],[Phosphate (PPM)]]&gt;0.05, "Some evidence", IF(AllData[[#This Row],[Phosphate (PPM)]]&lt;=0.05, "No Evidence", ""))))</f>
        <v>High</v>
      </c>
      <c r="U474">
        <v>1.25</v>
      </c>
      <c r="V474" t="s">
        <v>724</v>
      </c>
    </row>
    <row r="475" spans="1:22" x14ac:dyDescent="0.25">
      <c r="A475" t="s">
        <v>725</v>
      </c>
      <c r="B475" s="2">
        <v>45350</v>
      </c>
      <c r="C475" s="2" t="str" cm="1">
        <f t="array" ref="C4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5">
        <v>2023</v>
      </c>
      <c r="E475" s="1">
        <v>0.6</v>
      </c>
      <c r="F475" s="2" t="str">
        <f>IF(AND(AllData[[#This Row],[Time]]&lt;0.5, AllData[[#This Row],[Time]]&gt;0.17)=TRUE, "Morning", IF(AND(AllData[[#This Row],[Time]]&lt;0.75, AllData[[#This Row],[Time]]&gt;=0.5)=TRUE, "Afternoon", IF(AND(AllData[[#This Row],[Time]]&lt;1, AllData[[#This Row],[Time]]&gt;=0.75)=TRUE, "Evening", "Night")))</f>
        <v>Afternoon</v>
      </c>
      <c r="G475" t="str">
        <f>_xlfn.XLOOKUP(AllData[[#This Row],[Location Name]], Locations[Location Name],Locations[Group As])</f>
        <v>Alveston Weir</v>
      </c>
      <c r="H475" t="e" vm="2">
        <f>_xlfn.XLOOKUP(AllData[[#This Row],[Site Name]],LocationsKey[Site Name],LocationsKey[District])</f>
        <v>#VALUE!</v>
      </c>
      <c r="I475" t="e" vm="13">
        <f>_xlfn.XLOOKUP(AllData[[#This Row],[Site Name]],LocationsKey[Site Name],LocationsKey[Town])</f>
        <v>#VALUE!</v>
      </c>
      <c r="J475" t="str">
        <f>_xlfn.XLOOKUP(AllData[[#This Row],[Site Name]],LocationsKey[Site Name], LocationsKey[Waterway])</f>
        <v>Avon</v>
      </c>
      <c r="K475" t="s">
        <v>286</v>
      </c>
      <c r="L475">
        <v>52.214297999999999</v>
      </c>
      <c r="M475">
        <v>-1.660155</v>
      </c>
      <c r="N475" t="s">
        <v>29</v>
      </c>
      <c r="O475" s="219">
        <v>616</v>
      </c>
      <c r="P475">
        <v>9.1999999999999993</v>
      </c>
      <c r="Q475" s="219">
        <v>2</v>
      </c>
      <c r="R475" s="7" t="str">
        <f>IF(AllData[[#This Row],[Nitrate (PPM)]]&gt;2, "Very high", IF(AllData[[#This Row],[Nitrate (PPM)]]&gt;1, "High", IF(AllData[[#This Row],[Nitrate (PPM)]]&gt;0.5, "Some evidence", IF(AllData[[#This Row],[Nitrate (PPM)]]&gt;=0, "No evidence"))))</f>
        <v>High</v>
      </c>
      <c r="S475" s="221">
        <v>0.4</v>
      </c>
      <c r="T475" s="7" t="str">
        <f>IF(AllData[[#This Row],[Phosphate (PPM)]]&gt;0.5, "Very high", IF(AllData[[#This Row],[Phosphate (PPM)]]&gt;0.1, "High", IF(AllData[[#This Row],[Phosphate (PPM)]]&gt;0.05, "Some evidence", IF(AllData[[#This Row],[Phosphate (PPM)]]&lt;=0.05, "No Evidence", ""))))</f>
        <v>High</v>
      </c>
      <c r="U475">
        <v>0</v>
      </c>
      <c r="V475" t="s">
        <v>726</v>
      </c>
    </row>
    <row r="476" spans="1:22" x14ac:dyDescent="0.25">
      <c r="A476" t="s">
        <v>727</v>
      </c>
      <c r="B476" s="2">
        <v>45350</v>
      </c>
      <c r="C476" s="2" t="str" cm="1">
        <f t="array" ref="C4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6">
        <v>2023</v>
      </c>
      <c r="E476" s="1">
        <v>0.60972222222222228</v>
      </c>
      <c r="F476" s="2" t="str">
        <f>IF(AND(AllData[[#This Row],[Time]]&lt;0.5, AllData[[#This Row],[Time]]&gt;0.17)=TRUE, "Morning", IF(AND(AllData[[#This Row],[Time]]&lt;0.75, AllData[[#This Row],[Time]]&gt;=0.5)=TRUE, "Afternoon", IF(AND(AllData[[#This Row],[Time]]&lt;1, AllData[[#This Row],[Time]]&gt;=0.75)=TRUE, "Evening", "Night")))</f>
        <v>Afternoon</v>
      </c>
      <c r="G476" t="str">
        <f>_xlfn.XLOOKUP(AllData[[#This Row],[Location Name]], Locations[Location Name],Locations[Group As])</f>
        <v>Swiffen Bank</v>
      </c>
      <c r="H476" t="e" vm="2">
        <f>_xlfn.XLOOKUP(AllData[[#This Row],[Site Name]],LocationsKey[Site Name],LocationsKey[District])</f>
        <v>#VALUE!</v>
      </c>
      <c r="I476" t="e" vm="13">
        <f>_xlfn.XLOOKUP(AllData[[#This Row],[Site Name]],LocationsKey[Site Name],LocationsKey[Town])</f>
        <v>#VALUE!</v>
      </c>
      <c r="J476" t="str">
        <f>_xlfn.XLOOKUP(AllData[[#This Row],[Site Name]],LocationsKey[Site Name], LocationsKey[Waterway])</f>
        <v>Avon</v>
      </c>
      <c r="K476" t="s">
        <v>284</v>
      </c>
      <c r="L476">
        <v>52.206477999999997</v>
      </c>
      <c r="M476">
        <v>-1.653894</v>
      </c>
      <c r="N476" t="s">
        <v>29</v>
      </c>
      <c r="O476">
        <v>613</v>
      </c>
      <c r="P476">
        <v>10.4</v>
      </c>
      <c r="Q476">
        <v>5</v>
      </c>
      <c r="R476" s="7" t="str">
        <f>IF(AllData[[#This Row],[Nitrate (PPM)]]&gt;2, "Very high", IF(AllData[[#This Row],[Nitrate (PPM)]]&gt;1, "High", IF(AllData[[#This Row],[Nitrate (PPM)]]&gt;0.5, "Some evidence", IF(AllData[[#This Row],[Nitrate (PPM)]]&gt;=0, "No evidence"))))</f>
        <v>Very high</v>
      </c>
      <c r="S476" s="4">
        <v>0.44</v>
      </c>
      <c r="T476" s="7" t="str">
        <f>IF(AllData[[#This Row],[Phosphate (PPM)]]&gt;0.5, "Very high", IF(AllData[[#This Row],[Phosphate (PPM)]]&gt;0.1, "High", IF(AllData[[#This Row],[Phosphate (PPM)]]&gt;0.05, "Some evidence", IF(AllData[[#This Row],[Phosphate (PPM)]]&lt;=0.05, "No Evidence", ""))))</f>
        <v>High</v>
      </c>
      <c r="U476">
        <v>0.5</v>
      </c>
    </row>
    <row r="477" spans="1:22" x14ac:dyDescent="0.25">
      <c r="A477" t="s">
        <v>728</v>
      </c>
      <c r="B477" s="2">
        <v>45350</v>
      </c>
      <c r="C477" s="2" t="str" cm="1">
        <f t="array" ref="C4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7">
        <v>2023</v>
      </c>
      <c r="E477" s="1">
        <v>0.70833333333333337</v>
      </c>
      <c r="F477" s="2" t="str">
        <f>IF(AND(AllData[[#This Row],[Time]]&lt;0.5, AllData[[#This Row],[Time]]&gt;0.17)=TRUE, "Morning", IF(AND(AllData[[#This Row],[Time]]&lt;0.75, AllData[[#This Row],[Time]]&gt;=0.5)=TRUE, "Afternoon", IF(AND(AllData[[#This Row],[Time]]&lt;1, AllData[[#This Row],[Time]]&gt;=0.75)=TRUE, "Evening", "Night")))</f>
        <v>Afternoon</v>
      </c>
      <c r="G477" t="str">
        <f>_xlfn.XLOOKUP(AllData[[#This Row],[Location Name]], Locations[Location Name],Locations[Group As])</f>
        <v>Stour Newbold Mill</v>
      </c>
      <c r="H477" t="e" vm="2">
        <f>_xlfn.XLOOKUP(AllData[[#This Row],[Site Name]],LocationsKey[Site Name],LocationsKey[District])</f>
        <v>#VALUE!</v>
      </c>
      <c r="I477" t="e" vm="8">
        <f>_xlfn.XLOOKUP(AllData[[#This Row],[Site Name]],LocationsKey[Site Name],LocationsKey[Town])</f>
        <v>#VALUE!</v>
      </c>
      <c r="J477" t="str">
        <f>_xlfn.XLOOKUP(AllData[[#This Row],[Site Name]],LocationsKey[Site Name], LocationsKey[Waterway])</f>
        <v>Stour</v>
      </c>
      <c r="K477" t="s">
        <v>140</v>
      </c>
      <c r="L477">
        <v>52.112834999999997</v>
      </c>
      <c r="M477">
        <v>-1.633446</v>
      </c>
      <c r="N477" t="s">
        <v>29</v>
      </c>
      <c r="O477">
        <v>643</v>
      </c>
      <c r="P477">
        <v>13</v>
      </c>
      <c r="Q477">
        <v>5</v>
      </c>
      <c r="R477" s="7" t="str">
        <f>IF(AllData[[#This Row],[Nitrate (PPM)]]&gt;2, "Very high", IF(AllData[[#This Row],[Nitrate (PPM)]]&gt;1, "High", IF(AllData[[#This Row],[Nitrate (PPM)]]&gt;0.5, "Some evidence", IF(AllData[[#This Row],[Nitrate (PPM)]]&gt;=0, "No evidence"))))</f>
        <v>Very high</v>
      </c>
      <c r="S477" s="4">
        <v>0.36</v>
      </c>
      <c r="T477" s="7" t="str">
        <f>IF(AllData[[#This Row],[Phosphate (PPM)]]&gt;0.5, "Very high", IF(AllData[[#This Row],[Phosphate (PPM)]]&gt;0.1, "High", IF(AllData[[#This Row],[Phosphate (PPM)]]&gt;0.05, "Some evidence", IF(AllData[[#This Row],[Phosphate (PPM)]]&lt;=0.05, "No Evidence", ""))))</f>
        <v>High</v>
      </c>
      <c r="U477">
        <v>2.5</v>
      </c>
      <c r="V477" t="s">
        <v>729</v>
      </c>
    </row>
    <row r="478" spans="1:22" x14ac:dyDescent="0.25">
      <c r="A478" t="s">
        <v>730</v>
      </c>
      <c r="B478" s="2">
        <v>45351</v>
      </c>
      <c r="C478" s="2" t="str" cm="1">
        <f t="array" ref="C4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8">
        <v>2023</v>
      </c>
      <c r="E478" s="1">
        <v>0.4375</v>
      </c>
      <c r="F478" s="2" t="str">
        <f>IF(AND(AllData[[#This Row],[Time]]&lt;0.5, AllData[[#This Row],[Time]]&gt;0.17)=TRUE, "Morning", IF(AND(AllData[[#This Row],[Time]]&lt;0.75, AllData[[#This Row],[Time]]&gt;=0.5)=TRUE, "Afternoon", IF(AND(AllData[[#This Row],[Time]]&lt;1, AllData[[#This Row],[Time]]&gt;=0.75)=TRUE, "Evening", "Night")))</f>
        <v>Morning</v>
      </c>
      <c r="G478" t="str">
        <f>_xlfn.XLOOKUP(AllData[[#This Row],[Location Name]], Locations[Location Name],Locations[Group As])</f>
        <v>Swilgate</v>
      </c>
      <c r="H478" t="e" vm="1">
        <f>_xlfn.XLOOKUP(AllData[[#This Row],[Site Name]],LocationsKey[Site Name],LocationsKey[District])</f>
        <v>#VALUE!</v>
      </c>
      <c r="I478" t="e" vm="1">
        <f>_xlfn.XLOOKUP(AllData[[#This Row],[Site Name]],LocationsKey[Site Name],LocationsKey[Town])</f>
        <v>#VALUE!</v>
      </c>
      <c r="J478" t="str">
        <f>_xlfn.XLOOKUP(AllData[[#This Row],[Site Name]],LocationsKey[Site Name], LocationsKey[Waterway])</f>
        <v>Swilgate</v>
      </c>
      <c r="K478" t="s">
        <v>84</v>
      </c>
      <c r="N478" t="s">
        <v>23</v>
      </c>
      <c r="O478">
        <v>709</v>
      </c>
      <c r="P478">
        <v>10.1</v>
      </c>
      <c r="Q478">
        <v>3</v>
      </c>
      <c r="R478" s="7" t="str">
        <f>IF(AllData[[#This Row],[Nitrate (PPM)]]&gt;2, "Very high", IF(AllData[[#This Row],[Nitrate (PPM)]]&gt;1, "High", IF(AllData[[#This Row],[Nitrate (PPM)]]&gt;0.5, "Some evidence", IF(AllData[[#This Row],[Nitrate (PPM)]]&gt;=0, "No evidence"))))</f>
        <v>Very high</v>
      </c>
      <c r="S478" s="4">
        <v>0.47</v>
      </c>
      <c r="T478" s="7" t="str">
        <f>IF(AllData[[#This Row],[Phosphate (PPM)]]&gt;0.5, "Very high", IF(AllData[[#This Row],[Phosphate (PPM)]]&gt;0.1, "High", IF(AllData[[#This Row],[Phosphate (PPM)]]&gt;0.05, "Some evidence", IF(AllData[[#This Row],[Phosphate (PPM)]]&lt;=0.05, "No Evidence", ""))))</f>
        <v>High</v>
      </c>
      <c r="U478">
        <v>2</v>
      </c>
    </row>
    <row r="479" spans="1:22" x14ac:dyDescent="0.25">
      <c r="A479" t="s">
        <v>731</v>
      </c>
      <c r="B479" s="2">
        <v>45352</v>
      </c>
      <c r="C479" s="2" t="str" cm="1">
        <f t="array" ref="C4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79">
        <f>YEAR(AllData[[#This Row],[Date]])</f>
        <v>2024</v>
      </c>
      <c r="E479" s="1">
        <v>0.50277777777777777</v>
      </c>
      <c r="F479" s="2" t="str">
        <f>IF(AND(AllData[[#This Row],[Time]]&lt;0.5, AllData[[#This Row],[Time]]&gt;0.17)=TRUE, "Morning", IF(AND(AllData[[#This Row],[Time]]&lt;0.75, AllData[[#This Row],[Time]]&gt;=0.5)=TRUE, "Afternoon", IF(AND(AllData[[#This Row],[Time]]&lt;1, AllData[[#This Row],[Time]]&gt;=0.75)=TRUE, "Evening", "Night")))</f>
        <v>Afternoon</v>
      </c>
      <c r="G479" t="str">
        <f>_xlfn.XLOOKUP(AllData[[#This Row],[Location Name]], Locations[Location Name],Locations[Group As])</f>
        <v>Walcot Lane, Bow Brook Ford</v>
      </c>
      <c r="H479" t="e" vm="17">
        <f>_xlfn.XLOOKUP(AllData[[#This Row],[Site Name]],LocationsKey[Site Name],LocationsKey[District])</f>
        <v>#VALUE!</v>
      </c>
      <c r="I479" t="e" vm="18">
        <f>_xlfn.XLOOKUP(AllData[[#This Row],[Site Name]],LocationsKey[Site Name],LocationsKey[Town])</f>
        <v>#VALUE!</v>
      </c>
      <c r="J479" t="str">
        <f>_xlfn.XLOOKUP(AllData[[#This Row],[Site Name]],LocationsKey[Site Name], LocationsKey[Waterway])</f>
        <v>Bow Brook</v>
      </c>
      <c r="K479" t="s">
        <v>732</v>
      </c>
      <c r="L479">
        <v>52.130479999999999</v>
      </c>
      <c r="M479">
        <v>-2.0785809999999998</v>
      </c>
      <c r="N479" t="s">
        <v>733</v>
      </c>
      <c r="O479">
        <v>693</v>
      </c>
      <c r="P479">
        <v>9.1</v>
      </c>
      <c r="Q479">
        <v>5</v>
      </c>
      <c r="R479" s="7" t="str">
        <f>IF(AllData[[#This Row],[Nitrate (PPM)]]&gt;2, "Very high", IF(AllData[[#This Row],[Nitrate (PPM)]]&gt;1, "High", IF(AllData[[#This Row],[Nitrate (PPM)]]&gt;0.5, "Some evidence", IF(AllData[[#This Row],[Nitrate (PPM)]]&gt;=0, "No evidence"))))</f>
        <v>Very high</v>
      </c>
      <c r="S479" s="4">
        <v>0.7</v>
      </c>
      <c r="T479" s="7" t="str">
        <f>IF(AllData[[#This Row],[Phosphate (PPM)]]&gt;0.5, "Very high", IF(AllData[[#This Row],[Phosphate (PPM)]]&gt;0.1, "High", IF(AllData[[#This Row],[Phosphate (PPM)]]&gt;0.05, "Some evidence", IF(AllData[[#This Row],[Phosphate (PPM)]]&lt;=0.05, "No Evidence", ""))))</f>
        <v>Very high</v>
      </c>
      <c r="U479">
        <v>0.9</v>
      </c>
      <c r="V479" t="s">
        <v>734</v>
      </c>
    </row>
    <row r="480" spans="1:22" x14ac:dyDescent="0.25">
      <c r="A480" t="s">
        <v>735</v>
      </c>
      <c r="B480" s="2">
        <v>45352</v>
      </c>
      <c r="C480" s="2" t="str" cm="1">
        <f t="array" ref="C4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0">
        <f>YEAR(AllData[[#This Row],[Date]])</f>
        <v>2024</v>
      </c>
      <c r="E480" s="1">
        <v>0.52569444444444446</v>
      </c>
      <c r="F480" s="2" t="str">
        <f>IF(AND(AllData[[#This Row],[Time]]&lt;0.5, AllData[[#This Row],[Time]]&gt;0.17)=TRUE, "Morning", IF(AND(AllData[[#This Row],[Time]]&lt;0.75, AllData[[#This Row],[Time]]&gt;=0.5)=TRUE, "Afternoon", IF(AND(AllData[[#This Row],[Time]]&lt;1, AllData[[#This Row],[Time]]&gt;=0.75)=TRUE, "Evening", "Night")))</f>
        <v>Afternoon</v>
      </c>
      <c r="G480" t="str">
        <f>_xlfn.XLOOKUP(AllData[[#This Row],[Location Name]], Locations[Location Name],Locations[Group As])</f>
        <v>Preston-on-Stour River Bridge</v>
      </c>
      <c r="H480" t="e" vm="2">
        <f>_xlfn.XLOOKUP(AllData[[#This Row],[Site Name]],LocationsKey[Site Name],LocationsKey[District])</f>
        <v>#VALUE!</v>
      </c>
      <c r="I480" t="e" vm="9">
        <f>_xlfn.XLOOKUP(AllData[[#This Row],[Site Name]],LocationsKey[Site Name],LocationsKey[Town])</f>
        <v>#VALUE!</v>
      </c>
      <c r="J480" t="str">
        <f>_xlfn.XLOOKUP(AllData[[#This Row],[Site Name]],LocationsKey[Site Name], LocationsKey[Waterway])</f>
        <v>Stour</v>
      </c>
      <c r="K480" t="s">
        <v>163</v>
      </c>
      <c r="L480">
        <v>52.146528000000004</v>
      </c>
      <c r="M480">
        <v>-1.699854</v>
      </c>
      <c r="N480" t="s">
        <v>29</v>
      </c>
      <c r="O480" s="219">
        <v>623</v>
      </c>
      <c r="P480">
        <v>7.8</v>
      </c>
      <c r="Q480" s="219">
        <v>5</v>
      </c>
      <c r="R480" s="7" t="str">
        <f>IF(AllData[[#This Row],[Nitrate (PPM)]]&gt;2, "Very high", IF(AllData[[#This Row],[Nitrate (PPM)]]&gt;1, "High", IF(AllData[[#This Row],[Nitrate (PPM)]]&gt;0.5, "Some evidence", IF(AllData[[#This Row],[Nitrate (PPM)]]&gt;=0, "No evidence"))))</f>
        <v>Very high</v>
      </c>
      <c r="S480" s="221">
        <v>0.32</v>
      </c>
      <c r="T480" s="7" t="str">
        <f>IF(AllData[[#This Row],[Phosphate (PPM)]]&gt;0.5, "Very high", IF(AllData[[#This Row],[Phosphate (PPM)]]&gt;0.1, "High", IF(AllData[[#This Row],[Phosphate (PPM)]]&gt;0.05, "Some evidence", IF(AllData[[#This Row],[Phosphate (PPM)]]&lt;=0.05, "No Evidence", ""))))</f>
        <v>High</v>
      </c>
      <c r="U480">
        <v>1.5</v>
      </c>
    </row>
    <row r="481" spans="1:22" x14ac:dyDescent="0.25">
      <c r="A481" t="s">
        <v>736</v>
      </c>
      <c r="B481" s="2">
        <v>45352</v>
      </c>
      <c r="C481" s="2" t="str" cm="1">
        <f t="array" ref="C4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1">
        <f>YEAR(AllData[[#This Row],[Date]])</f>
        <v>2024</v>
      </c>
      <c r="E481" s="1">
        <v>0.65277777777777779</v>
      </c>
      <c r="F481" s="2" t="str">
        <f>IF(AND(AllData[[#This Row],[Time]]&lt;0.5, AllData[[#This Row],[Time]]&gt;0.17)=TRUE, "Morning", IF(AND(AllData[[#This Row],[Time]]&lt;0.75, AllData[[#This Row],[Time]]&gt;=0.5)=TRUE, "Afternoon", IF(AND(AllData[[#This Row],[Time]]&lt;1, AllData[[#This Row],[Time]]&gt;=0.75)=TRUE, "Evening", "Night")))</f>
        <v>Afternoon</v>
      </c>
      <c r="G481" t="str">
        <f>_xlfn.XLOOKUP(AllData[[#This Row],[Location Name]], Locations[Location Name],Locations[Group As])</f>
        <v>Preston Bagot Canal</v>
      </c>
      <c r="H481" t="e" vm="2">
        <f>_xlfn.XLOOKUP(AllData[[#This Row],[Site Name]],LocationsKey[Site Name],LocationsKey[District])</f>
        <v>#VALUE!</v>
      </c>
      <c r="I481" t="e" vm="19">
        <f>_xlfn.XLOOKUP(AllData[[#This Row],[Site Name]],LocationsKey[Site Name],LocationsKey[Town])</f>
        <v>#VALUE!</v>
      </c>
      <c r="J481" t="str">
        <f>_xlfn.XLOOKUP(AllData[[#This Row],[Site Name]],LocationsKey[Site Name], LocationsKey[Waterway])</f>
        <v>Preston Bagot Canal</v>
      </c>
      <c r="K481" t="s">
        <v>615</v>
      </c>
      <c r="N481" t="s">
        <v>23</v>
      </c>
      <c r="O481">
        <v>295</v>
      </c>
      <c r="P481">
        <v>9.1</v>
      </c>
      <c r="Q481">
        <v>1.5</v>
      </c>
      <c r="R481" s="7" t="str">
        <f>IF(AllData[[#This Row],[Nitrate (PPM)]]&gt;2, "Very high", IF(AllData[[#This Row],[Nitrate (PPM)]]&gt;1, "High", IF(AllData[[#This Row],[Nitrate (PPM)]]&gt;0.5, "Some evidence", IF(AllData[[#This Row],[Nitrate (PPM)]]&gt;=0, "No evidence"))))</f>
        <v>High</v>
      </c>
      <c r="S481" s="4">
        <v>0.51</v>
      </c>
      <c r="T481" s="7" t="str">
        <f>IF(AllData[[#This Row],[Phosphate (PPM)]]&gt;0.5, "Very high", IF(AllData[[#This Row],[Phosphate (PPM)]]&gt;0.1, "High", IF(AllData[[#This Row],[Phosphate (PPM)]]&gt;0.05, "Some evidence", IF(AllData[[#This Row],[Phosphate (PPM)]]&lt;=0.05, "No Evidence", ""))))</f>
        <v>Very high</v>
      </c>
      <c r="U481">
        <v>0</v>
      </c>
      <c r="V481" t="s">
        <v>705</v>
      </c>
    </row>
    <row r="482" spans="1:22" x14ac:dyDescent="0.25">
      <c r="A482" t="s">
        <v>737</v>
      </c>
      <c r="B482" s="2">
        <v>45352</v>
      </c>
      <c r="C482" s="2" t="str" cm="1">
        <f t="array" ref="C4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2">
        <f>YEAR(AllData[[#This Row],[Date]])</f>
        <v>2024</v>
      </c>
      <c r="E482" s="1">
        <v>0.65972222222222221</v>
      </c>
      <c r="F482" s="2" t="str">
        <f>IF(AND(AllData[[#This Row],[Time]]&lt;0.5, AllData[[#This Row],[Time]]&gt;0.17)=TRUE, "Morning", IF(AND(AllData[[#This Row],[Time]]&lt;0.75, AllData[[#This Row],[Time]]&gt;=0.5)=TRUE, "Afternoon", IF(AND(AllData[[#This Row],[Time]]&lt;1, AllData[[#This Row],[Time]]&gt;=0.75)=TRUE, "Evening", "Night")))</f>
        <v>Afternoon</v>
      </c>
      <c r="G482" t="str">
        <f>_xlfn.XLOOKUP(AllData[[#This Row],[Location Name]], Locations[Location Name],Locations[Group As])</f>
        <v>Preston Bagot Brook</v>
      </c>
      <c r="H482" t="e" vm="2">
        <f>_xlfn.XLOOKUP(AllData[[#This Row],[Site Name]],LocationsKey[Site Name],LocationsKey[District])</f>
        <v>#VALUE!</v>
      </c>
      <c r="I482" t="e" vm="19">
        <f>_xlfn.XLOOKUP(AllData[[#This Row],[Site Name]],LocationsKey[Site Name],LocationsKey[Town])</f>
        <v>#VALUE!</v>
      </c>
      <c r="J482" t="str">
        <f>_xlfn.XLOOKUP(AllData[[#This Row],[Site Name]],LocationsKey[Site Name], LocationsKey[Waterway])</f>
        <v>Preston Bagot Brook</v>
      </c>
      <c r="K482" t="s">
        <v>618</v>
      </c>
      <c r="L482">
        <v>52.286200000000001</v>
      </c>
      <c r="M482">
        <v>-1.7478</v>
      </c>
      <c r="N482" t="s">
        <v>23</v>
      </c>
      <c r="O482">
        <v>457</v>
      </c>
      <c r="P482">
        <v>10.1</v>
      </c>
      <c r="Q482">
        <v>2</v>
      </c>
      <c r="R482" s="7" t="str">
        <f>IF(AllData[[#This Row],[Nitrate (PPM)]]&gt;2, "Very high", IF(AllData[[#This Row],[Nitrate (PPM)]]&gt;1, "High", IF(AllData[[#This Row],[Nitrate (PPM)]]&gt;0.5, "Some evidence", IF(AllData[[#This Row],[Nitrate (PPM)]]&gt;=0, "No evidence"))))</f>
        <v>High</v>
      </c>
      <c r="S482" s="4">
        <v>0.61</v>
      </c>
      <c r="T482" s="7" t="str">
        <f>IF(AllData[[#This Row],[Phosphate (PPM)]]&gt;0.5, "Very high", IF(AllData[[#This Row],[Phosphate (PPM)]]&gt;0.1, "High", IF(AllData[[#This Row],[Phosphate (PPM)]]&gt;0.05, "Some evidence", IF(AllData[[#This Row],[Phosphate (PPM)]]&lt;=0.05, "No Evidence", ""))))</f>
        <v>Very high</v>
      </c>
      <c r="U482">
        <v>0</v>
      </c>
      <c r="V482" t="s">
        <v>705</v>
      </c>
    </row>
    <row r="483" spans="1:22" x14ac:dyDescent="0.25">
      <c r="A483" t="s">
        <v>746</v>
      </c>
      <c r="B483" s="2">
        <v>45353</v>
      </c>
      <c r="C483" s="2" t="str" cm="1">
        <f t="array" ref="C4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3">
        <f>YEAR(AllData[[#This Row],[Date]])</f>
        <v>2024</v>
      </c>
      <c r="E483" s="1">
        <v>0.44097222222222221</v>
      </c>
      <c r="F483" s="2" t="str">
        <f>IF(AND(AllData[[#This Row],[Time]]&lt;0.5, AllData[[#This Row],[Time]]&gt;0.17)=TRUE, "Morning", IF(AND(AllData[[#This Row],[Time]]&lt;0.75, AllData[[#This Row],[Time]]&gt;=0.5)=TRUE, "Afternoon", IF(AND(AllData[[#This Row],[Time]]&lt;1, AllData[[#This Row],[Time]]&gt;=0.75)=TRUE, "Evening", "Night")))</f>
        <v>Morning</v>
      </c>
      <c r="G483" t="str">
        <f>_xlfn.XLOOKUP(AllData[[#This Row],[Location Name]], Locations[Location Name],Locations[Group As])</f>
        <v>Lucy's Mill Bridge</v>
      </c>
      <c r="H483" t="e" vm="2">
        <f>_xlfn.XLOOKUP(AllData[[#This Row],[Site Name]],LocationsKey[Site Name],LocationsKey[District])</f>
        <v>#VALUE!</v>
      </c>
      <c r="I483" t="e" vm="7">
        <f>_xlfn.XLOOKUP(AllData[[#This Row],[Site Name]],LocationsKey[Site Name],LocationsKey[Town])</f>
        <v>#VALUE!</v>
      </c>
      <c r="J483" t="str">
        <f>_xlfn.XLOOKUP(AllData[[#This Row],[Site Name]],LocationsKey[Site Name], LocationsKey[Waterway])</f>
        <v>Avon</v>
      </c>
      <c r="K483" t="s">
        <v>216</v>
      </c>
      <c r="L483">
        <v>52.183698999999997</v>
      </c>
      <c r="M483">
        <v>-1.707816</v>
      </c>
      <c r="N483" t="s">
        <v>29</v>
      </c>
      <c r="P483">
        <v>8</v>
      </c>
      <c r="Q483">
        <v>5</v>
      </c>
      <c r="R483" s="7" t="str">
        <f>IF(AllData[[#This Row],[Nitrate (PPM)]]&gt;2, "Very high", IF(AllData[[#This Row],[Nitrate (PPM)]]&gt;1, "High", IF(AllData[[#This Row],[Nitrate (PPM)]]&gt;0.5, "Some evidence", IF(AllData[[#This Row],[Nitrate (PPM)]]&gt;=0, "No evidence"))))</f>
        <v>Very high</v>
      </c>
      <c r="S483" s="4">
        <v>0.06</v>
      </c>
      <c r="T483" s="7" t="str">
        <f>IF(AllData[[#This Row],[Phosphate (PPM)]]&gt;0.5, "Very high", IF(AllData[[#This Row],[Phosphate (PPM)]]&gt;0.1, "High", IF(AllData[[#This Row],[Phosphate (PPM)]]&gt;0.05, "Some evidence", IF(AllData[[#This Row],[Phosphate (PPM)]]&lt;=0.05, "No Evidence", ""))))</f>
        <v>Some evidence</v>
      </c>
      <c r="U483">
        <v>0.7</v>
      </c>
    </row>
    <row r="484" spans="1:22" x14ac:dyDescent="0.25">
      <c r="A484" t="s">
        <v>738</v>
      </c>
      <c r="B484" s="2">
        <v>45353</v>
      </c>
      <c r="C484" s="2" t="str" cm="1">
        <f t="array" ref="C4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4">
        <f>YEAR(AllData[[#This Row],[Date]])</f>
        <v>2024</v>
      </c>
      <c r="E484" s="1">
        <v>0.53888888888888886</v>
      </c>
      <c r="F484" s="2" t="str">
        <f>IF(AND(AllData[[#This Row],[Time]]&lt;0.5, AllData[[#This Row],[Time]]&gt;0.17)=TRUE, "Morning", IF(AND(AllData[[#This Row],[Time]]&lt;0.75, AllData[[#This Row],[Time]]&gt;=0.5)=TRUE, "Afternoon", IF(AND(AllData[[#This Row],[Time]]&lt;1, AllData[[#This Row],[Time]]&gt;=0.75)=TRUE, "Evening", "Night")))</f>
        <v>Afternoon</v>
      </c>
      <c r="G484" t="str">
        <f>_xlfn.XLOOKUP(AllData[[#This Row],[Location Name]], Locations[Location Name],Locations[Group As])</f>
        <v>Stour Willington</v>
      </c>
      <c r="H484" t="e" vm="2">
        <f>_xlfn.XLOOKUP(AllData[[#This Row],[Site Name]],LocationsKey[Site Name],LocationsKey[District])</f>
        <v>#VALUE!</v>
      </c>
      <c r="I484" t="str">
        <f>_xlfn.XLOOKUP(AllData[[#This Row],[Site Name]],LocationsKey[Site Name],LocationsKey[Town])</f>
        <v>Willington</v>
      </c>
      <c r="J484" t="str">
        <f>_xlfn.XLOOKUP(AllData[[#This Row],[Site Name]],LocationsKey[Site Name], LocationsKey[Waterway])</f>
        <v>Stour</v>
      </c>
      <c r="K484" t="s">
        <v>517</v>
      </c>
      <c r="L484">
        <v>52.053559999999997</v>
      </c>
      <c r="M484">
        <v>-1.620152</v>
      </c>
      <c r="N484" t="s">
        <v>23</v>
      </c>
      <c r="O484" s="219">
        <v>383</v>
      </c>
      <c r="P484">
        <v>8.6999999999999993</v>
      </c>
      <c r="Q484" s="219">
        <v>2</v>
      </c>
      <c r="R484" s="7" t="str">
        <f>IF(AllData[[#This Row],[Nitrate (PPM)]]&gt;2, "Very high", IF(AllData[[#This Row],[Nitrate (PPM)]]&gt;1, "High", IF(AllData[[#This Row],[Nitrate (PPM)]]&gt;0.5, "Some evidence", IF(AllData[[#This Row],[Nitrate (PPM)]]&gt;=0, "No evidence"))))</f>
        <v>High</v>
      </c>
      <c r="S484" s="221">
        <v>0.22</v>
      </c>
      <c r="T484" s="7" t="str">
        <f>IF(AllData[[#This Row],[Phosphate (PPM)]]&gt;0.5, "Very high", IF(AllData[[#This Row],[Phosphate (PPM)]]&gt;0.1, "High", IF(AllData[[#This Row],[Phosphate (PPM)]]&gt;0.05, "Some evidence", IF(AllData[[#This Row],[Phosphate (PPM)]]&lt;=0.05, "No Evidence", ""))))</f>
        <v>High</v>
      </c>
      <c r="U484">
        <v>1.5</v>
      </c>
      <c r="V484" t="s">
        <v>739</v>
      </c>
    </row>
    <row r="485" spans="1:22" x14ac:dyDescent="0.25">
      <c r="A485" t="s">
        <v>740</v>
      </c>
      <c r="B485" s="2">
        <v>45353</v>
      </c>
      <c r="C485" s="2" t="str" cm="1">
        <f t="array" ref="C4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5">
        <f>YEAR(AllData[[#This Row],[Date]])</f>
        <v>2024</v>
      </c>
      <c r="E485" s="1">
        <v>0.69930555555555551</v>
      </c>
      <c r="F485" s="2" t="str">
        <f>IF(AND(AllData[[#This Row],[Time]]&lt;0.5, AllData[[#This Row],[Time]]&gt;0.17)=TRUE, "Morning", IF(AND(AllData[[#This Row],[Time]]&lt;0.75, AllData[[#This Row],[Time]]&gt;=0.5)=TRUE, "Afternoon", IF(AND(AllData[[#This Row],[Time]]&lt;1, AllData[[#This Row],[Time]]&gt;=0.75)=TRUE, "Evening", "Night")))</f>
        <v>Afternoon</v>
      </c>
      <c r="G485" t="str">
        <f>_xlfn.XLOOKUP(AllData[[#This Row],[Location Name]], Locations[Location Name],Locations[Group As])</f>
        <v>Avon Smiths Meadow Wyre Piddle</v>
      </c>
      <c r="H485" t="e" vm="17">
        <f>_xlfn.XLOOKUP(AllData[[#This Row],[Site Name]],LocationsKey[Site Name],LocationsKey[District])</f>
        <v>#VALUE!</v>
      </c>
      <c r="I485" t="e" vm="20">
        <f>_xlfn.XLOOKUP(AllData[[#This Row],[Site Name]],LocationsKey[Site Name],LocationsKey[Town])</f>
        <v>#VALUE!</v>
      </c>
      <c r="J485" t="str">
        <f>_xlfn.XLOOKUP(AllData[[#This Row],[Site Name]],LocationsKey[Site Name], LocationsKey[Waterway])</f>
        <v>Avon</v>
      </c>
      <c r="K485" t="s">
        <v>741</v>
      </c>
      <c r="L485">
        <v>52.122912999999997</v>
      </c>
      <c r="M485">
        <v>-2.0574750000000002</v>
      </c>
      <c r="N485" t="s">
        <v>23</v>
      </c>
      <c r="O485">
        <v>704</v>
      </c>
      <c r="P485">
        <v>7.4</v>
      </c>
      <c r="Q485">
        <v>5</v>
      </c>
      <c r="R485" s="7" t="str">
        <f>IF(AllData[[#This Row],[Nitrate (PPM)]]&gt;2, "Very high", IF(AllData[[#This Row],[Nitrate (PPM)]]&gt;1, "High", IF(AllData[[#This Row],[Nitrate (PPM)]]&gt;0.5, "Some evidence", IF(AllData[[#This Row],[Nitrate (PPM)]]&gt;=0, "No evidence"))))</f>
        <v>Very high</v>
      </c>
      <c r="S485" s="4">
        <v>0.44</v>
      </c>
      <c r="T485" s="7" t="str">
        <f>IF(AllData[[#This Row],[Phosphate (PPM)]]&gt;0.5, "Very high", IF(AllData[[#This Row],[Phosphate (PPM)]]&gt;0.1, "High", IF(AllData[[#This Row],[Phosphate (PPM)]]&gt;0.05, "Some evidence", IF(AllData[[#This Row],[Phosphate (PPM)]]&lt;=0.05, "No Evidence", ""))))</f>
        <v>High</v>
      </c>
      <c r="U485">
        <v>2</v>
      </c>
      <c r="V485" t="s">
        <v>742</v>
      </c>
    </row>
    <row r="486" spans="1:22" x14ac:dyDescent="0.25">
      <c r="A486" t="s">
        <v>743</v>
      </c>
      <c r="B486" s="2">
        <v>45353</v>
      </c>
      <c r="C486" s="2" t="str" cm="1">
        <f t="array" ref="C4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6">
        <f>YEAR(AllData[[#This Row],[Date]])</f>
        <v>2024</v>
      </c>
      <c r="E486" s="1">
        <v>0.73888888888888893</v>
      </c>
      <c r="F486" s="2" t="str">
        <f>IF(AND(AllData[[#This Row],[Time]]&lt;0.5, AllData[[#This Row],[Time]]&gt;0.17)=TRUE, "Morning", IF(AND(AllData[[#This Row],[Time]]&lt;0.75, AllData[[#This Row],[Time]]&gt;=0.5)=TRUE, "Afternoon", IF(AND(AllData[[#This Row],[Time]]&lt;1, AllData[[#This Row],[Time]]&gt;=0.75)=TRUE, "Evening", "Night")))</f>
        <v>Afternoon</v>
      </c>
      <c r="G486" t="str">
        <f>_xlfn.XLOOKUP(AllData[[#This Row],[Location Name]], Locations[Location Name],Locations[Group As])</f>
        <v>Piddle Brook Wyre Piddle Bridge</v>
      </c>
      <c r="H486" t="e" vm="17">
        <f>_xlfn.XLOOKUP(AllData[[#This Row],[Site Name]],LocationsKey[Site Name],LocationsKey[District])</f>
        <v>#VALUE!</v>
      </c>
      <c r="I486" t="e" vm="20">
        <f>_xlfn.XLOOKUP(AllData[[#This Row],[Site Name]],LocationsKey[Site Name],LocationsKey[Town])</f>
        <v>#VALUE!</v>
      </c>
      <c r="J486" t="str">
        <f>_xlfn.XLOOKUP(AllData[[#This Row],[Site Name]],LocationsKey[Site Name], LocationsKey[Waterway])</f>
        <v>Piddle Brook</v>
      </c>
      <c r="K486" t="s">
        <v>744</v>
      </c>
      <c r="L486">
        <v>52.126317</v>
      </c>
      <c r="M486">
        <v>-2.0561219999999998</v>
      </c>
      <c r="N486" t="s">
        <v>23</v>
      </c>
      <c r="O486">
        <v>572</v>
      </c>
      <c r="P486">
        <v>5.9</v>
      </c>
      <c r="Q486">
        <v>2</v>
      </c>
      <c r="R486" s="7" t="str">
        <f>IF(AllData[[#This Row],[Nitrate (PPM)]]&gt;2, "Very high", IF(AllData[[#This Row],[Nitrate (PPM)]]&gt;1, "High", IF(AllData[[#This Row],[Nitrate (PPM)]]&gt;0.5, "Some evidence", IF(AllData[[#This Row],[Nitrate (PPM)]]&gt;=0, "No evidence"))))</f>
        <v>High</v>
      </c>
      <c r="S486" s="4">
        <v>1.36</v>
      </c>
      <c r="T486" s="7" t="str">
        <f>IF(AllData[[#This Row],[Phosphate (PPM)]]&gt;0.5, "Very high", IF(AllData[[#This Row],[Phosphate (PPM)]]&gt;0.1, "High", IF(AllData[[#This Row],[Phosphate (PPM)]]&gt;0.05, "Some evidence", IF(AllData[[#This Row],[Phosphate (PPM)]]&lt;=0.05, "No Evidence", ""))))</f>
        <v>Very high</v>
      </c>
      <c r="U486">
        <v>0.95</v>
      </c>
      <c r="V486" t="s">
        <v>745</v>
      </c>
    </row>
    <row r="487" spans="1:22" x14ac:dyDescent="0.25">
      <c r="A487" t="s">
        <v>747</v>
      </c>
      <c r="B487" s="2">
        <v>45354</v>
      </c>
      <c r="C487" s="2" t="str" cm="1">
        <f t="array" ref="C4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7">
        <f>YEAR(AllData[[#This Row],[Date]])</f>
        <v>2024</v>
      </c>
      <c r="E487" s="1">
        <v>0.46180555555555558</v>
      </c>
      <c r="F487" s="2" t="str">
        <f>IF(AND(AllData[[#This Row],[Time]]&lt;0.5, AllData[[#This Row],[Time]]&gt;0.17)=TRUE, "Morning", IF(AND(AllData[[#This Row],[Time]]&lt;0.75, AllData[[#This Row],[Time]]&gt;=0.5)=TRUE, "Afternoon", IF(AND(AllData[[#This Row],[Time]]&lt;1, AllData[[#This Row],[Time]]&gt;=0.75)=TRUE, "Evening", "Night")))</f>
        <v>Morning</v>
      </c>
      <c r="G487" t="str">
        <f>_xlfn.XLOOKUP(AllData[[#This Row],[Location Name]], Locations[Location Name],Locations[Group As])</f>
        <v>The Ford, Langley</v>
      </c>
      <c r="H487" t="e" vm="2">
        <f>_xlfn.XLOOKUP(AllData[[#This Row],[Site Name]],LocationsKey[Site Name],LocationsKey[District])</f>
        <v>#VALUE!</v>
      </c>
      <c r="I487" t="str">
        <f>_xlfn.XLOOKUP(AllData[[#This Row],[Site Name]],LocationsKey[Site Name],LocationsKey[Town])</f>
        <v>Langley</v>
      </c>
      <c r="J487" t="str">
        <f>_xlfn.XLOOKUP(AllData[[#This Row],[Site Name]],LocationsKey[Site Name], LocationsKey[Waterway])</f>
        <v>Langley Ford</v>
      </c>
      <c r="K487" t="s">
        <v>557</v>
      </c>
      <c r="L487">
        <v>52.259639</v>
      </c>
      <c r="M487">
        <v>-1.7181999999999999</v>
      </c>
      <c r="N487" t="s">
        <v>29</v>
      </c>
      <c r="O487">
        <v>445</v>
      </c>
      <c r="P487">
        <v>8.1</v>
      </c>
      <c r="Q487">
        <v>4</v>
      </c>
      <c r="R487" s="7" t="str">
        <f>IF(AllData[[#This Row],[Nitrate (PPM)]]&gt;2, "Very high", IF(AllData[[#This Row],[Nitrate (PPM)]]&gt;1, "High", IF(AllData[[#This Row],[Nitrate (PPM)]]&gt;0.5, "Some evidence", IF(AllData[[#This Row],[Nitrate (PPM)]]&gt;=0, "No evidence"))))</f>
        <v>Very high</v>
      </c>
      <c r="S487" s="4">
        <v>0.55000000000000004</v>
      </c>
      <c r="T487" s="7" t="str">
        <f>IF(AllData[[#This Row],[Phosphate (PPM)]]&gt;0.5, "Very high", IF(AllData[[#This Row],[Phosphate (PPM)]]&gt;0.1, "High", IF(AllData[[#This Row],[Phosphate (PPM)]]&gt;0.05, "Some evidence", IF(AllData[[#This Row],[Phosphate (PPM)]]&lt;=0.05, "No Evidence", ""))))</f>
        <v>Very high</v>
      </c>
      <c r="U487">
        <v>0.46</v>
      </c>
    </row>
    <row r="488" spans="1:22" x14ac:dyDescent="0.25">
      <c r="A488" t="s">
        <v>748</v>
      </c>
      <c r="B488" s="2">
        <v>45354</v>
      </c>
      <c r="C488" s="2" t="str" cm="1">
        <f t="array" ref="C4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8">
        <f>YEAR(AllData[[#This Row],[Date]])</f>
        <v>2024</v>
      </c>
      <c r="E488" s="1">
        <v>0.47916666666666669</v>
      </c>
      <c r="F488" s="2" t="str">
        <f>IF(AND(AllData[[#This Row],[Time]]&lt;0.5, AllData[[#This Row],[Time]]&gt;0.17)=TRUE, "Morning", IF(AND(AllData[[#This Row],[Time]]&lt;0.75, AllData[[#This Row],[Time]]&gt;=0.5)=TRUE, "Afternoon", IF(AND(AllData[[#This Row],[Time]]&lt;1, AllData[[#This Row],[Time]]&gt;=0.75)=TRUE, "Evening", "Night")))</f>
        <v>Morning</v>
      </c>
      <c r="G488" t="str">
        <f>_xlfn.XLOOKUP(AllData[[#This Row],[Location Name]], Locations[Location Name],Locations[Group As])</f>
        <v>Carrant Bredon Rd</v>
      </c>
      <c r="H488" t="e" vm="1">
        <f>_xlfn.XLOOKUP(AllData[[#This Row],[Site Name]],LocationsKey[Site Name],LocationsKey[District])</f>
        <v>#VALUE!</v>
      </c>
      <c r="I488" t="e" vm="1">
        <f>_xlfn.XLOOKUP(AllData[[#This Row],[Site Name]],LocationsKey[Site Name],LocationsKey[Town])</f>
        <v>#VALUE!</v>
      </c>
      <c r="J488" t="str">
        <f>_xlfn.XLOOKUP(AllData[[#This Row],[Site Name]],LocationsKey[Site Name], LocationsKey[Waterway])</f>
        <v>Carrant</v>
      </c>
      <c r="K488" t="s">
        <v>600</v>
      </c>
      <c r="L488">
        <v>51.996478000000003</v>
      </c>
      <c r="M488">
        <v>-2.155986</v>
      </c>
      <c r="N488" t="s">
        <v>23</v>
      </c>
      <c r="O488">
        <v>629</v>
      </c>
      <c r="P488">
        <v>7.8</v>
      </c>
      <c r="Q488">
        <v>4</v>
      </c>
      <c r="R488" s="7" t="str">
        <f>IF(AllData[[#This Row],[Nitrate (PPM)]]&gt;2, "Very high", IF(AllData[[#This Row],[Nitrate (PPM)]]&gt;1, "High", IF(AllData[[#This Row],[Nitrate (PPM)]]&gt;0.5, "Some evidence", IF(AllData[[#This Row],[Nitrate (PPM)]]&gt;=0, "No evidence"))))</f>
        <v>Very high</v>
      </c>
      <c r="S488" s="4">
        <v>0.31</v>
      </c>
      <c r="T488" s="7" t="str">
        <f>IF(AllData[[#This Row],[Phosphate (PPM)]]&gt;0.5, "Very high", IF(AllData[[#This Row],[Phosphate (PPM)]]&gt;0.1, "High", IF(AllData[[#This Row],[Phosphate (PPM)]]&gt;0.05, "Some evidence", IF(AllData[[#This Row],[Phosphate (PPM)]]&lt;=0.05, "No Evidence", ""))))</f>
        <v>High</v>
      </c>
      <c r="U488">
        <v>1.07</v>
      </c>
      <c r="V488" t="s">
        <v>749</v>
      </c>
    </row>
    <row r="489" spans="1:22" x14ac:dyDescent="0.25">
      <c r="A489" t="s">
        <v>750</v>
      </c>
      <c r="B489" s="2">
        <v>45354</v>
      </c>
      <c r="C489" s="2" t="str" cm="1">
        <f t="array" ref="C4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9">
        <f>YEAR(AllData[[#This Row],[Date]])</f>
        <v>2024</v>
      </c>
      <c r="E489" s="1">
        <v>0.49305555555555558</v>
      </c>
      <c r="F489" s="2" t="str">
        <f>IF(AND(AllData[[#This Row],[Time]]&lt;0.5, AllData[[#This Row],[Time]]&gt;0.17)=TRUE, "Morning", IF(AND(AllData[[#This Row],[Time]]&lt;0.75, AllData[[#This Row],[Time]]&gt;=0.5)=TRUE, "Afternoon", IF(AND(AllData[[#This Row],[Time]]&lt;1, AllData[[#This Row],[Time]]&gt;=0.75)=TRUE, "Evening", "Night")))</f>
        <v>Morning</v>
      </c>
      <c r="G489" t="str">
        <f>_xlfn.XLOOKUP(AllData[[#This Row],[Location Name]], Locations[Location Name],Locations[Group As])</f>
        <v>Avonbank Drive</v>
      </c>
      <c r="H489" t="e" vm="2">
        <f>_xlfn.XLOOKUP(AllData[[#This Row],[Site Name]],LocationsKey[Site Name],LocationsKey[District])</f>
        <v>#VALUE!</v>
      </c>
      <c r="I489" t="e" vm="7">
        <f>_xlfn.XLOOKUP(AllData[[#This Row],[Site Name]],LocationsKey[Site Name],LocationsKey[Town])</f>
        <v>#VALUE!</v>
      </c>
      <c r="J489" t="str">
        <f>_xlfn.XLOOKUP(AllData[[#This Row],[Site Name]],LocationsKey[Site Name], LocationsKey[Waterway])</f>
        <v>Avon</v>
      </c>
      <c r="K489" t="s">
        <v>103</v>
      </c>
      <c r="L489">
        <v>52.177</v>
      </c>
      <c r="M489">
        <v>-1.736</v>
      </c>
      <c r="N489" t="s">
        <v>66</v>
      </c>
      <c r="O489">
        <v>675</v>
      </c>
      <c r="P489">
        <v>15.7</v>
      </c>
      <c r="Q489">
        <v>5</v>
      </c>
      <c r="R489" s="7" t="str">
        <f>IF(AllData[[#This Row],[Nitrate (PPM)]]&gt;2, "Very high", IF(AllData[[#This Row],[Nitrate (PPM)]]&gt;1, "High", IF(AllData[[#This Row],[Nitrate (PPM)]]&gt;0.5, "Some evidence", IF(AllData[[#This Row],[Nitrate (PPM)]]&gt;=0, "No evidence"))))</f>
        <v>Very high</v>
      </c>
      <c r="S489" s="4">
        <v>0.48</v>
      </c>
      <c r="T489" s="7" t="str">
        <f>IF(AllData[[#This Row],[Phosphate (PPM)]]&gt;0.5, "Very high", IF(AllData[[#This Row],[Phosphate (PPM)]]&gt;0.1, "High", IF(AllData[[#This Row],[Phosphate (PPM)]]&gt;0.05, "Some evidence", IF(AllData[[#This Row],[Phosphate (PPM)]]&lt;=0.05, "No Evidence", ""))))</f>
        <v>High</v>
      </c>
      <c r="U489">
        <v>0.8</v>
      </c>
    </row>
    <row r="490" spans="1:22" x14ac:dyDescent="0.25">
      <c r="A490" t="s">
        <v>751</v>
      </c>
      <c r="B490" s="2">
        <v>45354</v>
      </c>
      <c r="C490" s="2" t="str" cm="1">
        <f t="array" ref="C4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0">
        <f>YEAR(AllData[[#This Row],[Date]])</f>
        <v>2024</v>
      </c>
      <c r="E490" s="1">
        <v>0.49305555555555558</v>
      </c>
      <c r="F490" s="2" t="str">
        <f>IF(AND(AllData[[#This Row],[Time]]&lt;0.5, AllData[[#This Row],[Time]]&gt;0.17)=TRUE, "Morning", IF(AND(AllData[[#This Row],[Time]]&lt;0.75, AllData[[#This Row],[Time]]&gt;=0.5)=TRUE, "Afternoon", IF(AND(AllData[[#This Row],[Time]]&lt;1, AllData[[#This Row],[Time]]&gt;=0.75)=TRUE, "Evening", "Night")))</f>
        <v>Morning</v>
      </c>
      <c r="G490" t="str">
        <f>_xlfn.XLOOKUP(AllData[[#This Row],[Location Name]], Locations[Location Name],Locations[Group As])</f>
        <v>Pitch 16</v>
      </c>
      <c r="H490" t="e" vm="2">
        <f>_xlfn.XLOOKUP(AllData[[#This Row],[Site Name]],LocationsKey[Site Name],LocationsKey[District])</f>
        <v>#VALUE!</v>
      </c>
      <c r="I490" t="e" vm="7">
        <f>_xlfn.XLOOKUP(AllData[[#This Row],[Site Name]],LocationsKey[Site Name],LocationsKey[Town])</f>
        <v>#VALUE!</v>
      </c>
      <c r="J490" t="str">
        <f>_xlfn.XLOOKUP(AllData[[#This Row],[Site Name]],LocationsKey[Site Name], LocationsKey[Waterway])</f>
        <v>Avon</v>
      </c>
      <c r="K490" t="s">
        <v>69</v>
      </c>
      <c r="N490" t="s">
        <v>29</v>
      </c>
      <c r="O490">
        <v>635</v>
      </c>
      <c r="P490">
        <v>15.8</v>
      </c>
      <c r="Q490">
        <v>5</v>
      </c>
      <c r="R490" s="7" t="str">
        <f>IF(AllData[[#This Row],[Nitrate (PPM)]]&gt;2, "Very high", IF(AllData[[#This Row],[Nitrate (PPM)]]&gt;1, "High", IF(AllData[[#This Row],[Nitrate (PPM)]]&gt;0.5, "Some evidence", IF(AllData[[#This Row],[Nitrate (PPM)]]&gt;=0, "No evidence"))))</f>
        <v>Very high</v>
      </c>
      <c r="S490" s="4">
        <v>0.35</v>
      </c>
      <c r="T490" s="7" t="str">
        <f>IF(AllData[[#This Row],[Phosphate (PPM)]]&gt;0.5, "Very high", IF(AllData[[#This Row],[Phosphate (PPM)]]&gt;0.1, "High", IF(AllData[[#This Row],[Phosphate (PPM)]]&gt;0.05, "Some evidence", IF(AllData[[#This Row],[Phosphate (PPM)]]&lt;=0.05, "No Evidence", ""))))</f>
        <v>High</v>
      </c>
      <c r="U490">
        <v>0.8</v>
      </c>
    </row>
    <row r="491" spans="1:22" x14ac:dyDescent="0.25">
      <c r="A491" t="s">
        <v>752</v>
      </c>
      <c r="B491" s="2">
        <v>45354</v>
      </c>
      <c r="C491" s="2" t="str" cm="1">
        <f t="array" ref="C4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1">
        <f>YEAR(AllData[[#This Row],[Date]])</f>
        <v>2024</v>
      </c>
      <c r="E491" s="1">
        <v>0.58958333333333335</v>
      </c>
      <c r="F491" s="2" t="str">
        <f>IF(AND(AllData[[#This Row],[Time]]&lt;0.5, AllData[[#This Row],[Time]]&gt;0.17)=TRUE, "Morning", IF(AND(AllData[[#This Row],[Time]]&lt;0.75, AllData[[#This Row],[Time]]&gt;=0.5)=TRUE, "Afternoon", IF(AND(AllData[[#This Row],[Time]]&lt;1, AllData[[#This Row],[Time]]&gt;=0.75)=TRUE, "Evening", "Night")))</f>
        <v>Afternoon</v>
      </c>
      <c r="G491" t="str">
        <f>_xlfn.XLOOKUP(AllData[[#This Row],[Location Name]], Locations[Location Name],Locations[Group As])</f>
        <v>Black Bear</v>
      </c>
      <c r="H491" t="e" vm="1">
        <f>_xlfn.XLOOKUP(AllData[[#This Row],[Site Name]],LocationsKey[Site Name],LocationsKey[District])</f>
        <v>#VALUE!</v>
      </c>
      <c r="I491" t="e" vm="1">
        <f>_xlfn.XLOOKUP(AllData[[#This Row],[Site Name]],LocationsKey[Site Name],LocationsKey[Town])</f>
        <v>#VALUE!</v>
      </c>
      <c r="J491" t="str">
        <f>_xlfn.XLOOKUP(AllData[[#This Row],[Site Name]],LocationsKey[Site Name], LocationsKey[Waterway])</f>
        <v>Avon</v>
      </c>
      <c r="K491" t="s">
        <v>567</v>
      </c>
      <c r="L491">
        <v>51.997301</v>
      </c>
      <c r="M491">
        <v>-2.1562589999999999</v>
      </c>
      <c r="N491" t="s">
        <v>23</v>
      </c>
      <c r="O491" s="219">
        <v>642</v>
      </c>
      <c r="P491">
        <v>9.4</v>
      </c>
      <c r="Q491" s="219">
        <v>5</v>
      </c>
      <c r="R491" s="7" t="str">
        <f>IF(AllData[[#This Row],[Nitrate (PPM)]]&gt;2, "Very high", IF(AllData[[#This Row],[Nitrate (PPM)]]&gt;1, "High", IF(AllData[[#This Row],[Nitrate (PPM)]]&gt;0.5, "Some evidence", IF(AllData[[#This Row],[Nitrate (PPM)]]&gt;=0, "No evidence"))))</f>
        <v>Very high</v>
      </c>
      <c r="S491" s="221">
        <v>0.59</v>
      </c>
      <c r="T491" s="7" t="str">
        <f>IF(AllData[[#This Row],[Phosphate (PPM)]]&gt;0.5, "Very high", IF(AllData[[#This Row],[Phosphate (PPM)]]&gt;0.1, "High", IF(AllData[[#This Row],[Phosphate (PPM)]]&gt;0.05, "Some evidence", IF(AllData[[#This Row],[Phosphate (PPM)]]&lt;=0.05, "No Evidence", ""))))</f>
        <v>Very high</v>
      </c>
      <c r="U491">
        <v>1.5</v>
      </c>
    </row>
    <row r="492" spans="1:22" x14ac:dyDescent="0.25">
      <c r="A492" t="s">
        <v>753</v>
      </c>
      <c r="B492" s="2">
        <v>45354</v>
      </c>
      <c r="C492" s="2" t="str" cm="1">
        <f t="array" ref="C4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2">
        <f>YEAR(AllData[[#This Row],[Date]])</f>
        <v>2024</v>
      </c>
      <c r="E492" s="1">
        <v>0.60416666666666663</v>
      </c>
      <c r="F492" s="2" t="str">
        <f>IF(AND(AllData[[#This Row],[Time]]&lt;0.5, AllData[[#This Row],[Time]]&gt;0.17)=TRUE, "Morning", IF(AND(AllData[[#This Row],[Time]]&lt;0.75, AllData[[#This Row],[Time]]&gt;=0.5)=TRUE, "Afternoon", IF(AND(AllData[[#This Row],[Time]]&lt;1, AllData[[#This Row],[Time]]&gt;=0.75)=TRUE, "Evening", "Night")))</f>
        <v>Afternoon</v>
      </c>
      <c r="G492" t="str">
        <f>_xlfn.XLOOKUP(AllData[[#This Row],[Location Name]], Locations[Location Name],Locations[Group As])</f>
        <v>Clifford Chambers Mill Bridge</v>
      </c>
      <c r="H492" t="e" vm="2">
        <f>_xlfn.XLOOKUP(AllData[[#This Row],[Site Name]],LocationsKey[Site Name],LocationsKey[District])</f>
        <v>#VALUE!</v>
      </c>
      <c r="I492" t="e" vm="12">
        <f>_xlfn.XLOOKUP(AllData[[#This Row],[Site Name]],LocationsKey[Site Name],LocationsKey[Town])</f>
        <v>#VALUE!</v>
      </c>
      <c r="J492" t="str">
        <f>_xlfn.XLOOKUP(AllData[[#This Row],[Site Name]],LocationsKey[Site Name], LocationsKey[Waterway])</f>
        <v>Stour</v>
      </c>
      <c r="K492" t="s">
        <v>263</v>
      </c>
      <c r="L492">
        <v>52.166370000000001</v>
      </c>
      <c r="M492">
        <v>-1.708032</v>
      </c>
      <c r="N492" t="s">
        <v>66</v>
      </c>
      <c r="O492" s="219">
        <v>460</v>
      </c>
      <c r="P492">
        <v>12.8</v>
      </c>
      <c r="Q492" s="219">
        <v>3</v>
      </c>
      <c r="R492" s="7" t="str">
        <f>IF(AllData[[#This Row],[Nitrate (PPM)]]&gt;2, "Very high", IF(AllData[[#This Row],[Nitrate (PPM)]]&gt;1, "High", IF(AllData[[#This Row],[Nitrate (PPM)]]&gt;0.5, "Some evidence", IF(AllData[[#This Row],[Nitrate (PPM)]]&gt;=0, "No evidence"))))</f>
        <v>Very high</v>
      </c>
      <c r="S492" s="221">
        <v>0.27</v>
      </c>
      <c r="T492" s="7" t="str">
        <f>IF(AllData[[#This Row],[Phosphate (PPM)]]&gt;0.5, "Very high", IF(AllData[[#This Row],[Phosphate (PPM)]]&gt;0.1, "High", IF(AllData[[#This Row],[Phosphate (PPM)]]&gt;0.05, "Some evidence", IF(AllData[[#This Row],[Phosphate (PPM)]]&lt;=0.05, "No Evidence", ""))))</f>
        <v>High</v>
      </c>
      <c r="U492">
        <v>1.4</v>
      </c>
      <c r="V492" t="s">
        <v>754</v>
      </c>
    </row>
    <row r="493" spans="1:22" x14ac:dyDescent="0.25">
      <c r="A493" t="s">
        <v>755</v>
      </c>
      <c r="B493" s="2">
        <v>45354</v>
      </c>
      <c r="C493" s="2" t="str" cm="1">
        <f t="array" ref="C4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3">
        <f>YEAR(AllData[[#This Row],[Date]])</f>
        <v>2024</v>
      </c>
      <c r="E493" s="1">
        <v>0.625</v>
      </c>
      <c r="F493" s="2" t="str">
        <f>IF(AND(AllData[[#This Row],[Time]]&lt;0.5, AllData[[#This Row],[Time]]&gt;0.17)=TRUE, "Morning", IF(AND(AllData[[#This Row],[Time]]&lt;0.75, AllData[[#This Row],[Time]]&gt;=0.5)=TRUE, "Afternoon", IF(AND(AllData[[#This Row],[Time]]&lt;1, AllData[[#This Row],[Time]]&gt;=0.75)=TRUE, "Evening", "Night")))</f>
        <v>Afternoon</v>
      </c>
      <c r="G493" t="str">
        <f>_xlfn.XLOOKUP(AllData[[#This Row],[Location Name]], Locations[Location Name],Locations[Group As])</f>
        <v>Sherbourne Brook 1</v>
      </c>
      <c r="H493" t="e" vm="2">
        <f>_xlfn.XLOOKUP(AllData[[#This Row],[Site Name]],LocationsKey[Site Name],LocationsKey[District])</f>
        <v>#VALUE!</v>
      </c>
      <c r="I493" t="e" vm="16">
        <f>_xlfn.XLOOKUP(AllData[[#This Row],[Site Name]],LocationsKey[Site Name],LocationsKey[Town])</f>
        <v>#VALUE!</v>
      </c>
      <c r="J493" t="str">
        <f>_xlfn.XLOOKUP(AllData[[#This Row],[Site Name]],LocationsKey[Site Name], LocationsKey[Waterway])</f>
        <v>Sherbourne Brook</v>
      </c>
      <c r="K493" t="s">
        <v>570</v>
      </c>
      <c r="L493">
        <v>52.252499999999998</v>
      </c>
      <c r="M493">
        <v>-1.6685000000000001</v>
      </c>
      <c r="N493" t="s">
        <v>23</v>
      </c>
      <c r="O493">
        <v>759</v>
      </c>
      <c r="P493">
        <v>8.6999999999999993</v>
      </c>
      <c r="Q493">
        <v>5</v>
      </c>
      <c r="R493" s="7" t="str">
        <f>IF(AllData[[#This Row],[Nitrate (PPM)]]&gt;2, "Very high", IF(AllData[[#This Row],[Nitrate (PPM)]]&gt;1, "High", IF(AllData[[#This Row],[Nitrate (PPM)]]&gt;0.5, "Some evidence", IF(AllData[[#This Row],[Nitrate (PPM)]]&gt;=0, "No evidence"))))</f>
        <v>Very high</v>
      </c>
      <c r="S493" s="4">
        <v>0.57999999999999996</v>
      </c>
      <c r="T493" s="7" t="str">
        <f>IF(AllData[[#This Row],[Phosphate (PPM)]]&gt;0.5, "Very high", IF(AllData[[#This Row],[Phosphate (PPM)]]&gt;0.1, "High", IF(AllData[[#This Row],[Phosphate (PPM)]]&gt;0.05, "Some evidence", IF(AllData[[#This Row],[Phosphate (PPM)]]&lt;=0.05, "No Evidence", ""))))</f>
        <v>Very high</v>
      </c>
      <c r="U493">
        <v>0.5</v>
      </c>
      <c r="V493" t="s">
        <v>756</v>
      </c>
    </row>
    <row r="494" spans="1:22" x14ac:dyDescent="0.25">
      <c r="A494" t="s">
        <v>757</v>
      </c>
      <c r="B494" s="2">
        <v>45354</v>
      </c>
      <c r="C494" s="2" t="str" cm="1">
        <f t="array" ref="C4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4">
        <f>YEAR(AllData[[#This Row],[Date]])</f>
        <v>2024</v>
      </c>
      <c r="E494" s="1">
        <v>0.63541666666666663</v>
      </c>
      <c r="F494" s="2" t="str">
        <f>IF(AND(AllData[[#This Row],[Time]]&lt;0.5, AllData[[#This Row],[Time]]&gt;0.17)=TRUE, "Morning", IF(AND(AllData[[#This Row],[Time]]&lt;0.75, AllData[[#This Row],[Time]]&gt;=0.5)=TRUE, "Afternoon", IF(AND(AllData[[#This Row],[Time]]&lt;1, AllData[[#This Row],[Time]]&gt;=0.75)=TRUE, "Evening", "Night")))</f>
        <v>Afternoon</v>
      </c>
      <c r="G494" t="str">
        <f>_xlfn.XLOOKUP(AllData[[#This Row],[Location Name]], Locations[Location Name],Locations[Group As])</f>
        <v>Bell Brook 1</v>
      </c>
      <c r="H494" t="e" vm="2">
        <f>_xlfn.XLOOKUP(AllData[[#This Row],[Site Name]],LocationsKey[Site Name],LocationsKey[District])</f>
        <v>#VALUE!</v>
      </c>
      <c r="I494" t="e" vm="15">
        <f>_xlfn.XLOOKUP(AllData[[#This Row],[Site Name]],LocationsKey[Site Name],LocationsKey[Town])</f>
        <v>#VALUE!</v>
      </c>
      <c r="J494" t="str">
        <f>_xlfn.XLOOKUP(AllData[[#This Row],[Site Name]],LocationsKey[Site Name], LocationsKey[Waterway])</f>
        <v>Bell Brook</v>
      </c>
      <c r="K494" t="s">
        <v>534</v>
      </c>
      <c r="L494">
        <v>52.244900000000001</v>
      </c>
      <c r="M494">
        <v>-1.6617</v>
      </c>
      <c r="N494" t="s">
        <v>23</v>
      </c>
      <c r="O494">
        <v>490</v>
      </c>
      <c r="P494">
        <v>8.8000000000000007</v>
      </c>
      <c r="Q494">
        <v>5</v>
      </c>
      <c r="R494" s="7" t="str">
        <f>IF(AllData[[#This Row],[Nitrate (PPM)]]&gt;2, "Very high", IF(AllData[[#This Row],[Nitrate (PPM)]]&gt;1, "High", IF(AllData[[#This Row],[Nitrate (PPM)]]&gt;0.5, "Some evidence", IF(AllData[[#This Row],[Nitrate (PPM)]]&gt;=0, "No evidence"))))</f>
        <v>Very high</v>
      </c>
      <c r="S494" s="4">
        <v>0.44</v>
      </c>
      <c r="T494" s="7" t="str">
        <f>IF(AllData[[#This Row],[Phosphate (PPM)]]&gt;0.5, "Very high", IF(AllData[[#This Row],[Phosphate (PPM)]]&gt;0.1, "High", IF(AllData[[#This Row],[Phosphate (PPM)]]&gt;0.05, "Some evidence", IF(AllData[[#This Row],[Phosphate (PPM)]]&lt;=0.05, "No Evidence", ""))))</f>
        <v>High</v>
      </c>
      <c r="U494">
        <v>0.5</v>
      </c>
      <c r="V494" t="s">
        <v>756</v>
      </c>
    </row>
    <row r="495" spans="1:22" x14ac:dyDescent="0.25">
      <c r="A495" t="s">
        <v>1746</v>
      </c>
      <c r="B495" s="2">
        <v>45354</v>
      </c>
      <c r="C495" s="2" t="str" cm="1">
        <f t="array" ref="C4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5">
        <f>YEAR(AllData[[#This Row],[Date]])</f>
        <v>2024</v>
      </c>
      <c r="F495" s="2" t="str">
        <f>IF(AND(AllData[[#This Row],[Time]]&lt;0.5, AllData[[#This Row],[Time]]&gt;0.17)=TRUE, "Morning", IF(AND(AllData[[#This Row],[Time]]&lt;0.75, AllData[[#This Row],[Time]]&gt;=0.5)=TRUE, "Afternoon", IF(AND(AllData[[#This Row],[Time]]&lt;1, AllData[[#This Row],[Time]]&gt;=0.75)=TRUE, "Evening", "Night")))</f>
        <v>Night</v>
      </c>
      <c r="G495" t="str">
        <f>_xlfn.XLOOKUP(AllData[[#This Row],[Location Name]], Locations[Location Name],Locations[Group As])</f>
        <v>Site 1  :  Middle Street</v>
      </c>
      <c r="H495" t="e" vm="2">
        <f>_xlfn.XLOOKUP(AllData[[#This Row],[Site Name]],LocationsKey[Site Name],LocationsKey[District])</f>
        <v>#VALUE!</v>
      </c>
      <c r="I495" t="e" vm="11">
        <f>_xlfn.XLOOKUP(AllData[[#This Row],[Site Name]],LocationsKey[Site Name],LocationsKey[Town])</f>
        <v>#VALUE!</v>
      </c>
      <c r="J495" t="str">
        <f>_xlfn.XLOOKUP(AllData[[#This Row],[Site Name]],LocationsKey[Site Name], LocationsKey[Waterway])</f>
        <v>Fosseway Brook</v>
      </c>
      <c r="K495" t="s">
        <v>1859</v>
      </c>
      <c r="L495">
        <v>52.090085000000002</v>
      </c>
      <c r="M495">
        <v>-1.692593</v>
      </c>
      <c r="N495" t="s">
        <v>66</v>
      </c>
      <c r="O495">
        <v>626</v>
      </c>
      <c r="P495">
        <v>7.8</v>
      </c>
      <c r="Q495">
        <v>2</v>
      </c>
      <c r="R495" s="7" t="str">
        <f>IF(AllData[[#This Row],[Nitrate (PPM)]]&gt;2, "Very high", IF(AllData[[#This Row],[Nitrate (PPM)]]&gt;1, "High", IF(AllData[[#This Row],[Nitrate (PPM)]]&gt;0.5, "Some evidence", IF(AllData[[#This Row],[Nitrate (PPM)]]&gt;=0, "No evidence"))))</f>
        <v>High</v>
      </c>
      <c r="S495" s="4">
        <v>7.0000000000000007E-2</v>
      </c>
      <c r="T495" s="7" t="str">
        <f>IF(AllData[[#This Row],[Phosphate (PPM)]]&gt;0.5, "Very high", IF(AllData[[#This Row],[Phosphate (PPM)]]&gt;0.1, "High", IF(AllData[[#This Row],[Phosphate (PPM)]]&gt;0.05, "Some evidence", IF(AllData[[#This Row],[Phosphate (PPM)]]&lt;=0.05, "No Evidence", ""))))</f>
        <v>Some evidence</v>
      </c>
      <c r="U495">
        <v>0</v>
      </c>
      <c r="V495" t="s">
        <v>1895</v>
      </c>
    </row>
    <row r="496" spans="1:22" x14ac:dyDescent="0.25">
      <c r="A496" t="s">
        <v>1457</v>
      </c>
      <c r="B496" s="2">
        <v>45354</v>
      </c>
      <c r="C496" s="2" t="str" cm="1">
        <f t="array" ref="C4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6">
        <f>YEAR(AllData[[#This Row],[Date]])</f>
        <v>2024</v>
      </c>
      <c r="E496" s="1"/>
      <c r="F496" s="2" t="str">
        <f>IF(AND(AllData[[#This Row],[Time]]&lt;0.5, AllData[[#This Row],[Time]]&gt;0.17)=TRUE, "Morning", IF(AND(AllData[[#This Row],[Time]]&lt;0.75, AllData[[#This Row],[Time]]&gt;=0.5)=TRUE, "Afternoon", IF(AND(AllData[[#This Row],[Time]]&lt;1, AllData[[#This Row],[Time]]&gt;=0.75)=TRUE, "Evening", "Night")))</f>
        <v>Night</v>
      </c>
      <c r="G496" t="str">
        <f>_xlfn.XLOOKUP(AllData[[#This Row],[Location Name]], Locations[Location Name],Locations[Group As])</f>
        <v>Site 1  :  Middle Street</v>
      </c>
      <c r="H496" t="e" vm="2">
        <f>_xlfn.XLOOKUP(AllData[[#This Row],[Site Name]],LocationsKey[Site Name],LocationsKey[District])</f>
        <v>#VALUE!</v>
      </c>
      <c r="I496" t="e" vm="11">
        <f>_xlfn.XLOOKUP(AllData[[#This Row],[Site Name]],LocationsKey[Site Name],LocationsKey[Town])</f>
        <v>#VALUE!</v>
      </c>
      <c r="J496" t="str">
        <f>_xlfn.XLOOKUP(AllData[[#This Row],[Site Name]],LocationsKey[Site Name], LocationsKey[Waterway])</f>
        <v>Fosseway Brook</v>
      </c>
      <c r="K496" t="s">
        <v>1373</v>
      </c>
      <c r="L496">
        <v>52.090085000000002</v>
      </c>
      <c r="M496">
        <v>-1.692593</v>
      </c>
      <c r="N496" t="s">
        <v>66</v>
      </c>
      <c r="O496">
        <v>626</v>
      </c>
      <c r="P496">
        <v>7.8</v>
      </c>
      <c r="Q496">
        <v>2</v>
      </c>
      <c r="R496" s="7" t="str">
        <f>IF(AllData[[#This Row],[Nitrate (PPM)]]&gt;2, "Very high", IF(AllData[[#This Row],[Nitrate (PPM)]]&gt;1, "High", IF(AllData[[#This Row],[Nitrate (PPM)]]&gt;0.5, "Some evidence", IF(AllData[[#This Row],[Nitrate (PPM)]]&gt;=0, "No evidence"))))</f>
        <v>High</v>
      </c>
      <c r="S496" s="4">
        <v>7.0000000000000007E-2</v>
      </c>
      <c r="T496" s="7" t="str">
        <f>IF(AllData[[#This Row],[Phosphate (PPM)]]&gt;0.5, "Very high", IF(AllData[[#This Row],[Phosphate (PPM)]]&gt;0.1, "High", IF(AllData[[#This Row],[Phosphate (PPM)]]&gt;0.05, "Some evidence", IF(AllData[[#This Row],[Phosphate (PPM)]]&lt;=0.05, "No Evidence", ""))))</f>
        <v>Some evidence</v>
      </c>
      <c r="V496" t="s">
        <v>1458</v>
      </c>
    </row>
    <row r="497" spans="1:22" x14ac:dyDescent="0.25">
      <c r="A497" t="s">
        <v>1751</v>
      </c>
      <c r="B497" s="2">
        <v>45354</v>
      </c>
      <c r="C497" s="2" t="str" cm="1">
        <f t="array" ref="C4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7">
        <f>YEAR(AllData[[#This Row],[Date]])</f>
        <v>2024</v>
      </c>
      <c r="F497" s="2" t="str">
        <f>IF(AND(AllData[[#This Row],[Time]]&lt;0.5, AllData[[#This Row],[Time]]&gt;0.17)=TRUE, "Morning", IF(AND(AllData[[#This Row],[Time]]&lt;0.75, AllData[[#This Row],[Time]]&gt;=0.5)=TRUE, "Afternoon", IF(AND(AllData[[#This Row],[Time]]&lt;1, AllData[[#This Row],[Time]]&gt;=0.75)=TRUE, "Evening", "Night")))</f>
        <v>Night</v>
      </c>
      <c r="G497" t="str">
        <f>_xlfn.XLOOKUP(AllData[[#This Row],[Location Name]], Locations[Location Name],Locations[Group As])</f>
        <v>Site 2  :  Cross Leys culvert</v>
      </c>
      <c r="H497" t="e" vm="2">
        <f>_xlfn.XLOOKUP(AllData[[#This Row],[Site Name]],LocationsKey[Site Name],LocationsKey[District])</f>
        <v>#VALUE!</v>
      </c>
      <c r="I497" t="e" vm="11">
        <f>_xlfn.XLOOKUP(AllData[[#This Row],[Site Name]],LocationsKey[Site Name],LocationsKey[Town])</f>
        <v>#VALUE!</v>
      </c>
      <c r="J497" t="str">
        <f>_xlfn.XLOOKUP(AllData[[#This Row],[Site Name]],LocationsKey[Site Name], LocationsKey[Waterway])</f>
        <v>Fosseway Brook</v>
      </c>
      <c r="K497" t="s">
        <v>1860</v>
      </c>
      <c r="L497">
        <v>52.092967999999999</v>
      </c>
      <c r="M497">
        <v>-1.6862710000000001</v>
      </c>
      <c r="N497" t="s">
        <v>66</v>
      </c>
      <c r="O497">
        <v>619</v>
      </c>
      <c r="P497">
        <v>7.7</v>
      </c>
      <c r="Q497">
        <v>2</v>
      </c>
      <c r="R497" s="7" t="str">
        <f>IF(AllData[[#This Row],[Nitrate (PPM)]]&gt;2, "Very high", IF(AllData[[#This Row],[Nitrate (PPM)]]&gt;1, "High", IF(AllData[[#This Row],[Nitrate (PPM)]]&gt;0.5, "Some evidence", IF(AllData[[#This Row],[Nitrate (PPM)]]&gt;=0, "No evidence"))))</f>
        <v>High</v>
      </c>
      <c r="S497" s="4">
        <v>0.35</v>
      </c>
      <c r="T497" s="7" t="str">
        <f>IF(AllData[[#This Row],[Phosphate (PPM)]]&gt;0.5, "Very high", IF(AllData[[#This Row],[Phosphate (PPM)]]&gt;0.1, "High", IF(AllData[[#This Row],[Phosphate (PPM)]]&gt;0.05, "Some evidence", IF(AllData[[#This Row],[Phosphate (PPM)]]&lt;=0.05, "No Evidence", ""))))</f>
        <v>High</v>
      </c>
      <c r="U497">
        <v>0</v>
      </c>
      <c r="V497" t="s">
        <v>1899</v>
      </c>
    </row>
    <row r="498" spans="1:22" x14ac:dyDescent="0.25">
      <c r="A498" t="s">
        <v>1451</v>
      </c>
      <c r="B498" s="2">
        <v>45354</v>
      </c>
      <c r="C498" s="2" t="str" cm="1">
        <f t="array" ref="C4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8">
        <f>YEAR(AllData[[#This Row],[Date]])</f>
        <v>2024</v>
      </c>
      <c r="E498" s="1"/>
      <c r="F498" s="2" t="str">
        <f>IF(AND(AllData[[#This Row],[Time]]&lt;0.5, AllData[[#This Row],[Time]]&gt;0.17)=TRUE, "Morning", IF(AND(AllData[[#This Row],[Time]]&lt;0.75, AllData[[#This Row],[Time]]&gt;=0.5)=TRUE, "Afternoon", IF(AND(AllData[[#This Row],[Time]]&lt;1, AllData[[#This Row],[Time]]&gt;=0.75)=TRUE, "Evening", "Night")))</f>
        <v>Night</v>
      </c>
      <c r="G498" t="str">
        <f>_xlfn.XLOOKUP(AllData[[#This Row],[Location Name]], Locations[Location Name],Locations[Group As])</f>
        <v>Site 2  :  Cross Leys culvert</v>
      </c>
      <c r="H498" t="e" vm="2">
        <f>_xlfn.XLOOKUP(AllData[[#This Row],[Site Name]],LocationsKey[Site Name],LocationsKey[District])</f>
        <v>#VALUE!</v>
      </c>
      <c r="I498" t="e" vm="11">
        <f>_xlfn.XLOOKUP(AllData[[#This Row],[Site Name]],LocationsKey[Site Name],LocationsKey[Town])</f>
        <v>#VALUE!</v>
      </c>
      <c r="J498" t="str">
        <f>_xlfn.XLOOKUP(AllData[[#This Row],[Site Name]],LocationsKey[Site Name], LocationsKey[Waterway])</f>
        <v>Fosseway Brook</v>
      </c>
      <c r="K498" t="s">
        <v>1371</v>
      </c>
      <c r="L498">
        <v>52.092967999999999</v>
      </c>
      <c r="M498">
        <v>-1.6862710000000001</v>
      </c>
      <c r="N498" t="s">
        <v>66</v>
      </c>
      <c r="O498">
        <v>619</v>
      </c>
      <c r="P498">
        <v>7.7</v>
      </c>
      <c r="Q498">
        <v>2</v>
      </c>
      <c r="R498" s="7" t="str">
        <f>IF(AllData[[#This Row],[Nitrate (PPM)]]&gt;2, "Very high", IF(AllData[[#This Row],[Nitrate (PPM)]]&gt;1, "High", IF(AllData[[#This Row],[Nitrate (PPM)]]&gt;0.5, "Some evidence", IF(AllData[[#This Row],[Nitrate (PPM)]]&gt;=0, "No evidence"))))</f>
        <v>High</v>
      </c>
      <c r="S498" s="4">
        <v>0.35</v>
      </c>
      <c r="T498" s="7" t="str">
        <f>IF(AllData[[#This Row],[Phosphate (PPM)]]&gt;0.5, "Very high", IF(AllData[[#This Row],[Phosphate (PPM)]]&gt;0.1, "High", IF(AllData[[#This Row],[Phosphate (PPM)]]&gt;0.05, "Some evidence", IF(AllData[[#This Row],[Phosphate (PPM)]]&lt;=0.05, "No Evidence", ""))))</f>
        <v>High</v>
      </c>
      <c r="V498" t="s">
        <v>1445</v>
      </c>
    </row>
    <row r="499" spans="1:22" x14ac:dyDescent="0.25">
      <c r="A499" t="s">
        <v>1756</v>
      </c>
      <c r="B499" s="2">
        <v>45354</v>
      </c>
      <c r="C499" s="2" t="str" cm="1">
        <f t="array" ref="C4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9">
        <f>YEAR(AllData[[#This Row],[Date]])</f>
        <v>2024</v>
      </c>
      <c r="F499" s="2" t="str">
        <f>IF(AND(AllData[[#This Row],[Time]]&lt;0.5, AllData[[#This Row],[Time]]&gt;0.17)=TRUE, "Morning", IF(AND(AllData[[#This Row],[Time]]&lt;0.75, AllData[[#This Row],[Time]]&gt;=0.5)=TRUE, "Afternoon", IF(AND(AllData[[#This Row],[Time]]&lt;1, AllData[[#This Row],[Time]]&gt;=0.75)=TRUE, "Evening", "Night")))</f>
        <v>Night</v>
      </c>
      <c r="G499" t="str">
        <f>_xlfn.XLOOKUP(AllData[[#This Row],[Location Name]], Locations[Location Name],Locations[Group As])</f>
        <v>Site 3  :  Severn Trent Water processing plant outflow</v>
      </c>
      <c r="H499" t="e" vm="2">
        <f>_xlfn.XLOOKUP(AllData[[#This Row],[Site Name]],LocationsKey[Site Name],LocationsKey[District])</f>
        <v>#VALUE!</v>
      </c>
      <c r="I499" t="e" vm="11">
        <f>_xlfn.XLOOKUP(AllData[[#This Row],[Site Name]],LocationsKey[Site Name],LocationsKey[Town])</f>
        <v>#VALUE!</v>
      </c>
      <c r="J499" t="str">
        <f>_xlfn.XLOOKUP(AllData[[#This Row],[Site Name]],LocationsKey[Site Name], LocationsKey[Waterway])</f>
        <v>Fosseway Brook</v>
      </c>
      <c r="K499" t="s">
        <v>1861</v>
      </c>
      <c r="L499">
        <v>52.094423999999997</v>
      </c>
      <c r="M499">
        <v>-1.6759090000000001</v>
      </c>
      <c r="N499" t="s">
        <v>29</v>
      </c>
      <c r="O499">
        <v>723</v>
      </c>
      <c r="P499">
        <v>8.8000000000000007</v>
      </c>
      <c r="Q499">
        <v>5</v>
      </c>
      <c r="R499" s="7" t="str">
        <f>IF(AllData[[#This Row],[Nitrate (PPM)]]&gt;2, "Very high", IF(AllData[[#This Row],[Nitrate (PPM)]]&gt;1, "High", IF(AllData[[#This Row],[Nitrate (PPM)]]&gt;0.5, "Some evidence", IF(AllData[[#This Row],[Nitrate (PPM)]]&gt;=0, "No evidence"))))</f>
        <v>Very high</v>
      </c>
      <c r="S499" s="4">
        <v>2.5</v>
      </c>
      <c r="T499" s="7" t="str">
        <f>IF(AllData[[#This Row],[Phosphate (PPM)]]&gt;0.5, "Very high", IF(AllData[[#This Row],[Phosphate (PPM)]]&gt;0.1, "High", IF(AllData[[#This Row],[Phosphate (PPM)]]&gt;0.05, "Some evidence", IF(AllData[[#This Row],[Phosphate (PPM)]]&lt;=0.05, "No Evidence", ""))))</f>
        <v>Very high</v>
      </c>
      <c r="U499">
        <v>0</v>
      </c>
      <c r="V499" t="s">
        <v>1902</v>
      </c>
    </row>
    <row r="500" spans="1:22" x14ac:dyDescent="0.25">
      <c r="A500" t="s">
        <v>1444</v>
      </c>
      <c r="B500" s="2">
        <v>45354</v>
      </c>
      <c r="C500" s="2" t="str" cm="1">
        <f t="array" ref="C5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0">
        <f>YEAR(AllData[[#This Row],[Date]])</f>
        <v>2024</v>
      </c>
      <c r="E500" s="1"/>
      <c r="F500" s="2" t="str">
        <f>IF(AND(AllData[[#This Row],[Time]]&lt;0.5, AllData[[#This Row],[Time]]&gt;0.17)=TRUE, "Morning", IF(AND(AllData[[#This Row],[Time]]&lt;0.75, AllData[[#This Row],[Time]]&gt;=0.5)=TRUE, "Afternoon", IF(AND(AllData[[#This Row],[Time]]&lt;1, AllData[[#This Row],[Time]]&gt;=0.75)=TRUE, "Evening", "Night")))</f>
        <v>Night</v>
      </c>
      <c r="G500" t="str">
        <f>_xlfn.XLOOKUP(AllData[[#This Row],[Location Name]], Locations[Location Name],Locations[Group As])</f>
        <v>Site 3  :  Severn Trent Water processing plant outflow</v>
      </c>
      <c r="H500" t="e" vm="2">
        <f>_xlfn.XLOOKUP(AllData[[#This Row],[Site Name]],LocationsKey[Site Name],LocationsKey[District])</f>
        <v>#VALUE!</v>
      </c>
      <c r="I500" t="e" vm="11">
        <f>_xlfn.XLOOKUP(AllData[[#This Row],[Site Name]],LocationsKey[Site Name],LocationsKey[Town])</f>
        <v>#VALUE!</v>
      </c>
      <c r="J500" t="str">
        <f>_xlfn.XLOOKUP(AllData[[#This Row],[Site Name]],LocationsKey[Site Name], LocationsKey[Waterway])</f>
        <v>Fosseway Brook</v>
      </c>
      <c r="K500" t="s">
        <v>1368</v>
      </c>
      <c r="L500">
        <v>52.094423999999997</v>
      </c>
      <c r="M500">
        <v>-1.6759090000000001</v>
      </c>
      <c r="N500" t="s">
        <v>29</v>
      </c>
      <c r="O500">
        <v>723</v>
      </c>
      <c r="P500">
        <v>8.8000000000000007</v>
      </c>
      <c r="Q500">
        <v>5</v>
      </c>
      <c r="R500" s="7" t="str">
        <f>IF(AllData[[#This Row],[Nitrate (PPM)]]&gt;2, "Very high", IF(AllData[[#This Row],[Nitrate (PPM)]]&gt;1, "High", IF(AllData[[#This Row],[Nitrate (PPM)]]&gt;0.5, "Some evidence", IF(AllData[[#This Row],[Nitrate (PPM)]]&gt;=0, "No evidence"))))</f>
        <v>Very high</v>
      </c>
      <c r="S500" s="4">
        <v>2.5</v>
      </c>
      <c r="T500" s="7" t="str">
        <f>IF(AllData[[#This Row],[Phosphate (PPM)]]&gt;0.5, "Very high", IF(AllData[[#This Row],[Phosphate (PPM)]]&gt;0.1, "High", IF(AllData[[#This Row],[Phosphate (PPM)]]&gt;0.05, "Some evidence", IF(AllData[[#This Row],[Phosphate (PPM)]]&lt;=0.05, "No Evidence", ""))))</f>
        <v>Very high</v>
      </c>
      <c r="V500" t="s">
        <v>1445</v>
      </c>
    </row>
    <row r="501" spans="1:22" x14ac:dyDescent="0.25">
      <c r="A501" t="s">
        <v>758</v>
      </c>
      <c r="B501" s="2">
        <v>45355</v>
      </c>
      <c r="C501" s="2" t="str" cm="1">
        <f t="array" ref="C5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1">
        <f>YEAR(AllData[[#This Row],[Date]])</f>
        <v>2024</v>
      </c>
      <c r="E501" s="1">
        <v>0.37569444444444444</v>
      </c>
      <c r="F501" s="2" t="str">
        <f>IF(AND(AllData[[#This Row],[Time]]&lt;0.5, AllData[[#This Row],[Time]]&gt;0.17)=TRUE, "Morning", IF(AND(AllData[[#This Row],[Time]]&lt;0.75, AllData[[#This Row],[Time]]&gt;=0.5)=TRUE, "Afternoon", IF(AND(AllData[[#This Row],[Time]]&lt;1, AllData[[#This Row],[Time]]&gt;=0.75)=TRUE, "Evening", "Night")))</f>
        <v>Morning</v>
      </c>
      <c r="G501" t="str">
        <f>_xlfn.XLOOKUP(AllData[[#This Row],[Location Name]], Locations[Location Name],Locations[Group As])</f>
        <v>Stour Stretton-on-Fosse Village</v>
      </c>
      <c r="H501" t="e" vm="2">
        <f>_xlfn.XLOOKUP(AllData[[#This Row],[Site Name]],LocationsKey[Site Name],LocationsKey[District])</f>
        <v>#VALUE!</v>
      </c>
      <c r="I501" t="e" vm="14">
        <f>_xlfn.XLOOKUP(AllData[[#This Row],[Site Name]],LocationsKey[Site Name],LocationsKey[Town])</f>
        <v>#VALUE!</v>
      </c>
      <c r="J501" t="str">
        <f>_xlfn.XLOOKUP(AllData[[#This Row],[Site Name]],LocationsKey[Site Name], LocationsKey[Waterway])</f>
        <v>Stour</v>
      </c>
      <c r="K501" t="s">
        <v>544</v>
      </c>
      <c r="L501">
        <v>52.046526999999998</v>
      </c>
      <c r="M501">
        <v>-1.673324</v>
      </c>
      <c r="N501" t="s">
        <v>66</v>
      </c>
      <c r="O501">
        <v>551</v>
      </c>
      <c r="P501">
        <v>5.5</v>
      </c>
      <c r="Q501">
        <v>1</v>
      </c>
      <c r="R501" s="7" t="str">
        <f>IF(AllData[[#This Row],[Nitrate (PPM)]]&gt;2, "Very high", IF(AllData[[#This Row],[Nitrate (PPM)]]&gt;1, "High", IF(AllData[[#This Row],[Nitrate (PPM)]]&gt;0.5, "Some evidence", IF(AllData[[#This Row],[Nitrate (PPM)]]&gt;=0, "No evidence"))))</f>
        <v>Some evidence</v>
      </c>
      <c r="S501" s="4">
        <v>1.0900000000000001</v>
      </c>
      <c r="T501" s="7" t="str">
        <f>IF(AllData[[#This Row],[Phosphate (PPM)]]&gt;0.5, "Very high", IF(AllData[[#This Row],[Phosphate (PPM)]]&gt;0.1, "High", IF(AllData[[#This Row],[Phosphate (PPM)]]&gt;0.05, "Some evidence", IF(AllData[[#This Row],[Phosphate (PPM)]]&lt;=0.05, "No Evidence", ""))))</f>
        <v>Very high</v>
      </c>
      <c r="U501">
        <v>0.2</v>
      </c>
    </row>
    <row r="502" spans="1:22" x14ac:dyDescent="0.25">
      <c r="A502" t="s">
        <v>759</v>
      </c>
      <c r="B502" s="2">
        <v>45355</v>
      </c>
      <c r="C502" s="2" t="str" cm="1">
        <f t="array" ref="C5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2">
        <f>YEAR(AllData[[#This Row],[Date]])</f>
        <v>2024</v>
      </c>
      <c r="E502" s="1">
        <v>0.38819444444444445</v>
      </c>
      <c r="F502" s="2" t="str">
        <f>IF(AND(AllData[[#This Row],[Time]]&lt;0.5, AllData[[#This Row],[Time]]&gt;0.17)=TRUE, "Morning", IF(AND(AllData[[#This Row],[Time]]&lt;0.75, AllData[[#This Row],[Time]]&gt;=0.5)=TRUE, "Afternoon", IF(AND(AllData[[#This Row],[Time]]&lt;1, AllData[[#This Row],[Time]]&gt;=0.75)=TRUE, "Evening", "Night")))</f>
        <v>Morning</v>
      </c>
      <c r="G502" t="str">
        <f>_xlfn.XLOOKUP(AllData[[#This Row],[Location Name]], Locations[Location Name],Locations[Group As])</f>
        <v>Stour Stretton-on-Fosse Sewage Works</v>
      </c>
      <c r="H502" t="e" vm="2">
        <f>_xlfn.XLOOKUP(AllData[[#This Row],[Site Name]],LocationsKey[Site Name],LocationsKey[District])</f>
        <v>#VALUE!</v>
      </c>
      <c r="I502" t="e" vm="14">
        <f>_xlfn.XLOOKUP(AllData[[#This Row],[Site Name]],LocationsKey[Site Name],LocationsKey[Town])</f>
        <v>#VALUE!</v>
      </c>
      <c r="J502" t="str">
        <f>_xlfn.XLOOKUP(AllData[[#This Row],[Site Name]],LocationsKey[Site Name], LocationsKey[Waterway])</f>
        <v>Stour</v>
      </c>
      <c r="K502" t="s">
        <v>335</v>
      </c>
      <c r="L502">
        <v>52.045676999999998</v>
      </c>
      <c r="M502">
        <v>-1.671869</v>
      </c>
      <c r="N502" t="s">
        <v>29</v>
      </c>
      <c r="O502">
        <v>599</v>
      </c>
      <c r="P502">
        <v>5.0999999999999996</v>
      </c>
      <c r="Q502">
        <v>2</v>
      </c>
      <c r="R502" s="7" t="str">
        <f>IF(AllData[[#This Row],[Nitrate (PPM)]]&gt;2, "Very high", IF(AllData[[#This Row],[Nitrate (PPM)]]&gt;1, "High", IF(AllData[[#This Row],[Nitrate (PPM)]]&gt;0.5, "Some evidence", IF(AllData[[#This Row],[Nitrate (PPM)]]&gt;=0, "No evidence"))))</f>
        <v>High</v>
      </c>
      <c r="S502" s="4">
        <v>1.5</v>
      </c>
      <c r="T502" s="7" t="str">
        <f>IF(AllData[[#This Row],[Phosphate (PPM)]]&gt;0.5, "Very high", IF(AllData[[#This Row],[Phosphate (PPM)]]&gt;0.1, "High", IF(AllData[[#This Row],[Phosphate (PPM)]]&gt;0.05, "Some evidence", IF(AllData[[#This Row],[Phosphate (PPM)]]&lt;=0.05, "No Evidence", ""))))</f>
        <v>Very high</v>
      </c>
      <c r="U502">
        <v>0.3</v>
      </c>
    </row>
    <row r="503" spans="1:22" x14ac:dyDescent="0.25">
      <c r="A503" t="s">
        <v>760</v>
      </c>
      <c r="B503" s="2">
        <v>45355</v>
      </c>
      <c r="C503" s="2" t="str" cm="1">
        <f t="array" ref="C5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3">
        <f>YEAR(AllData[[#This Row],[Date]])</f>
        <v>2024</v>
      </c>
      <c r="E503" s="1">
        <v>0.59375</v>
      </c>
      <c r="F503" s="2" t="str">
        <f>IF(AND(AllData[[#This Row],[Time]]&lt;0.5, AllData[[#This Row],[Time]]&gt;0.17)=TRUE, "Morning", IF(AND(AllData[[#This Row],[Time]]&lt;0.75, AllData[[#This Row],[Time]]&gt;=0.5)=TRUE, "Afternoon", IF(AND(AllData[[#This Row],[Time]]&lt;1, AllData[[#This Row],[Time]]&gt;=0.75)=TRUE, "Evening", "Night")))</f>
        <v>Afternoon</v>
      </c>
      <c r="G503" t="str">
        <f>_xlfn.XLOOKUP(AllData[[#This Row],[Location Name]], Locations[Location Name],Locations[Group As])</f>
        <v>Swiffen Bank</v>
      </c>
      <c r="H503" t="e" vm="2">
        <f>_xlfn.XLOOKUP(AllData[[#This Row],[Site Name]],LocationsKey[Site Name],LocationsKey[District])</f>
        <v>#VALUE!</v>
      </c>
      <c r="I503" t="e" vm="13">
        <f>_xlfn.XLOOKUP(AllData[[#This Row],[Site Name]],LocationsKey[Site Name],LocationsKey[Town])</f>
        <v>#VALUE!</v>
      </c>
      <c r="J503" t="str">
        <f>_xlfn.XLOOKUP(AllData[[#This Row],[Site Name]],LocationsKey[Site Name], LocationsKey[Waterway])</f>
        <v>Avon</v>
      </c>
      <c r="K503" t="s">
        <v>284</v>
      </c>
      <c r="L503">
        <v>52.206477999999997</v>
      </c>
      <c r="M503">
        <v>-1.653894</v>
      </c>
      <c r="N503" t="s">
        <v>29</v>
      </c>
      <c r="O503" s="219">
        <v>568</v>
      </c>
      <c r="P503">
        <v>8.8000000000000007</v>
      </c>
      <c r="Q503" s="219">
        <v>5</v>
      </c>
      <c r="R503" s="7" t="str">
        <f>IF(AllData[[#This Row],[Nitrate (PPM)]]&gt;2, "Very high", IF(AllData[[#This Row],[Nitrate (PPM)]]&gt;1, "High", IF(AllData[[#This Row],[Nitrate (PPM)]]&gt;0.5, "Some evidence", IF(AllData[[#This Row],[Nitrate (PPM)]]&gt;=0, "No evidence"))))</f>
        <v>Very high</v>
      </c>
      <c r="S503" s="221">
        <v>0.32</v>
      </c>
      <c r="T503" s="7" t="str">
        <f>IF(AllData[[#This Row],[Phosphate (PPM)]]&gt;0.5, "Very high", IF(AllData[[#This Row],[Phosphate (PPM)]]&gt;0.1, "High", IF(AllData[[#This Row],[Phosphate (PPM)]]&gt;0.05, "Some evidence", IF(AllData[[#This Row],[Phosphate (PPM)]]&lt;=0.05, "No Evidence", ""))))</f>
        <v>High</v>
      </c>
      <c r="U503">
        <v>0.75</v>
      </c>
      <c r="V503" t="s">
        <v>761</v>
      </c>
    </row>
    <row r="504" spans="1:22" x14ac:dyDescent="0.25">
      <c r="A504" t="s">
        <v>762</v>
      </c>
      <c r="B504" s="2">
        <v>45355</v>
      </c>
      <c r="C504" s="2" t="str" cm="1">
        <f t="array" ref="C5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4">
        <f>YEAR(AllData[[#This Row],[Date]])</f>
        <v>2024</v>
      </c>
      <c r="E504" s="1">
        <v>0.59513888888888888</v>
      </c>
      <c r="F504" s="2" t="str">
        <f>IF(AND(AllData[[#This Row],[Time]]&lt;0.5, AllData[[#This Row],[Time]]&gt;0.17)=TRUE, "Morning", IF(AND(AllData[[#This Row],[Time]]&lt;0.75, AllData[[#This Row],[Time]]&gt;=0.5)=TRUE, "Afternoon", IF(AND(AllData[[#This Row],[Time]]&lt;1, AllData[[#This Row],[Time]]&gt;=0.75)=TRUE, "Evening", "Night")))</f>
        <v>Afternoon</v>
      </c>
      <c r="G504" t="str">
        <f>_xlfn.XLOOKUP(AllData[[#This Row],[Location Name]], Locations[Location Name],Locations[Group As])</f>
        <v>Alveston Weir</v>
      </c>
      <c r="H504" t="e" vm="2">
        <f>_xlfn.XLOOKUP(AllData[[#This Row],[Site Name]],LocationsKey[Site Name],LocationsKey[District])</f>
        <v>#VALUE!</v>
      </c>
      <c r="I504" t="e" vm="13">
        <f>_xlfn.XLOOKUP(AllData[[#This Row],[Site Name]],LocationsKey[Site Name],LocationsKey[Town])</f>
        <v>#VALUE!</v>
      </c>
      <c r="J504" t="str">
        <f>_xlfn.XLOOKUP(AllData[[#This Row],[Site Name]],LocationsKey[Site Name], LocationsKey[Waterway])</f>
        <v>Avon</v>
      </c>
      <c r="K504" t="s">
        <v>286</v>
      </c>
      <c r="L504">
        <v>52.214320000000001</v>
      </c>
      <c r="M504">
        <v>-1.6599330000000001</v>
      </c>
      <c r="N504" t="s">
        <v>29</v>
      </c>
      <c r="O504" s="219">
        <v>561</v>
      </c>
      <c r="P504">
        <v>8.8000000000000007</v>
      </c>
      <c r="Q504" s="219">
        <v>5</v>
      </c>
      <c r="R504" s="7" t="str">
        <f>IF(AllData[[#This Row],[Nitrate (PPM)]]&gt;2, "Very high", IF(AllData[[#This Row],[Nitrate (PPM)]]&gt;1, "High", IF(AllData[[#This Row],[Nitrate (PPM)]]&gt;0.5, "Some evidence", IF(AllData[[#This Row],[Nitrate (PPM)]]&gt;=0, "No evidence"))))</f>
        <v>Very high</v>
      </c>
      <c r="S504" s="221">
        <v>0.42</v>
      </c>
      <c r="T504" s="7" t="str">
        <f>IF(AllData[[#This Row],[Phosphate (PPM)]]&gt;0.5, "Very high", IF(AllData[[#This Row],[Phosphate (PPM)]]&gt;0.1, "High", IF(AllData[[#This Row],[Phosphate (PPM)]]&gt;0.05, "Some evidence", IF(AllData[[#This Row],[Phosphate (PPM)]]&lt;=0.05, "No Evidence", ""))))</f>
        <v>High</v>
      </c>
      <c r="U504">
        <v>0.75</v>
      </c>
    </row>
    <row r="505" spans="1:22" x14ac:dyDescent="0.25">
      <c r="A505" t="s">
        <v>763</v>
      </c>
      <c r="B505" s="2">
        <v>45356</v>
      </c>
      <c r="C505" s="2" t="str" cm="1">
        <f t="array" ref="C5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5">
        <f>YEAR(AllData[[#This Row],[Date]])</f>
        <v>2024</v>
      </c>
      <c r="E505" s="1">
        <v>0.76736111111111116</v>
      </c>
      <c r="F505" s="2" t="str">
        <f>IF(AND(AllData[[#This Row],[Time]]&lt;0.5, AllData[[#This Row],[Time]]&gt;0.17)=TRUE, "Morning", IF(AND(AllData[[#This Row],[Time]]&lt;0.75, AllData[[#This Row],[Time]]&gt;=0.5)=TRUE, "Afternoon", IF(AND(AllData[[#This Row],[Time]]&lt;1, AllData[[#This Row],[Time]]&gt;=0.75)=TRUE, "Evening", "Night")))</f>
        <v>Evening</v>
      </c>
      <c r="G505" t="str">
        <f>_xlfn.XLOOKUP(AllData[[#This Row],[Location Name]], Locations[Location Name],Locations[Group As])</f>
        <v>Abbey Mill</v>
      </c>
      <c r="H505" t="e" vm="1">
        <f>_xlfn.XLOOKUP(AllData[[#This Row],[Site Name]],LocationsKey[Site Name],LocationsKey[District])</f>
        <v>#VALUE!</v>
      </c>
      <c r="I505" t="e" vm="1">
        <f>_xlfn.XLOOKUP(AllData[[#This Row],[Site Name]],LocationsKey[Site Name],LocationsKey[Town])</f>
        <v>#VALUE!</v>
      </c>
      <c r="J505" t="str">
        <f>_xlfn.XLOOKUP(AllData[[#This Row],[Site Name]],LocationsKey[Site Name], LocationsKey[Waterway])</f>
        <v>Avon</v>
      </c>
      <c r="K505" t="s">
        <v>25</v>
      </c>
      <c r="L505">
        <v>51.991326000000001</v>
      </c>
      <c r="M505">
        <v>-2.1621950000000001</v>
      </c>
      <c r="N505" t="s">
        <v>23</v>
      </c>
      <c r="O505">
        <v>709</v>
      </c>
      <c r="P505">
        <v>8.4</v>
      </c>
      <c r="Q505">
        <v>5</v>
      </c>
      <c r="R505" s="7" t="str">
        <f>IF(AllData[[#This Row],[Nitrate (PPM)]]&gt;2, "Very high", IF(AllData[[#This Row],[Nitrate (PPM)]]&gt;1, "High", IF(AllData[[#This Row],[Nitrate (PPM)]]&gt;0.5, "Some evidence", IF(AllData[[#This Row],[Nitrate (PPM)]]&gt;=0, "No evidence"))))</f>
        <v>Very high</v>
      </c>
      <c r="S505" s="4">
        <v>0.5</v>
      </c>
      <c r="T505" s="7" t="str">
        <f>IF(AllData[[#This Row],[Phosphate (PPM)]]&gt;0.5, "Very high", IF(AllData[[#This Row],[Phosphate (PPM)]]&gt;0.1, "High", IF(AllData[[#This Row],[Phosphate (PPM)]]&gt;0.05, "Some evidence", IF(AllData[[#This Row],[Phosphate (PPM)]]&lt;=0.05, "No Evidence", ""))))</f>
        <v>High</v>
      </c>
      <c r="U505">
        <v>0.3</v>
      </c>
    </row>
    <row r="506" spans="1:22" x14ac:dyDescent="0.25">
      <c r="A506" t="s">
        <v>764</v>
      </c>
      <c r="B506" s="2">
        <v>45357</v>
      </c>
      <c r="C506" s="2" t="str" cm="1">
        <f t="array" ref="C5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6">
        <f>YEAR(AllData[[#This Row],[Date]])</f>
        <v>2024</v>
      </c>
      <c r="E506" s="1">
        <v>0.68055555555555558</v>
      </c>
      <c r="F506" s="2" t="str">
        <f>IF(AND(AllData[[#This Row],[Time]]&lt;0.5, AllData[[#This Row],[Time]]&gt;0.17)=TRUE, "Morning", IF(AND(AllData[[#This Row],[Time]]&lt;0.75, AllData[[#This Row],[Time]]&gt;=0.5)=TRUE, "Afternoon", IF(AND(AllData[[#This Row],[Time]]&lt;1, AllData[[#This Row],[Time]]&gt;=0.75)=TRUE, "Evening", "Night")))</f>
        <v>Afternoon</v>
      </c>
      <c r="G506" t="str">
        <f>_xlfn.XLOOKUP(AllData[[#This Row],[Location Name]], Locations[Location Name],Locations[Group As])</f>
        <v>Stour Newbold Mill</v>
      </c>
      <c r="H506" t="e" vm="2">
        <f>_xlfn.XLOOKUP(AllData[[#This Row],[Site Name]],LocationsKey[Site Name],LocationsKey[District])</f>
        <v>#VALUE!</v>
      </c>
      <c r="I506" t="e" vm="8">
        <f>_xlfn.XLOOKUP(AllData[[#This Row],[Site Name]],LocationsKey[Site Name],LocationsKey[Town])</f>
        <v>#VALUE!</v>
      </c>
      <c r="J506" t="str">
        <f>_xlfn.XLOOKUP(AllData[[#This Row],[Site Name]],LocationsKey[Site Name], LocationsKey[Waterway])</f>
        <v>Stour</v>
      </c>
      <c r="K506" t="s">
        <v>140</v>
      </c>
      <c r="L506">
        <v>52.112834999999997</v>
      </c>
      <c r="M506">
        <v>-1.633446</v>
      </c>
      <c r="N506" t="s">
        <v>29</v>
      </c>
      <c r="O506">
        <v>607</v>
      </c>
      <c r="P506">
        <v>10.199999999999999</v>
      </c>
      <c r="Q506">
        <v>2</v>
      </c>
      <c r="R506" s="7" t="str">
        <f>IF(AllData[[#This Row],[Nitrate (PPM)]]&gt;2, "Very high", IF(AllData[[#This Row],[Nitrate (PPM)]]&gt;1, "High", IF(AllData[[#This Row],[Nitrate (PPM)]]&gt;0.5, "Some evidence", IF(AllData[[#This Row],[Nitrate (PPM)]]&gt;=0, "No evidence"))))</f>
        <v>High</v>
      </c>
      <c r="S506" s="4">
        <v>0.27</v>
      </c>
      <c r="T506" s="7" t="str">
        <f>IF(AllData[[#This Row],[Phosphate (PPM)]]&gt;0.5, "Very high", IF(AllData[[#This Row],[Phosphate (PPM)]]&gt;0.1, "High", IF(AllData[[#This Row],[Phosphate (PPM)]]&gt;0.05, "Some evidence", IF(AllData[[#This Row],[Phosphate (PPM)]]&lt;=0.05, "No Evidence", ""))))</f>
        <v>High</v>
      </c>
      <c r="U506">
        <v>2.5</v>
      </c>
      <c r="V506" t="s">
        <v>765</v>
      </c>
    </row>
    <row r="507" spans="1:22" x14ac:dyDescent="0.25">
      <c r="A507" t="s">
        <v>766</v>
      </c>
      <c r="B507" s="2">
        <v>45358</v>
      </c>
      <c r="C507" s="2" t="str" cm="1">
        <f t="array" ref="C5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7">
        <f>YEAR(AllData[[#This Row],[Date]])</f>
        <v>2024</v>
      </c>
      <c r="E507" s="1">
        <v>0.47847222222222224</v>
      </c>
      <c r="F507" s="2" t="str">
        <f>IF(AND(AllData[[#This Row],[Time]]&lt;0.5, AllData[[#This Row],[Time]]&gt;0.17)=TRUE, "Morning", IF(AND(AllData[[#This Row],[Time]]&lt;0.75, AllData[[#This Row],[Time]]&gt;=0.5)=TRUE, "Afternoon", IF(AND(AllData[[#This Row],[Time]]&lt;1, AllData[[#This Row],[Time]]&gt;=0.75)=TRUE, "Evening", "Night")))</f>
        <v>Morning</v>
      </c>
      <c r="G507" t="str">
        <f>_xlfn.XLOOKUP(AllData[[#This Row],[Location Name]], Locations[Location Name],Locations[Group As])</f>
        <v>Stour Willington</v>
      </c>
      <c r="H507" t="e" vm="2">
        <f>_xlfn.XLOOKUP(AllData[[#This Row],[Site Name]],LocationsKey[Site Name],LocationsKey[District])</f>
        <v>#VALUE!</v>
      </c>
      <c r="I507" t="str">
        <f>_xlfn.XLOOKUP(AllData[[#This Row],[Site Name]],LocationsKey[Site Name],LocationsKey[Town])</f>
        <v>Willington</v>
      </c>
      <c r="J507" t="str">
        <f>_xlfn.XLOOKUP(AllData[[#This Row],[Site Name]],LocationsKey[Site Name], LocationsKey[Waterway])</f>
        <v>Stour</v>
      </c>
      <c r="K507" t="s">
        <v>517</v>
      </c>
      <c r="L507">
        <v>52.053597000000003</v>
      </c>
      <c r="M507">
        <v>-1.620241</v>
      </c>
      <c r="N507" t="s">
        <v>23</v>
      </c>
      <c r="O507">
        <v>590</v>
      </c>
      <c r="P507">
        <v>9</v>
      </c>
      <c r="Q507">
        <v>5</v>
      </c>
      <c r="R507" s="7" t="str">
        <f>IF(AllData[[#This Row],[Nitrate (PPM)]]&gt;2, "Very high", IF(AllData[[#This Row],[Nitrate (PPM)]]&gt;1, "High", IF(AllData[[#This Row],[Nitrate (PPM)]]&gt;0.5, "Some evidence", IF(AllData[[#This Row],[Nitrate (PPM)]]&gt;=0, "No evidence"))))</f>
        <v>Very high</v>
      </c>
      <c r="S507" s="4">
        <v>0.14000000000000001</v>
      </c>
      <c r="T507" s="7" t="str">
        <f>IF(AllData[[#This Row],[Phosphate (PPM)]]&gt;0.5, "Very high", IF(AllData[[#This Row],[Phosphate (PPM)]]&gt;0.1, "High", IF(AllData[[#This Row],[Phosphate (PPM)]]&gt;0.05, "Some evidence", IF(AllData[[#This Row],[Phosphate (PPM)]]&lt;=0.05, "No Evidence", ""))))</f>
        <v>High</v>
      </c>
      <c r="U507">
        <v>0.5</v>
      </c>
    </row>
    <row r="508" spans="1:22" x14ac:dyDescent="0.25">
      <c r="A508" t="s">
        <v>767</v>
      </c>
      <c r="B508" s="2">
        <v>45359</v>
      </c>
      <c r="C508" s="2" t="str" cm="1">
        <f t="array" ref="C5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8">
        <f>YEAR(AllData[[#This Row],[Date]])</f>
        <v>2024</v>
      </c>
      <c r="E508" s="1">
        <v>0.36388888888888887</v>
      </c>
      <c r="F508" s="2" t="str">
        <f>IF(AND(AllData[[#This Row],[Time]]&lt;0.5, AllData[[#This Row],[Time]]&gt;0.17)=TRUE, "Morning", IF(AND(AllData[[#This Row],[Time]]&lt;0.75, AllData[[#This Row],[Time]]&gt;=0.5)=TRUE, "Afternoon", IF(AND(AllData[[#This Row],[Time]]&lt;1, AllData[[#This Row],[Time]]&gt;=0.75)=TRUE, "Evening", "Night")))</f>
        <v>Morning</v>
      </c>
      <c r="G508" t="str">
        <f>_xlfn.XLOOKUP(AllData[[#This Row],[Location Name]], Locations[Location Name],Locations[Group As])</f>
        <v>Mill Bridge Peopleton</v>
      </c>
      <c r="H508" t="e" vm="17">
        <f>_xlfn.XLOOKUP(AllData[[#This Row],[Site Name]],LocationsKey[Site Name],LocationsKey[District])</f>
        <v>#VALUE!</v>
      </c>
      <c r="I508" t="str">
        <f>_xlfn.XLOOKUP(AllData[[#This Row],[Site Name]],LocationsKey[Site Name],LocationsKey[Town])</f>
        <v>Peopleton</v>
      </c>
      <c r="J508" t="str">
        <f>_xlfn.XLOOKUP(AllData[[#This Row],[Site Name]],LocationsKey[Site Name], LocationsKey[Waterway])</f>
        <v>Bow Brook</v>
      </c>
      <c r="K508" t="s">
        <v>768</v>
      </c>
      <c r="L508">
        <v>52.151504000000003</v>
      </c>
      <c r="M508">
        <v>-2.0960640000000001</v>
      </c>
      <c r="N508" t="s">
        <v>29</v>
      </c>
      <c r="O508">
        <v>975</v>
      </c>
      <c r="P508">
        <v>9.3000000000000007</v>
      </c>
      <c r="Q508">
        <v>5</v>
      </c>
      <c r="R508" s="7" t="str">
        <f>IF(AllData[[#This Row],[Nitrate (PPM)]]&gt;2, "Very high", IF(AllData[[#This Row],[Nitrate (PPM)]]&gt;1, "High", IF(AllData[[#This Row],[Nitrate (PPM)]]&gt;0.5, "Some evidence", IF(AllData[[#This Row],[Nitrate (PPM)]]&gt;=0, "No evidence"))))</f>
        <v>Very high</v>
      </c>
      <c r="S508" s="4">
        <v>0.8</v>
      </c>
      <c r="T508" s="7" t="str">
        <f>IF(AllData[[#This Row],[Phosphate (PPM)]]&gt;0.5, "Very high", IF(AllData[[#This Row],[Phosphate (PPM)]]&gt;0.1, "High", IF(AllData[[#This Row],[Phosphate (PPM)]]&gt;0.05, "Some evidence", IF(AllData[[#This Row],[Phosphate (PPM)]]&lt;=0.05, "No Evidence", ""))))</f>
        <v>Very high</v>
      </c>
      <c r="U508">
        <v>0.75</v>
      </c>
      <c r="V508" t="s">
        <v>769</v>
      </c>
    </row>
    <row r="509" spans="1:22" x14ac:dyDescent="0.25">
      <c r="A509" t="s">
        <v>770</v>
      </c>
      <c r="B509" s="2">
        <v>45359</v>
      </c>
      <c r="C509" s="2" t="str" cm="1">
        <f t="array" ref="C5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9">
        <f>YEAR(AllData[[#This Row],[Date]])</f>
        <v>2024</v>
      </c>
      <c r="E509" s="1">
        <v>0.39930555555555558</v>
      </c>
      <c r="F509" s="2" t="str">
        <f>IF(AND(AllData[[#This Row],[Time]]&lt;0.5, AllData[[#This Row],[Time]]&gt;0.17)=TRUE, "Morning", IF(AND(AllData[[#This Row],[Time]]&lt;0.75, AllData[[#This Row],[Time]]&gt;=0.5)=TRUE, "Afternoon", IF(AND(AllData[[#This Row],[Time]]&lt;1, AllData[[#This Row],[Time]]&gt;=0.75)=TRUE, "Evening", "Night")))</f>
        <v>Morning</v>
      </c>
      <c r="G509" t="str">
        <f>_xlfn.XLOOKUP(AllData[[#This Row],[Location Name]], Locations[Location Name],Locations[Group As])</f>
        <v>The Ford, Langley</v>
      </c>
      <c r="H509" t="e" vm="2">
        <f>_xlfn.XLOOKUP(AllData[[#This Row],[Site Name]],LocationsKey[Site Name],LocationsKey[District])</f>
        <v>#VALUE!</v>
      </c>
      <c r="I509" t="str">
        <f>_xlfn.XLOOKUP(AllData[[#This Row],[Site Name]],LocationsKey[Site Name],LocationsKey[Town])</f>
        <v>Langley</v>
      </c>
      <c r="J509" t="str">
        <f>_xlfn.XLOOKUP(AllData[[#This Row],[Site Name]],LocationsKey[Site Name], LocationsKey[Waterway])</f>
        <v>Langley Ford</v>
      </c>
      <c r="K509" t="s">
        <v>526</v>
      </c>
      <c r="L509">
        <v>52.259639</v>
      </c>
      <c r="M509">
        <v>-1.7181999999999999</v>
      </c>
      <c r="N509" t="s">
        <v>29</v>
      </c>
      <c r="O509">
        <v>661</v>
      </c>
      <c r="P509">
        <v>8</v>
      </c>
      <c r="Q509">
        <v>5</v>
      </c>
      <c r="R509" s="7" t="str">
        <f>IF(AllData[[#This Row],[Nitrate (PPM)]]&gt;2, "Very high", IF(AllData[[#This Row],[Nitrate (PPM)]]&gt;1, "High", IF(AllData[[#This Row],[Nitrate (PPM)]]&gt;0.5, "Some evidence", IF(AllData[[#This Row],[Nitrate (PPM)]]&gt;=0, "No evidence"))))</f>
        <v>Very high</v>
      </c>
      <c r="S509" s="4">
        <v>0.6</v>
      </c>
      <c r="T509" s="7" t="str">
        <f>IF(AllData[[#This Row],[Phosphate (PPM)]]&gt;0.5, "Very high", IF(AllData[[#This Row],[Phosphate (PPM)]]&gt;0.1, "High", IF(AllData[[#This Row],[Phosphate (PPM)]]&gt;0.05, "Some evidence", IF(AllData[[#This Row],[Phosphate (PPM)]]&lt;=0.05, "No Evidence", ""))))</f>
        <v>Very high</v>
      </c>
      <c r="U509">
        <v>0.25</v>
      </c>
      <c r="V509" t="s">
        <v>771</v>
      </c>
    </row>
    <row r="510" spans="1:22" x14ac:dyDescent="0.25">
      <c r="A510" t="s">
        <v>772</v>
      </c>
      <c r="B510" s="2">
        <v>45359</v>
      </c>
      <c r="C510" s="2" t="str" cm="1">
        <f t="array" ref="C5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0">
        <f>YEAR(AllData[[#This Row],[Date]])</f>
        <v>2024</v>
      </c>
      <c r="E510" s="1">
        <v>0.57361111111111107</v>
      </c>
      <c r="F510" s="2" t="str">
        <f>IF(AND(AllData[[#This Row],[Time]]&lt;0.5, AllData[[#This Row],[Time]]&gt;0.17)=TRUE, "Morning", IF(AND(AllData[[#This Row],[Time]]&lt;0.75, AllData[[#This Row],[Time]]&gt;=0.5)=TRUE, "Afternoon", IF(AND(AllData[[#This Row],[Time]]&lt;1, AllData[[#This Row],[Time]]&gt;=0.75)=TRUE, "Evening", "Night")))</f>
        <v>Afternoon</v>
      </c>
      <c r="G510" t="str">
        <f>_xlfn.XLOOKUP(AllData[[#This Row],[Location Name]], Locations[Location Name],Locations[Group As])</f>
        <v>Preston-on-Stour River Bridge</v>
      </c>
      <c r="H510" t="e" vm="2">
        <f>_xlfn.XLOOKUP(AllData[[#This Row],[Site Name]],LocationsKey[Site Name],LocationsKey[District])</f>
        <v>#VALUE!</v>
      </c>
      <c r="I510" t="e" vm="9">
        <f>_xlfn.XLOOKUP(AllData[[#This Row],[Site Name]],LocationsKey[Site Name],LocationsKey[Town])</f>
        <v>#VALUE!</v>
      </c>
      <c r="J510" t="str">
        <f>_xlfn.XLOOKUP(AllData[[#This Row],[Site Name]],LocationsKey[Site Name], LocationsKey[Waterway])</f>
        <v>Stour</v>
      </c>
      <c r="K510" t="s">
        <v>163</v>
      </c>
      <c r="L510">
        <v>52.146436000000001</v>
      </c>
      <c r="M510">
        <v>-1.699813</v>
      </c>
      <c r="N510" t="s">
        <v>29</v>
      </c>
      <c r="O510" s="219">
        <v>647</v>
      </c>
      <c r="P510">
        <v>8.4</v>
      </c>
      <c r="Q510" s="219">
        <v>7</v>
      </c>
      <c r="R510" s="7" t="str">
        <f>IF(AllData[[#This Row],[Nitrate (PPM)]]&gt;2, "Very high", IF(AllData[[#This Row],[Nitrate (PPM)]]&gt;1, "High", IF(AllData[[#This Row],[Nitrate (PPM)]]&gt;0.5, "Some evidence", IF(AllData[[#This Row],[Nitrate (PPM)]]&gt;=0, "No evidence"))))</f>
        <v>Very high</v>
      </c>
      <c r="S510" s="221">
        <v>0.22</v>
      </c>
      <c r="T510" s="7" t="str">
        <f>IF(AllData[[#This Row],[Phosphate (PPM)]]&gt;0.5, "Very high", IF(AllData[[#This Row],[Phosphate (PPM)]]&gt;0.1, "High", IF(AllData[[#This Row],[Phosphate (PPM)]]&gt;0.05, "Some evidence", IF(AllData[[#This Row],[Phosphate (PPM)]]&lt;=0.05, "No Evidence", ""))))</f>
        <v>High</v>
      </c>
      <c r="U510">
        <v>1.5</v>
      </c>
    </row>
    <row r="511" spans="1:22" x14ac:dyDescent="0.25">
      <c r="A511" t="s">
        <v>773</v>
      </c>
      <c r="B511" s="2">
        <v>45359</v>
      </c>
      <c r="C511" s="2" t="str" cm="1">
        <f t="array" ref="C5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1">
        <f>YEAR(AllData[[#This Row],[Date]])</f>
        <v>2024</v>
      </c>
      <c r="E511" s="1">
        <v>0.66666666666666663</v>
      </c>
      <c r="F511" s="2" t="str">
        <f>IF(AND(AllData[[#This Row],[Time]]&lt;0.5, AllData[[#This Row],[Time]]&gt;0.17)=TRUE, "Morning", IF(AND(AllData[[#This Row],[Time]]&lt;0.75, AllData[[#This Row],[Time]]&gt;=0.5)=TRUE, "Afternoon", IF(AND(AllData[[#This Row],[Time]]&lt;1, AllData[[#This Row],[Time]]&gt;=0.75)=TRUE, "Evening", "Night")))</f>
        <v>Afternoon</v>
      </c>
      <c r="G511" t="str">
        <f>_xlfn.XLOOKUP(AllData[[#This Row],[Location Name]], Locations[Location Name],Locations[Group As])</f>
        <v>Preston Bagot Canal</v>
      </c>
      <c r="H511" t="e" vm="2">
        <f>_xlfn.XLOOKUP(AllData[[#This Row],[Site Name]],LocationsKey[Site Name],LocationsKey[District])</f>
        <v>#VALUE!</v>
      </c>
      <c r="I511" t="e" vm="19">
        <f>_xlfn.XLOOKUP(AllData[[#This Row],[Site Name]],LocationsKey[Site Name],LocationsKey[Town])</f>
        <v>#VALUE!</v>
      </c>
      <c r="J511" t="str">
        <f>_xlfn.XLOOKUP(AllData[[#This Row],[Site Name]],LocationsKey[Site Name], LocationsKey[Waterway])</f>
        <v>Preston Bagot Canal</v>
      </c>
      <c r="K511" t="s">
        <v>615</v>
      </c>
      <c r="N511" t="s">
        <v>23</v>
      </c>
      <c r="O511">
        <v>338</v>
      </c>
      <c r="P511">
        <v>9.5</v>
      </c>
      <c r="Q511">
        <v>2.5</v>
      </c>
      <c r="R511" s="7" t="str">
        <f>IF(AllData[[#This Row],[Nitrate (PPM)]]&gt;2, "Very high", IF(AllData[[#This Row],[Nitrate (PPM)]]&gt;1, "High", IF(AllData[[#This Row],[Nitrate (PPM)]]&gt;0.5, "Some evidence", IF(AllData[[#This Row],[Nitrate (PPM)]]&gt;=0, "No evidence"))))</f>
        <v>Very high</v>
      </c>
      <c r="S511" s="4">
        <v>0.34</v>
      </c>
      <c r="T511" s="7" t="str">
        <f>IF(AllData[[#This Row],[Phosphate (PPM)]]&gt;0.5, "Very high", IF(AllData[[#This Row],[Phosphate (PPM)]]&gt;0.1, "High", IF(AllData[[#This Row],[Phosphate (PPM)]]&gt;0.05, "Some evidence", IF(AllData[[#This Row],[Phosphate (PPM)]]&lt;=0.05, "No Evidence", ""))))</f>
        <v>High</v>
      </c>
      <c r="U511">
        <v>0</v>
      </c>
    </row>
    <row r="512" spans="1:22" x14ac:dyDescent="0.25">
      <c r="A512" t="s">
        <v>774</v>
      </c>
      <c r="B512" s="2">
        <v>45359</v>
      </c>
      <c r="C512" s="2" t="str" cm="1">
        <f t="array" ref="C5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2">
        <f>YEAR(AllData[[#This Row],[Date]])</f>
        <v>2024</v>
      </c>
      <c r="E512" s="1">
        <v>0.67708333333333337</v>
      </c>
      <c r="F512" s="2" t="str">
        <f>IF(AND(AllData[[#This Row],[Time]]&lt;0.5, AllData[[#This Row],[Time]]&gt;0.17)=TRUE, "Morning", IF(AND(AllData[[#This Row],[Time]]&lt;0.75, AllData[[#This Row],[Time]]&gt;=0.5)=TRUE, "Afternoon", IF(AND(AllData[[#This Row],[Time]]&lt;1, AllData[[#This Row],[Time]]&gt;=0.75)=TRUE, "Evening", "Night")))</f>
        <v>Afternoon</v>
      </c>
      <c r="G512" t="str">
        <f>_xlfn.XLOOKUP(AllData[[#This Row],[Location Name]], Locations[Location Name],Locations[Group As])</f>
        <v>Preston Bagot Brook</v>
      </c>
      <c r="H512" t="e" vm="2">
        <f>_xlfn.XLOOKUP(AllData[[#This Row],[Site Name]],LocationsKey[Site Name],LocationsKey[District])</f>
        <v>#VALUE!</v>
      </c>
      <c r="I512" t="e" vm="19">
        <f>_xlfn.XLOOKUP(AllData[[#This Row],[Site Name]],LocationsKey[Site Name],LocationsKey[Town])</f>
        <v>#VALUE!</v>
      </c>
      <c r="J512" t="str">
        <f>_xlfn.XLOOKUP(AllData[[#This Row],[Site Name]],LocationsKey[Site Name], LocationsKey[Waterway])</f>
        <v>Preston Bagot Brook</v>
      </c>
      <c r="K512" t="s">
        <v>618</v>
      </c>
      <c r="L512">
        <v>52.286200000000001</v>
      </c>
      <c r="M512">
        <v>-1.7478</v>
      </c>
      <c r="N512" t="s">
        <v>23</v>
      </c>
      <c r="O512">
        <v>745</v>
      </c>
      <c r="P512">
        <v>10.1</v>
      </c>
      <c r="Q512">
        <v>2.5</v>
      </c>
      <c r="R512" s="7" t="str">
        <f>IF(AllData[[#This Row],[Nitrate (PPM)]]&gt;2, "Very high", IF(AllData[[#This Row],[Nitrate (PPM)]]&gt;1, "High", IF(AllData[[#This Row],[Nitrate (PPM)]]&gt;0.5, "Some evidence", IF(AllData[[#This Row],[Nitrate (PPM)]]&gt;=0, "No evidence"))))</f>
        <v>Very high</v>
      </c>
      <c r="S512" s="4">
        <v>0.57999999999999996</v>
      </c>
      <c r="T512" s="7" t="str">
        <f>IF(AllData[[#This Row],[Phosphate (PPM)]]&gt;0.5, "Very high", IF(AllData[[#This Row],[Phosphate (PPM)]]&gt;0.1, "High", IF(AllData[[#This Row],[Phosphate (PPM)]]&gt;0.05, "Some evidence", IF(AllData[[#This Row],[Phosphate (PPM)]]&lt;=0.05, "No Evidence", ""))))</f>
        <v>Very high</v>
      </c>
      <c r="U512">
        <v>0</v>
      </c>
    </row>
    <row r="513" spans="1:22" x14ac:dyDescent="0.25">
      <c r="A513" t="s">
        <v>775</v>
      </c>
      <c r="B513" s="2">
        <v>45359</v>
      </c>
      <c r="C513" s="2" t="str" cm="1">
        <f t="array" ref="C5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3">
        <f>YEAR(AllData[[#This Row],[Date]])</f>
        <v>2024</v>
      </c>
      <c r="E513" s="1">
        <v>0.67986111111111114</v>
      </c>
      <c r="F513" s="2" t="str">
        <f>IF(AND(AllData[[#This Row],[Time]]&lt;0.5, AllData[[#This Row],[Time]]&gt;0.17)=TRUE, "Morning", IF(AND(AllData[[#This Row],[Time]]&lt;0.75, AllData[[#This Row],[Time]]&gt;=0.5)=TRUE, "Afternoon", IF(AND(AllData[[#This Row],[Time]]&lt;1, AllData[[#This Row],[Time]]&gt;=0.75)=TRUE, "Evening", "Night")))</f>
        <v>Afternoon</v>
      </c>
      <c r="G513" t="str">
        <f>_xlfn.XLOOKUP(AllData[[#This Row],[Location Name]], Locations[Location Name],Locations[Group As])</f>
        <v>Walcot Lane, Bow Brook Ford</v>
      </c>
      <c r="H513" t="e" vm="17">
        <f>_xlfn.XLOOKUP(AllData[[#This Row],[Site Name]],LocationsKey[Site Name],LocationsKey[District])</f>
        <v>#VALUE!</v>
      </c>
      <c r="I513" t="e" vm="18">
        <f>_xlfn.XLOOKUP(AllData[[#This Row],[Site Name]],LocationsKey[Site Name],LocationsKey[Town])</f>
        <v>#VALUE!</v>
      </c>
      <c r="J513" t="str">
        <f>_xlfn.XLOOKUP(AllData[[#This Row],[Site Name]],LocationsKey[Site Name], LocationsKey[Waterway])</f>
        <v>Bow Brook</v>
      </c>
      <c r="K513" t="s">
        <v>732</v>
      </c>
      <c r="L513">
        <v>52.130406999999998</v>
      </c>
      <c r="M513">
        <v>-2.0783399999999999</v>
      </c>
      <c r="N513" t="s">
        <v>776</v>
      </c>
      <c r="O513">
        <v>848</v>
      </c>
      <c r="P513">
        <v>8.8000000000000007</v>
      </c>
      <c r="Q513">
        <v>5</v>
      </c>
      <c r="R513" s="7" t="str">
        <f>IF(AllData[[#This Row],[Nitrate (PPM)]]&gt;2, "Very high", IF(AllData[[#This Row],[Nitrate (PPM)]]&gt;1, "High", IF(AllData[[#This Row],[Nitrate (PPM)]]&gt;0.5, "Some evidence", IF(AllData[[#This Row],[Nitrate (PPM)]]&gt;=0, "No evidence"))))</f>
        <v>Very high</v>
      </c>
      <c r="S513" s="4">
        <v>0.77</v>
      </c>
      <c r="T513" s="7" t="str">
        <f>IF(AllData[[#This Row],[Phosphate (PPM)]]&gt;0.5, "Very high", IF(AllData[[#This Row],[Phosphate (PPM)]]&gt;0.1, "High", IF(AllData[[#This Row],[Phosphate (PPM)]]&gt;0.05, "Some evidence", IF(AllData[[#This Row],[Phosphate (PPM)]]&lt;=0.05, "No Evidence", ""))))</f>
        <v>Very high</v>
      </c>
      <c r="U513">
        <v>0.4</v>
      </c>
      <c r="V513" t="s">
        <v>777</v>
      </c>
    </row>
    <row r="514" spans="1:22" x14ac:dyDescent="0.25">
      <c r="A514" t="s">
        <v>778</v>
      </c>
      <c r="B514" s="2">
        <v>45360</v>
      </c>
      <c r="C514" s="2" t="str" cm="1">
        <f t="array" ref="C5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4">
        <f>YEAR(AllData[[#This Row],[Date]])</f>
        <v>2024</v>
      </c>
      <c r="E514" s="1">
        <v>0.37569444444444444</v>
      </c>
      <c r="F514" s="2" t="str">
        <f>IF(AND(AllData[[#This Row],[Time]]&lt;0.5, AllData[[#This Row],[Time]]&gt;0.17)=TRUE, "Morning", IF(AND(AllData[[#This Row],[Time]]&lt;0.75, AllData[[#This Row],[Time]]&gt;=0.5)=TRUE, "Afternoon", IF(AND(AllData[[#This Row],[Time]]&lt;1, AllData[[#This Row],[Time]]&gt;=0.75)=TRUE, "Evening", "Night")))</f>
        <v>Morning</v>
      </c>
      <c r="G514" t="str">
        <f>_xlfn.XLOOKUP(AllData[[#This Row],[Location Name]], Locations[Location Name],Locations[Group As])</f>
        <v>Swilgate</v>
      </c>
      <c r="H514" t="e" vm="1">
        <f>_xlfn.XLOOKUP(AllData[[#This Row],[Site Name]],LocationsKey[Site Name],LocationsKey[District])</f>
        <v>#VALUE!</v>
      </c>
      <c r="I514" t="e" vm="1">
        <f>_xlfn.XLOOKUP(AllData[[#This Row],[Site Name]],LocationsKey[Site Name],LocationsKey[Town])</f>
        <v>#VALUE!</v>
      </c>
      <c r="J514" t="str">
        <f>_xlfn.XLOOKUP(AllData[[#This Row],[Site Name]],LocationsKey[Site Name], LocationsKey[Waterway])</f>
        <v>Swilgate</v>
      </c>
      <c r="K514" t="s">
        <v>480</v>
      </c>
      <c r="L514">
        <v>51.988512</v>
      </c>
      <c r="M514">
        <v>-2.1639599999999999</v>
      </c>
      <c r="N514" t="s">
        <v>23</v>
      </c>
      <c r="O514">
        <v>861</v>
      </c>
      <c r="P514">
        <v>9.5</v>
      </c>
      <c r="Q514">
        <v>7</v>
      </c>
      <c r="R514" s="7" t="str">
        <f>IF(AllData[[#This Row],[Nitrate (PPM)]]&gt;2, "Very high", IF(AllData[[#This Row],[Nitrate (PPM)]]&gt;1, "High", IF(AllData[[#This Row],[Nitrate (PPM)]]&gt;0.5, "Some evidence", IF(AllData[[#This Row],[Nitrate (PPM)]]&gt;=0, "No evidence"))))</f>
        <v>Very high</v>
      </c>
      <c r="S514" s="4">
        <v>0.6</v>
      </c>
      <c r="T514" s="7" t="str">
        <f>IF(AllData[[#This Row],[Phosphate (PPM)]]&gt;0.5, "Very high", IF(AllData[[#This Row],[Phosphate (PPM)]]&gt;0.1, "High", IF(AllData[[#This Row],[Phosphate (PPM)]]&gt;0.05, "Some evidence", IF(AllData[[#This Row],[Phosphate (PPM)]]&lt;=0.05, "No Evidence", ""))))</f>
        <v>Very high</v>
      </c>
      <c r="U514">
        <v>0</v>
      </c>
    </row>
    <row r="515" spans="1:22" x14ac:dyDescent="0.25">
      <c r="A515" t="s">
        <v>779</v>
      </c>
      <c r="B515" s="2">
        <v>45360</v>
      </c>
      <c r="C515" s="2" t="str" cm="1">
        <f t="array" ref="C5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5">
        <f>YEAR(AllData[[#This Row],[Date]])</f>
        <v>2024</v>
      </c>
      <c r="E515" s="1">
        <v>0.5</v>
      </c>
      <c r="F515" s="2" t="str">
        <f>IF(AND(AllData[[#This Row],[Time]]&lt;0.5, AllData[[#This Row],[Time]]&gt;0.17)=TRUE, "Morning", IF(AND(AllData[[#This Row],[Time]]&lt;0.75, AllData[[#This Row],[Time]]&gt;=0.5)=TRUE, "Afternoon", IF(AND(AllData[[#This Row],[Time]]&lt;1, AllData[[#This Row],[Time]]&gt;=0.75)=TRUE, "Evening", "Night")))</f>
        <v>Afternoon</v>
      </c>
      <c r="G515" t="str">
        <f>_xlfn.XLOOKUP(AllData[[#This Row],[Location Name]], Locations[Location Name],Locations[Group As])</f>
        <v>Carrant Bredon Rd</v>
      </c>
      <c r="H515" t="e" vm="1">
        <f>_xlfn.XLOOKUP(AllData[[#This Row],[Site Name]],LocationsKey[Site Name],LocationsKey[District])</f>
        <v>#VALUE!</v>
      </c>
      <c r="I515" t="e" vm="1">
        <f>_xlfn.XLOOKUP(AllData[[#This Row],[Site Name]],LocationsKey[Site Name],LocationsKey[Town])</f>
        <v>#VALUE!</v>
      </c>
      <c r="J515" t="str">
        <f>_xlfn.XLOOKUP(AllData[[#This Row],[Site Name]],LocationsKey[Site Name], LocationsKey[Waterway])</f>
        <v>Carrant</v>
      </c>
      <c r="K515" t="s">
        <v>600</v>
      </c>
      <c r="L515">
        <v>51.996478000000003</v>
      </c>
      <c r="M515">
        <v>-2.155986</v>
      </c>
      <c r="N515" t="s">
        <v>23</v>
      </c>
      <c r="O515">
        <v>736</v>
      </c>
      <c r="P515">
        <v>9.6</v>
      </c>
      <c r="Q515">
        <v>7</v>
      </c>
      <c r="R515" s="7" t="str">
        <f>IF(AllData[[#This Row],[Nitrate (PPM)]]&gt;2, "Very high", IF(AllData[[#This Row],[Nitrate (PPM)]]&gt;1, "High", IF(AllData[[#This Row],[Nitrate (PPM)]]&gt;0.5, "Some evidence", IF(AllData[[#This Row],[Nitrate (PPM)]]&gt;=0, "No evidence"))))</f>
        <v>Very high</v>
      </c>
      <c r="S515" s="4">
        <v>0.28000000000000003</v>
      </c>
      <c r="T515" s="7" t="str">
        <f>IF(AllData[[#This Row],[Phosphate (PPM)]]&gt;0.5, "Very high", IF(AllData[[#This Row],[Phosphate (PPM)]]&gt;0.1, "High", IF(AllData[[#This Row],[Phosphate (PPM)]]&gt;0.05, "Some evidence", IF(AllData[[#This Row],[Phosphate (PPM)]]&lt;=0.05, "No Evidence", ""))))</f>
        <v>High</v>
      </c>
      <c r="U515">
        <v>7.4999999999999997E-2</v>
      </c>
      <c r="V515" t="s">
        <v>780</v>
      </c>
    </row>
    <row r="516" spans="1:22" x14ac:dyDescent="0.25">
      <c r="A516" t="s">
        <v>781</v>
      </c>
      <c r="B516" s="2">
        <v>45360</v>
      </c>
      <c r="C516" s="2" t="str" cm="1">
        <f t="array" ref="C5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6">
        <f>YEAR(AllData[[#This Row],[Date]])</f>
        <v>2024</v>
      </c>
      <c r="E516" s="1">
        <v>0.51597222222222228</v>
      </c>
      <c r="F516" s="2" t="str">
        <f>IF(AND(AllData[[#This Row],[Time]]&lt;0.5, AllData[[#This Row],[Time]]&gt;0.17)=TRUE, "Morning", IF(AND(AllData[[#This Row],[Time]]&lt;0.75, AllData[[#This Row],[Time]]&gt;=0.5)=TRUE, "Afternoon", IF(AND(AllData[[#This Row],[Time]]&lt;1, AllData[[#This Row],[Time]]&gt;=0.75)=TRUE, "Evening", "Night")))</f>
        <v>Afternoon</v>
      </c>
      <c r="G516" t="str">
        <f>_xlfn.XLOOKUP(AllData[[#This Row],[Location Name]], Locations[Location Name],Locations[Group As])</f>
        <v>Piddle Brook Wyre Piddle Bridge</v>
      </c>
      <c r="H516" t="e" vm="17">
        <f>_xlfn.XLOOKUP(AllData[[#This Row],[Site Name]],LocationsKey[Site Name],LocationsKey[District])</f>
        <v>#VALUE!</v>
      </c>
      <c r="I516" t="e" vm="20">
        <f>_xlfn.XLOOKUP(AllData[[#This Row],[Site Name]],LocationsKey[Site Name],LocationsKey[Town])</f>
        <v>#VALUE!</v>
      </c>
      <c r="J516" t="str">
        <f>_xlfn.XLOOKUP(AllData[[#This Row],[Site Name]],LocationsKey[Site Name], LocationsKey[Waterway])</f>
        <v>Piddle Brook</v>
      </c>
      <c r="K516" t="s">
        <v>744</v>
      </c>
      <c r="N516" t="s">
        <v>23</v>
      </c>
      <c r="O516">
        <v>1060</v>
      </c>
      <c r="P516">
        <v>8.6</v>
      </c>
      <c r="Q516">
        <v>5</v>
      </c>
      <c r="R516" s="7" t="str">
        <f>IF(AllData[[#This Row],[Nitrate (PPM)]]&gt;2, "Very high", IF(AllData[[#This Row],[Nitrate (PPM)]]&gt;1, "High", IF(AllData[[#This Row],[Nitrate (PPM)]]&gt;0.5, "Some evidence", IF(AllData[[#This Row],[Nitrate (PPM)]]&gt;=0, "No evidence"))))</f>
        <v>Very high</v>
      </c>
      <c r="S516" s="4">
        <v>0.51</v>
      </c>
      <c r="T516" s="7" t="str">
        <f>IF(AllData[[#This Row],[Phosphate (PPM)]]&gt;0.5, "Very high", IF(AllData[[#This Row],[Phosphate (PPM)]]&gt;0.1, "High", IF(AllData[[#This Row],[Phosphate (PPM)]]&gt;0.05, "Some evidence", IF(AllData[[#This Row],[Phosphate (PPM)]]&lt;=0.05, "No Evidence", ""))))</f>
        <v>Very high</v>
      </c>
      <c r="U516">
        <v>0.28999999999999998</v>
      </c>
      <c r="V516" t="s">
        <v>782</v>
      </c>
    </row>
    <row r="517" spans="1:22" x14ac:dyDescent="0.25">
      <c r="A517" t="s">
        <v>783</v>
      </c>
      <c r="B517" s="2">
        <v>45360</v>
      </c>
      <c r="C517" s="2" t="str" cm="1">
        <f t="array" ref="C5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7">
        <f>YEAR(AllData[[#This Row],[Date]])</f>
        <v>2024</v>
      </c>
      <c r="E517" s="1">
        <v>0.5444444444444444</v>
      </c>
      <c r="F517" s="2" t="str">
        <f>IF(AND(AllData[[#This Row],[Time]]&lt;0.5, AllData[[#This Row],[Time]]&gt;0.17)=TRUE, "Morning", IF(AND(AllData[[#This Row],[Time]]&lt;0.75, AllData[[#This Row],[Time]]&gt;=0.5)=TRUE, "Afternoon", IF(AND(AllData[[#This Row],[Time]]&lt;1, AllData[[#This Row],[Time]]&gt;=0.75)=TRUE, "Evening", "Night")))</f>
        <v>Afternoon</v>
      </c>
      <c r="G517" t="str">
        <f>_xlfn.XLOOKUP(AllData[[#This Row],[Location Name]], Locations[Location Name],Locations[Group As])</f>
        <v>Avon Smiths Meadow Wyre Piddle</v>
      </c>
      <c r="H517" t="e" vm="17">
        <f>_xlfn.XLOOKUP(AllData[[#This Row],[Site Name]],LocationsKey[Site Name],LocationsKey[District])</f>
        <v>#VALUE!</v>
      </c>
      <c r="I517" t="e" vm="20">
        <f>_xlfn.XLOOKUP(AllData[[#This Row],[Site Name]],LocationsKey[Site Name],LocationsKey[Town])</f>
        <v>#VALUE!</v>
      </c>
      <c r="J517" t="str">
        <f>_xlfn.XLOOKUP(AllData[[#This Row],[Site Name]],LocationsKey[Site Name], LocationsKey[Waterway])</f>
        <v>Avon</v>
      </c>
      <c r="K517" t="s">
        <v>741</v>
      </c>
      <c r="L517">
        <v>52.122912999999997</v>
      </c>
      <c r="M517">
        <v>-2.0574750000000002</v>
      </c>
      <c r="N517" t="s">
        <v>23</v>
      </c>
      <c r="O517" s="219">
        <v>313</v>
      </c>
      <c r="P517">
        <v>9.4</v>
      </c>
      <c r="Q517" s="219">
        <v>10</v>
      </c>
      <c r="R517" s="7" t="str">
        <f>IF(AllData[[#This Row],[Nitrate (PPM)]]&gt;2, "Very high", IF(AllData[[#This Row],[Nitrate (PPM)]]&gt;1, "High", IF(AllData[[#This Row],[Nitrate (PPM)]]&gt;0.5, "Some evidence", IF(AllData[[#This Row],[Nitrate (PPM)]]&gt;=0, "No evidence"))))</f>
        <v>Very high</v>
      </c>
      <c r="S517" s="221">
        <v>0.56999999999999995</v>
      </c>
      <c r="T517" s="7" t="str">
        <f>IF(AllData[[#This Row],[Phosphate (PPM)]]&gt;0.5, "Very high", IF(AllData[[#This Row],[Phosphate (PPM)]]&gt;0.1, "High", IF(AllData[[#This Row],[Phosphate (PPM)]]&gt;0.05, "Some evidence", IF(AllData[[#This Row],[Phosphate (PPM)]]&lt;=0.05, "No Evidence", ""))))</f>
        <v>Very high</v>
      </c>
      <c r="U517">
        <v>0.78</v>
      </c>
      <c r="V517" t="s">
        <v>784</v>
      </c>
    </row>
    <row r="518" spans="1:22" x14ac:dyDescent="0.25">
      <c r="A518" t="s">
        <v>785</v>
      </c>
      <c r="B518" s="2">
        <v>45360</v>
      </c>
      <c r="C518" s="2" t="str" cm="1">
        <f t="array" ref="C5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8">
        <f>YEAR(AllData[[#This Row],[Date]])</f>
        <v>2024</v>
      </c>
      <c r="E518" s="1">
        <v>0.65902777777777777</v>
      </c>
      <c r="F518" s="2" t="str">
        <f>IF(AND(AllData[[#This Row],[Time]]&lt;0.5, AllData[[#This Row],[Time]]&gt;0.17)=TRUE, "Morning", IF(AND(AllData[[#This Row],[Time]]&lt;0.75, AllData[[#This Row],[Time]]&gt;=0.5)=TRUE, "Afternoon", IF(AND(AllData[[#This Row],[Time]]&lt;1, AllData[[#This Row],[Time]]&gt;=0.75)=TRUE, "Evening", "Night")))</f>
        <v>Afternoon</v>
      </c>
      <c r="G518" t="str">
        <f>_xlfn.XLOOKUP(AllData[[#This Row],[Location Name]], Locations[Location Name],Locations[Group As])</f>
        <v>Black Bear</v>
      </c>
      <c r="H518" t="e" vm="1">
        <f>_xlfn.XLOOKUP(AllData[[#This Row],[Site Name]],LocationsKey[Site Name],LocationsKey[District])</f>
        <v>#VALUE!</v>
      </c>
      <c r="I518" t="e" vm="1">
        <f>_xlfn.XLOOKUP(AllData[[#This Row],[Site Name]],LocationsKey[Site Name],LocationsKey[Town])</f>
        <v>#VALUE!</v>
      </c>
      <c r="J518" t="str">
        <f>_xlfn.XLOOKUP(AllData[[#This Row],[Site Name]],LocationsKey[Site Name], LocationsKey[Waterway])</f>
        <v>Avon</v>
      </c>
      <c r="K518" t="s">
        <v>567</v>
      </c>
      <c r="L518">
        <v>51.997199999999999</v>
      </c>
      <c r="M518">
        <v>-2.1560839999999999</v>
      </c>
      <c r="N518" t="s">
        <v>23</v>
      </c>
      <c r="O518">
        <v>780</v>
      </c>
      <c r="P518">
        <v>9.8000000000000007</v>
      </c>
      <c r="Q518">
        <v>5</v>
      </c>
      <c r="R518" s="7" t="str">
        <f>IF(AllData[[#This Row],[Nitrate (PPM)]]&gt;2, "Very high", IF(AllData[[#This Row],[Nitrate (PPM)]]&gt;1, "High", IF(AllData[[#This Row],[Nitrate (PPM)]]&gt;0.5, "Some evidence", IF(AllData[[#This Row],[Nitrate (PPM)]]&gt;=0, "No evidence"))))</f>
        <v>Very high</v>
      </c>
      <c r="S518" s="4">
        <v>0.48</v>
      </c>
      <c r="T518" s="7" t="str">
        <f>IF(AllData[[#This Row],[Phosphate (PPM)]]&gt;0.5, "Very high", IF(AllData[[#This Row],[Phosphate (PPM)]]&gt;0.1, "High", IF(AllData[[#This Row],[Phosphate (PPM)]]&gt;0.05, "Some evidence", IF(AllData[[#This Row],[Phosphate (PPM)]]&lt;=0.05, "No Evidence", ""))))</f>
        <v>High</v>
      </c>
      <c r="U518">
        <v>0</v>
      </c>
    </row>
    <row r="519" spans="1:22" x14ac:dyDescent="0.25">
      <c r="A519" t="s">
        <v>1780</v>
      </c>
      <c r="B519" s="2">
        <v>45360</v>
      </c>
      <c r="C519" s="2" t="str" cm="1">
        <f t="array" ref="C5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9">
        <f>YEAR(AllData[[#This Row],[Date]])</f>
        <v>2024</v>
      </c>
      <c r="F519" s="2" t="str">
        <f>IF(AND(AllData[[#This Row],[Time]]&lt;0.5, AllData[[#This Row],[Time]]&gt;0.17)=TRUE, "Morning", IF(AND(AllData[[#This Row],[Time]]&lt;0.75, AllData[[#This Row],[Time]]&gt;=0.5)=TRUE, "Afternoon", IF(AND(AllData[[#This Row],[Time]]&lt;1, AllData[[#This Row],[Time]]&gt;=0.75)=TRUE, "Evening", "Night")))</f>
        <v>Night</v>
      </c>
      <c r="G519" t="str">
        <f>_xlfn.XLOOKUP(AllData[[#This Row],[Location Name]], Locations[Location Name],Locations[Group As])</f>
        <v>Site 1  :  Middle Street</v>
      </c>
      <c r="H519" t="e" vm="2">
        <f>_xlfn.XLOOKUP(AllData[[#This Row],[Site Name]],LocationsKey[Site Name],LocationsKey[District])</f>
        <v>#VALUE!</v>
      </c>
      <c r="I519" t="e" vm="11">
        <f>_xlfn.XLOOKUP(AllData[[#This Row],[Site Name]],LocationsKey[Site Name],LocationsKey[Town])</f>
        <v>#VALUE!</v>
      </c>
      <c r="J519" t="str">
        <f>_xlfn.XLOOKUP(AllData[[#This Row],[Site Name]],LocationsKey[Site Name], LocationsKey[Waterway])</f>
        <v>Fosseway Brook</v>
      </c>
      <c r="K519" t="s">
        <v>1859</v>
      </c>
      <c r="N519" t="s">
        <v>66</v>
      </c>
      <c r="O519">
        <v>548</v>
      </c>
      <c r="P519">
        <v>11.3</v>
      </c>
      <c r="Q519">
        <v>2</v>
      </c>
      <c r="R519" s="7" t="str">
        <f>IF(AllData[[#This Row],[Nitrate (PPM)]]&gt;2, "Very high", IF(AllData[[#This Row],[Nitrate (PPM)]]&gt;1, "High", IF(AllData[[#This Row],[Nitrate (PPM)]]&gt;0.5, "Some evidence", IF(AllData[[#This Row],[Nitrate (PPM)]]&gt;=0, "No evidence"))))</f>
        <v>High</v>
      </c>
      <c r="S519" s="4">
        <v>0</v>
      </c>
      <c r="T519" s="7" t="str">
        <f>IF(AllData[[#This Row],[Phosphate (PPM)]]&gt;0.5, "Very high", IF(AllData[[#This Row],[Phosphate (PPM)]]&gt;0.1, "High", IF(AllData[[#This Row],[Phosphate (PPM)]]&gt;0.05, "Some evidence", IF(AllData[[#This Row],[Phosphate (PPM)]]&lt;=0.05, "No Evidence", ""))))</f>
        <v>No Evidence</v>
      </c>
      <c r="U519">
        <v>0</v>
      </c>
      <c r="V519" t="s">
        <v>1909</v>
      </c>
    </row>
    <row r="520" spans="1:22" x14ac:dyDescent="0.25">
      <c r="A520" t="s">
        <v>1413</v>
      </c>
      <c r="B520" s="2">
        <v>45360</v>
      </c>
      <c r="C520" s="2" t="str" cm="1">
        <f t="array" ref="C5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0">
        <f>YEAR(AllData[[#This Row],[Date]])</f>
        <v>2024</v>
      </c>
      <c r="E520" s="1"/>
      <c r="F520" s="2" t="str">
        <f>IF(AND(AllData[[#This Row],[Time]]&lt;0.5, AllData[[#This Row],[Time]]&gt;0.17)=TRUE, "Morning", IF(AND(AllData[[#This Row],[Time]]&lt;0.75, AllData[[#This Row],[Time]]&gt;=0.5)=TRUE, "Afternoon", IF(AND(AllData[[#This Row],[Time]]&lt;1, AllData[[#This Row],[Time]]&gt;=0.75)=TRUE, "Evening", "Night")))</f>
        <v>Night</v>
      </c>
      <c r="G520" t="str">
        <f>_xlfn.XLOOKUP(AllData[[#This Row],[Location Name]], Locations[Location Name],Locations[Group As])</f>
        <v>Site 1  :  Middle Street</v>
      </c>
      <c r="H520" t="e" vm="2">
        <f>_xlfn.XLOOKUP(AllData[[#This Row],[Site Name]],LocationsKey[Site Name],LocationsKey[District])</f>
        <v>#VALUE!</v>
      </c>
      <c r="I520" t="e" vm="11">
        <f>_xlfn.XLOOKUP(AllData[[#This Row],[Site Name]],LocationsKey[Site Name],LocationsKey[Town])</f>
        <v>#VALUE!</v>
      </c>
      <c r="J520" t="str">
        <f>_xlfn.XLOOKUP(AllData[[#This Row],[Site Name]],LocationsKey[Site Name], LocationsKey[Waterway])</f>
        <v>Fosseway Brook</v>
      </c>
      <c r="K520" t="s">
        <v>1373</v>
      </c>
      <c r="N520" t="s">
        <v>66</v>
      </c>
      <c r="O520">
        <v>548</v>
      </c>
      <c r="P520">
        <v>11.3</v>
      </c>
      <c r="Q520">
        <v>2</v>
      </c>
      <c r="R520" s="7" t="str">
        <f>IF(AllData[[#This Row],[Nitrate (PPM)]]&gt;2, "Very high", IF(AllData[[#This Row],[Nitrate (PPM)]]&gt;1, "High", IF(AllData[[#This Row],[Nitrate (PPM)]]&gt;0.5, "Some evidence", IF(AllData[[#This Row],[Nitrate (PPM)]]&gt;=0, "No evidence"))))</f>
        <v>High</v>
      </c>
      <c r="S520" s="4">
        <v>0</v>
      </c>
      <c r="T520" s="7" t="str">
        <f>IF(AllData[[#This Row],[Phosphate (PPM)]]&gt;0.5, "Very high", IF(AllData[[#This Row],[Phosphate (PPM)]]&gt;0.1, "High", IF(AllData[[#This Row],[Phosphate (PPM)]]&gt;0.05, "Some evidence", IF(AllData[[#This Row],[Phosphate (PPM)]]&lt;=0.05, "No Evidence", ""))))</f>
        <v>No Evidence</v>
      </c>
    </row>
    <row r="521" spans="1:22" x14ac:dyDescent="0.25">
      <c r="A521" t="s">
        <v>1783</v>
      </c>
      <c r="B521" s="2">
        <v>45360</v>
      </c>
      <c r="C521" s="2" t="str" cm="1">
        <f t="array" ref="C5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1">
        <f>YEAR(AllData[[#This Row],[Date]])</f>
        <v>2024</v>
      </c>
      <c r="F521" s="2" t="str">
        <f>IF(AND(AllData[[#This Row],[Time]]&lt;0.5, AllData[[#This Row],[Time]]&gt;0.17)=TRUE, "Morning", IF(AND(AllData[[#This Row],[Time]]&lt;0.75, AllData[[#This Row],[Time]]&gt;=0.5)=TRUE, "Afternoon", IF(AND(AllData[[#This Row],[Time]]&lt;1, AllData[[#This Row],[Time]]&gt;=0.75)=TRUE, "Evening", "Night")))</f>
        <v>Night</v>
      </c>
      <c r="G521" t="str">
        <f>_xlfn.XLOOKUP(AllData[[#This Row],[Location Name]], Locations[Location Name],Locations[Group As])</f>
        <v>Site 2  :  Cross Leys culvert</v>
      </c>
      <c r="H521" t="e" vm="2">
        <f>_xlfn.XLOOKUP(AllData[[#This Row],[Site Name]],LocationsKey[Site Name],LocationsKey[District])</f>
        <v>#VALUE!</v>
      </c>
      <c r="I521" t="e" vm="11">
        <f>_xlfn.XLOOKUP(AllData[[#This Row],[Site Name]],LocationsKey[Site Name],LocationsKey[Town])</f>
        <v>#VALUE!</v>
      </c>
      <c r="J521" t="str">
        <f>_xlfn.XLOOKUP(AllData[[#This Row],[Site Name]],LocationsKey[Site Name], LocationsKey[Waterway])</f>
        <v>Fosseway Brook</v>
      </c>
      <c r="K521" t="s">
        <v>1860</v>
      </c>
      <c r="N521" t="s">
        <v>66</v>
      </c>
      <c r="O521">
        <v>600</v>
      </c>
      <c r="P521">
        <v>9.6999999999999993</v>
      </c>
      <c r="Q521">
        <v>2</v>
      </c>
      <c r="R521" s="7" t="str">
        <f>IF(AllData[[#This Row],[Nitrate (PPM)]]&gt;2, "Very high", IF(AllData[[#This Row],[Nitrate (PPM)]]&gt;1, "High", IF(AllData[[#This Row],[Nitrate (PPM)]]&gt;0.5, "Some evidence", IF(AllData[[#This Row],[Nitrate (PPM)]]&gt;=0, "No evidence"))))</f>
        <v>High</v>
      </c>
      <c r="S521" s="4">
        <v>0.17</v>
      </c>
      <c r="T521" s="7" t="str">
        <f>IF(AllData[[#This Row],[Phosphate (PPM)]]&gt;0.5, "Very high", IF(AllData[[#This Row],[Phosphate (PPM)]]&gt;0.1, "High", IF(AllData[[#This Row],[Phosphate (PPM)]]&gt;0.05, "Some evidence", IF(AllData[[#This Row],[Phosphate (PPM)]]&lt;=0.05, "No Evidence", ""))))</f>
        <v>High</v>
      </c>
      <c r="U521">
        <v>0</v>
      </c>
      <c r="V521" t="s">
        <v>1909</v>
      </c>
    </row>
    <row r="522" spans="1:22" x14ac:dyDescent="0.25">
      <c r="A522" t="s">
        <v>1409</v>
      </c>
      <c r="B522" s="2">
        <v>45360</v>
      </c>
      <c r="C522" s="2" t="str" cm="1">
        <f t="array" ref="C5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2">
        <f>YEAR(AllData[[#This Row],[Date]])</f>
        <v>2024</v>
      </c>
      <c r="E522" s="1"/>
      <c r="F522" s="2" t="str">
        <f>IF(AND(AllData[[#This Row],[Time]]&lt;0.5, AllData[[#This Row],[Time]]&gt;0.17)=TRUE, "Morning", IF(AND(AllData[[#This Row],[Time]]&lt;0.75, AllData[[#This Row],[Time]]&gt;=0.5)=TRUE, "Afternoon", IF(AND(AllData[[#This Row],[Time]]&lt;1, AllData[[#This Row],[Time]]&gt;=0.75)=TRUE, "Evening", "Night")))</f>
        <v>Night</v>
      </c>
      <c r="G522" t="str">
        <f>_xlfn.XLOOKUP(AllData[[#This Row],[Location Name]], Locations[Location Name],Locations[Group As])</f>
        <v>Site 2  :  Cross Leys culvert</v>
      </c>
      <c r="H522" t="e" vm="2">
        <f>_xlfn.XLOOKUP(AllData[[#This Row],[Site Name]],LocationsKey[Site Name],LocationsKey[District])</f>
        <v>#VALUE!</v>
      </c>
      <c r="I522" t="e" vm="11">
        <f>_xlfn.XLOOKUP(AllData[[#This Row],[Site Name]],LocationsKey[Site Name],LocationsKey[Town])</f>
        <v>#VALUE!</v>
      </c>
      <c r="J522" t="str">
        <f>_xlfn.XLOOKUP(AllData[[#This Row],[Site Name]],LocationsKey[Site Name], LocationsKey[Waterway])</f>
        <v>Fosseway Brook</v>
      </c>
      <c r="K522" t="s">
        <v>1371</v>
      </c>
      <c r="N522" t="s">
        <v>66</v>
      </c>
      <c r="O522">
        <v>600</v>
      </c>
      <c r="P522">
        <v>9.6999999999999993</v>
      </c>
      <c r="Q522">
        <v>2</v>
      </c>
      <c r="R522" s="7" t="str">
        <f>IF(AllData[[#This Row],[Nitrate (PPM)]]&gt;2, "Very high", IF(AllData[[#This Row],[Nitrate (PPM)]]&gt;1, "High", IF(AllData[[#This Row],[Nitrate (PPM)]]&gt;0.5, "Some evidence", IF(AllData[[#This Row],[Nitrate (PPM)]]&gt;=0, "No evidence"))))</f>
        <v>High</v>
      </c>
      <c r="S522" s="4">
        <v>0.17</v>
      </c>
      <c r="T522" s="7" t="str">
        <f>IF(AllData[[#This Row],[Phosphate (PPM)]]&gt;0.5, "Very high", IF(AllData[[#This Row],[Phosphate (PPM)]]&gt;0.1, "High", IF(AllData[[#This Row],[Phosphate (PPM)]]&gt;0.05, "Some evidence", IF(AllData[[#This Row],[Phosphate (PPM)]]&lt;=0.05, "No Evidence", ""))))</f>
        <v>High</v>
      </c>
    </row>
    <row r="523" spans="1:22" x14ac:dyDescent="0.25">
      <c r="A523" t="s">
        <v>1784</v>
      </c>
      <c r="B523" s="2">
        <v>45360</v>
      </c>
      <c r="C523" s="2" t="str" cm="1">
        <f t="array" ref="C5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3">
        <f>YEAR(AllData[[#This Row],[Date]])</f>
        <v>2024</v>
      </c>
      <c r="F523" s="2" t="str">
        <f>IF(AND(AllData[[#This Row],[Time]]&lt;0.5, AllData[[#This Row],[Time]]&gt;0.17)=TRUE, "Morning", IF(AND(AllData[[#This Row],[Time]]&lt;0.75, AllData[[#This Row],[Time]]&gt;=0.5)=TRUE, "Afternoon", IF(AND(AllData[[#This Row],[Time]]&lt;1, AllData[[#This Row],[Time]]&gt;=0.75)=TRUE, "Evening", "Night")))</f>
        <v>Night</v>
      </c>
      <c r="G523" t="str">
        <f>_xlfn.XLOOKUP(AllData[[#This Row],[Location Name]], Locations[Location Name],Locations[Group As])</f>
        <v>Site 3  :  Severn Trent Water processing plant outflow</v>
      </c>
      <c r="H523" t="e" vm="2">
        <f>_xlfn.XLOOKUP(AllData[[#This Row],[Site Name]],LocationsKey[Site Name],LocationsKey[District])</f>
        <v>#VALUE!</v>
      </c>
      <c r="I523" t="e" vm="11">
        <f>_xlfn.XLOOKUP(AllData[[#This Row],[Site Name]],LocationsKey[Site Name],LocationsKey[Town])</f>
        <v>#VALUE!</v>
      </c>
      <c r="J523" t="str">
        <f>_xlfn.XLOOKUP(AllData[[#This Row],[Site Name]],LocationsKey[Site Name], LocationsKey[Waterway])</f>
        <v>Fosseway Brook</v>
      </c>
      <c r="K523" t="s">
        <v>1861</v>
      </c>
      <c r="N523" t="s">
        <v>29</v>
      </c>
      <c r="O523">
        <v>614</v>
      </c>
      <c r="P523">
        <v>10.039999999999999</v>
      </c>
      <c r="Q523">
        <v>10</v>
      </c>
      <c r="R523" s="7" t="str">
        <f>IF(AllData[[#This Row],[Nitrate (PPM)]]&gt;2, "Very high", IF(AllData[[#This Row],[Nitrate (PPM)]]&gt;1, "High", IF(AllData[[#This Row],[Nitrate (PPM)]]&gt;0.5, "Some evidence", IF(AllData[[#This Row],[Nitrate (PPM)]]&gt;=0, "No evidence"))))</f>
        <v>Very high</v>
      </c>
      <c r="S523" s="4">
        <v>2.5</v>
      </c>
      <c r="T523" s="7" t="str">
        <f>IF(AllData[[#This Row],[Phosphate (PPM)]]&gt;0.5, "Very high", IF(AllData[[#This Row],[Phosphate (PPM)]]&gt;0.1, "High", IF(AllData[[#This Row],[Phosphate (PPM)]]&gt;0.05, "Some evidence", IF(AllData[[#This Row],[Phosphate (PPM)]]&lt;=0.05, "No Evidence", ""))))</f>
        <v>Very high</v>
      </c>
      <c r="U523">
        <v>0</v>
      </c>
      <c r="V523" t="s">
        <v>1910</v>
      </c>
    </row>
    <row r="524" spans="1:22" x14ac:dyDescent="0.25">
      <c r="A524" t="s">
        <v>1408</v>
      </c>
      <c r="B524" s="2">
        <v>45360</v>
      </c>
      <c r="C524" s="2" t="str" cm="1">
        <f t="array" ref="C5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4">
        <f>YEAR(AllData[[#This Row],[Date]])</f>
        <v>2024</v>
      </c>
      <c r="E524" s="1"/>
      <c r="F524" s="2" t="str">
        <f>IF(AND(AllData[[#This Row],[Time]]&lt;0.5, AllData[[#This Row],[Time]]&gt;0.17)=TRUE, "Morning", IF(AND(AllData[[#This Row],[Time]]&lt;0.75, AllData[[#This Row],[Time]]&gt;=0.5)=TRUE, "Afternoon", IF(AND(AllData[[#This Row],[Time]]&lt;1, AllData[[#This Row],[Time]]&gt;=0.75)=TRUE, "Evening", "Night")))</f>
        <v>Night</v>
      </c>
      <c r="G524" t="str">
        <f>_xlfn.XLOOKUP(AllData[[#This Row],[Location Name]], Locations[Location Name],Locations[Group As])</f>
        <v>Site 3  :  Severn Trent Water processing plant outflow</v>
      </c>
      <c r="H524" t="e" vm="2">
        <f>_xlfn.XLOOKUP(AllData[[#This Row],[Site Name]],LocationsKey[Site Name],LocationsKey[District])</f>
        <v>#VALUE!</v>
      </c>
      <c r="I524" t="e" vm="11">
        <f>_xlfn.XLOOKUP(AllData[[#This Row],[Site Name]],LocationsKey[Site Name],LocationsKey[Town])</f>
        <v>#VALUE!</v>
      </c>
      <c r="J524" t="str">
        <f>_xlfn.XLOOKUP(AllData[[#This Row],[Site Name]],LocationsKey[Site Name], LocationsKey[Waterway])</f>
        <v>Fosseway Brook</v>
      </c>
      <c r="K524" t="s">
        <v>1368</v>
      </c>
      <c r="N524" t="s">
        <v>29</v>
      </c>
      <c r="O524">
        <v>614</v>
      </c>
      <c r="P524">
        <v>10.039999999999999</v>
      </c>
      <c r="Q524">
        <v>10</v>
      </c>
      <c r="R524" s="7" t="str">
        <f>IF(AllData[[#This Row],[Nitrate (PPM)]]&gt;2, "Very high", IF(AllData[[#This Row],[Nitrate (PPM)]]&gt;1, "High", IF(AllData[[#This Row],[Nitrate (PPM)]]&gt;0.5, "Some evidence", IF(AllData[[#This Row],[Nitrate (PPM)]]&gt;=0, "No evidence"))))</f>
        <v>Very high</v>
      </c>
      <c r="S524" s="4">
        <v>2.5</v>
      </c>
      <c r="T524" s="7" t="str">
        <f>IF(AllData[[#This Row],[Phosphate (PPM)]]&gt;0.5, "Very high", IF(AllData[[#This Row],[Phosphate (PPM)]]&gt;0.1, "High", IF(AllData[[#This Row],[Phosphate (PPM)]]&gt;0.05, "Some evidence", IF(AllData[[#This Row],[Phosphate (PPM)]]&lt;=0.05, "No Evidence", ""))))</f>
        <v>Very high</v>
      </c>
    </row>
    <row r="525" spans="1:22" x14ac:dyDescent="0.25">
      <c r="A525" t="s">
        <v>793</v>
      </c>
      <c r="B525" s="2">
        <v>45361</v>
      </c>
      <c r="C525" s="2" t="str" cm="1">
        <f t="array" ref="C5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5">
        <f>YEAR(AllData[[#This Row],[Date]])</f>
        <v>2024</v>
      </c>
      <c r="E525" s="1">
        <v>0.4375</v>
      </c>
      <c r="F525" s="2" t="str">
        <f>IF(AND(AllData[[#This Row],[Time]]&lt;0.5, AllData[[#This Row],[Time]]&gt;0.17)=TRUE, "Morning", IF(AND(AllData[[#This Row],[Time]]&lt;0.75, AllData[[#This Row],[Time]]&gt;=0.5)=TRUE, "Afternoon", IF(AND(AllData[[#This Row],[Time]]&lt;1, AllData[[#This Row],[Time]]&gt;=0.75)=TRUE, "Evening", "Night")))</f>
        <v>Morning</v>
      </c>
      <c r="G525" t="str">
        <f>_xlfn.XLOOKUP(AllData[[#This Row],[Location Name]], Locations[Location Name],Locations[Group As])</f>
        <v>Lucy's Mill Bridge</v>
      </c>
      <c r="H525" t="e" vm="2">
        <f>_xlfn.XLOOKUP(AllData[[#This Row],[Site Name]],LocationsKey[Site Name],LocationsKey[District])</f>
        <v>#VALUE!</v>
      </c>
      <c r="I525" t="e" vm="7">
        <f>_xlfn.XLOOKUP(AllData[[#This Row],[Site Name]],LocationsKey[Site Name],LocationsKey[Town])</f>
        <v>#VALUE!</v>
      </c>
      <c r="J525" t="str">
        <f>_xlfn.XLOOKUP(AllData[[#This Row],[Site Name]],LocationsKey[Site Name], LocationsKey[Waterway])</f>
        <v>Avon</v>
      </c>
      <c r="K525" t="s">
        <v>216</v>
      </c>
      <c r="L525">
        <v>52.183698999999997</v>
      </c>
      <c r="M525">
        <v>-1.707816</v>
      </c>
      <c r="N525" t="s">
        <v>29</v>
      </c>
      <c r="P525">
        <v>10</v>
      </c>
      <c r="Q525">
        <v>3</v>
      </c>
      <c r="R525" s="7" t="str">
        <f>IF(AllData[[#This Row],[Nitrate (PPM)]]&gt;2, "Very high", IF(AllData[[#This Row],[Nitrate (PPM)]]&gt;1, "High", IF(AllData[[#This Row],[Nitrate (PPM)]]&gt;0.5, "Some evidence", IF(AllData[[#This Row],[Nitrate (PPM)]]&gt;=0, "No evidence"))))</f>
        <v>Very high</v>
      </c>
      <c r="S525" s="4">
        <v>0.4</v>
      </c>
      <c r="T525" s="7" t="str">
        <f>IF(AllData[[#This Row],[Phosphate (PPM)]]&gt;0.5, "Very high", IF(AllData[[#This Row],[Phosphate (PPM)]]&gt;0.1, "High", IF(AllData[[#This Row],[Phosphate (PPM)]]&gt;0.05, "Some evidence", IF(AllData[[#This Row],[Phosphate (PPM)]]&lt;=0.05, "No Evidence", ""))))</f>
        <v>High</v>
      </c>
      <c r="U525">
        <v>0.7</v>
      </c>
    </row>
    <row r="526" spans="1:22" x14ac:dyDescent="0.25">
      <c r="A526" t="s">
        <v>786</v>
      </c>
      <c r="B526" s="2">
        <v>45361</v>
      </c>
      <c r="C526" s="2" t="str" cm="1">
        <f t="array" ref="C5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6">
        <f>YEAR(AllData[[#This Row],[Date]])</f>
        <v>2024</v>
      </c>
      <c r="E526" s="1">
        <v>0.5625</v>
      </c>
      <c r="F526" s="2" t="str">
        <f>IF(AND(AllData[[#This Row],[Time]]&lt;0.5, AllData[[#This Row],[Time]]&gt;0.17)=TRUE, "Morning", IF(AND(AllData[[#This Row],[Time]]&lt;0.75, AllData[[#This Row],[Time]]&gt;=0.5)=TRUE, "Afternoon", IF(AND(AllData[[#This Row],[Time]]&lt;1, AllData[[#This Row],[Time]]&gt;=0.75)=TRUE, "Evening", "Night")))</f>
        <v>Afternoon</v>
      </c>
      <c r="G526" t="str">
        <f>_xlfn.XLOOKUP(AllData[[#This Row],[Location Name]], Locations[Location Name],Locations[Group As])</f>
        <v>Clifford Chambers Mill Bridge</v>
      </c>
      <c r="H526" t="e" vm="2">
        <f>_xlfn.XLOOKUP(AllData[[#This Row],[Site Name]],LocationsKey[Site Name],LocationsKey[District])</f>
        <v>#VALUE!</v>
      </c>
      <c r="I526" t="e" vm="12">
        <f>_xlfn.XLOOKUP(AllData[[#This Row],[Site Name]],LocationsKey[Site Name],LocationsKey[Town])</f>
        <v>#VALUE!</v>
      </c>
      <c r="J526" t="str">
        <f>_xlfn.XLOOKUP(AllData[[#This Row],[Site Name]],LocationsKey[Site Name], LocationsKey[Waterway])</f>
        <v>Stour</v>
      </c>
      <c r="K526" t="s">
        <v>263</v>
      </c>
      <c r="L526">
        <v>52.166370000000001</v>
      </c>
      <c r="M526">
        <v>-1.708032</v>
      </c>
      <c r="N526" t="s">
        <v>66</v>
      </c>
      <c r="O526" s="219">
        <v>665</v>
      </c>
      <c r="P526">
        <v>9.1999999999999993</v>
      </c>
      <c r="Q526" s="219">
        <v>10</v>
      </c>
      <c r="R526" s="7" t="str">
        <f>IF(AllData[[#This Row],[Nitrate (PPM)]]&gt;2, "Very high", IF(AllData[[#This Row],[Nitrate (PPM)]]&gt;1, "High", IF(AllData[[#This Row],[Nitrate (PPM)]]&gt;0.5, "Some evidence", IF(AllData[[#This Row],[Nitrate (PPM)]]&gt;=0, "No evidence"))))</f>
        <v>Very high</v>
      </c>
      <c r="S526" s="221">
        <v>0.22</v>
      </c>
      <c r="T526" s="7" t="str">
        <f>IF(AllData[[#This Row],[Phosphate (PPM)]]&gt;0.5, "Very high", IF(AllData[[#This Row],[Phosphate (PPM)]]&gt;0.1, "High", IF(AllData[[#This Row],[Phosphate (PPM)]]&gt;0.05, "Some evidence", IF(AllData[[#This Row],[Phosphate (PPM)]]&lt;=0.05, "No Evidence", ""))))</f>
        <v>High</v>
      </c>
      <c r="U526">
        <v>1.2</v>
      </c>
      <c r="V526" t="s">
        <v>787</v>
      </c>
    </row>
    <row r="527" spans="1:22" x14ac:dyDescent="0.25">
      <c r="A527" t="s">
        <v>788</v>
      </c>
      <c r="B527" s="2">
        <v>45361</v>
      </c>
      <c r="C527" s="2" t="str" cm="1">
        <f t="array" ref="C5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7">
        <f>YEAR(AllData[[#This Row],[Date]])</f>
        <v>2024</v>
      </c>
      <c r="E527" s="1">
        <v>0.58333333333333337</v>
      </c>
      <c r="F527" s="2" t="str">
        <f>IF(AND(AllData[[#This Row],[Time]]&lt;0.5, AllData[[#This Row],[Time]]&gt;0.17)=TRUE, "Morning", IF(AND(AllData[[#This Row],[Time]]&lt;0.75, AllData[[#This Row],[Time]]&gt;=0.5)=TRUE, "Afternoon", IF(AND(AllData[[#This Row],[Time]]&lt;1, AllData[[#This Row],[Time]]&gt;=0.75)=TRUE, "Evening", "Night")))</f>
        <v>Afternoon</v>
      </c>
      <c r="G527" t="str">
        <f>_xlfn.XLOOKUP(AllData[[#This Row],[Location Name]], Locations[Location Name],Locations[Group As])</f>
        <v>Avonbank Drive</v>
      </c>
      <c r="H527" t="e" vm="2">
        <f>_xlfn.XLOOKUP(AllData[[#This Row],[Site Name]],LocationsKey[Site Name],LocationsKey[District])</f>
        <v>#VALUE!</v>
      </c>
      <c r="I527" t="e" vm="7">
        <f>_xlfn.XLOOKUP(AllData[[#This Row],[Site Name]],LocationsKey[Site Name],LocationsKey[Town])</f>
        <v>#VALUE!</v>
      </c>
      <c r="J527" t="str">
        <f>_xlfn.XLOOKUP(AllData[[#This Row],[Site Name]],LocationsKey[Site Name], LocationsKey[Waterway])</f>
        <v>Avon</v>
      </c>
      <c r="K527" t="s">
        <v>103</v>
      </c>
      <c r="L527">
        <v>52.177</v>
      </c>
      <c r="M527">
        <v>-1.736</v>
      </c>
      <c r="N527" t="s">
        <v>66</v>
      </c>
      <c r="O527" s="220">
        <v>897</v>
      </c>
      <c r="P527">
        <v>14.8</v>
      </c>
      <c r="Q527" s="220">
        <v>10</v>
      </c>
      <c r="R527" s="7" t="str">
        <f>IF(AllData[[#This Row],[Nitrate (PPM)]]&gt;2, "Very high", IF(AllData[[#This Row],[Nitrate (PPM)]]&gt;1, "High", IF(AllData[[#This Row],[Nitrate (PPM)]]&gt;0.5, "Some evidence", IF(AllData[[#This Row],[Nitrate (PPM)]]&gt;=0, "No evidence"))))</f>
        <v>Very high</v>
      </c>
      <c r="S527" s="222">
        <v>0.47</v>
      </c>
      <c r="T527" s="7" t="str">
        <f>IF(AllData[[#This Row],[Phosphate (PPM)]]&gt;0.5, "Very high", IF(AllData[[#This Row],[Phosphate (PPM)]]&gt;0.1, "High", IF(AllData[[#This Row],[Phosphate (PPM)]]&gt;0.05, "Some evidence", IF(AllData[[#This Row],[Phosphate (PPM)]]&lt;=0.05, "No Evidence", ""))))</f>
        <v>High</v>
      </c>
      <c r="U527">
        <v>1</v>
      </c>
    </row>
    <row r="528" spans="1:22" x14ac:dyDescent="0.25">
      <c r="A528" t="s">
        <v>789</v>
      </c>
      <c r="B528" s="2">
        <v>45361</v>
      </c>
      <c r="C528" s="2" t="str" cm="1">
        <f t="array" ref="C5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8">
        <f>YEAR(AllData[[#This Row],[Date]])</f>
        <v>2024</v>
      </c>
      <c r="E528" s="1">
        <v>0.58333333333333337</v>
      </c>
      <c r="F528" s="2" t="str">
        <f>IF(AND(AllData[[#This Row],[Time]]&lt;0.5, AllData[[#This Row],[Time]]&gt;0.17)=TRUE, "Morning", IF(AND(AllData[[#This Row],[Time]]&lt;0.75, AllData[[#This Row],[Time]]&gt;=0.5)=TRUE, "Afternoon", IF(AND(AllData[[#This Row],[Time]]&lt;1, AllData[[#This Row],[Time]]&gt;=0.75)=TRUE, "Evening", "Night")))</f>
        <v>Afternoon</v>
      </c>
      <c r="G528" t="str">
        <f>_xlfn.XLOOKUP(AllData[[#This Row],[Location Name]], Locations[Location Name],Locations[Group As])</f>
        <v>Pitch 16</v>
      </c>
      <c r="H528" t="e" vm="2">
        <f>_xlfn.XLOOKUP(AllData[[#This Row],[Site Name]],LocationsKey[Site Name],LocationsKey[District])</f>
        <v>#VALUE!</v>
      </c>
      <c r="I528" t="e" vm="7">
        <f>_xlfn.XLOOKUP(AllData[[#This Row],[Site Name]],LocationsKey[Site Name],LocationsKey[Town])</f>
        <v>#VALUE!</v>
      </c>
      <c r="J528" t="str">
        <f>_xlfn.XLOOKUP(AllData[[#This Row],[Site Name]],LocationsKey[Site Name], LocationsKey[Waterway])</f>
        <v>Avon</v>
      </c>
      <c r="K528" t="s">
        <v>69</v>
      </c>
      <c r="N528" t="s">
        <v>29</v>
      </c>
      <c r="O528" s="220">
        <v>873</v>
      </c>
      <c r="P528">
        <v>12.8</v>
      </c>
      <c r="Q528" s="220">
        <v>10</v>
      </c>
      <c r="R528" s="7" t="str">
        <f>IF(AllData[[#This Row],[Nitrate (PPM)]]&gt;2, "Very high", IF(AllData[[#This Row],[Nitrate (PPM)]]&gt;1, "High", IF(AllData[[#This Row],[Nitrate (PPM)]]&gt;0.5, "Some evidence", IF(AllData[[#This Row],[Nitrate (PPM)]]&gt;=0, "No evidence"))))</f>
        <v>Very high</v>
      </c>
      <c r="S528" s="222">
        <v>0.43</v>
      </c>
      <c r="T528" s="7" t="str">
        <f>IF(AllData[[#This Row],[Phosphate (PPM)]]&gt;0.5, "Very high", IF(AllData[[#This Row],[Phosphate (PPM)]]&gt;0.1, "High", IF(AllData[[#This Row],[Phosphate (PPM)]]&gt;0.05, "Some evidence", IF(AllData[[#This Row],[Phosphate (PPM)]]&lt;=0.05, "No Evidence", ""))))</f>
        <v>High</v>
      </c>
      <c r="U528">
        <v>1</v>
      </c>
    </row>
    <row r="529" spans="1:22" x14ac:dyDescent="0.25">
      <c r="A529" t="s">
        <v>790</v>
      </c>
      <c r="B529" s="2">
        <v>45361</v>
      </c>
      <c r="C529" s="2" t="str" cm="1">
        <f t="array" ref="C5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9">
        <f>YEAR(AllData[[#This Row],[Date]])</f>
        <v>2024</v>
      </c>
      <c r="E529" s="1">
        <v>0.625</v>
      </c>
      <c r="F529" s="2" t="str">
        <f>IF(AND(AllData[[#This Row],[Time]]&lt;0.5, AllData[[#This Row],[Time]]&gt;0.17)=TRUE, "Morning", IF(AND(AllData[[#This Row],[Time]]&lt;0.75, AllData[[#This Row],[Time]]&gt;=0.5)=TRUE, "Afternoon", IF(AND(AllData[[#This Row],[Time]]&lt;1, AllData[[#This Row],[Time]]&gt;=0.75)=TRUE, "Evening", "Night")))</f>
        <v>Afternoon</v>
      </c>
      <c r="G529" t="str">
        <f>_xlfn.XLOOKUP(AllData[[#This Row],[Location Name]], Locations[Location Name],Locations[Group As])</f>
        <v>Sherbourne Brook 1</v>
      </c>
      <c r="H529" t="e" vm="2">
        <f>_xlfn.XLOOKUP(AllData[[#This Row],[Site Name]],LocationsKey[Site Name],LocationsKey[District])</f>
        <v>#VALUE!</v>
      </c>
      <c r="I529" t="e" vm="16">
        <f>_xlfn.XLOOKUP(AllData[[#This Row],[Site Name]],LocationsKey[Site Name],LocationsKey[Town])</f>
        <v>#VALUE!</v>
      </c>
      <c r="J529" t="str">
        <f>_xlfn.XLOOKUP(AllData[[#This Row],[Site Name]],LocationsKey[Site Name], LocationsKey[Waterway])</f>
        <v>Sherbourne Brook</v>
      </c>
      <c r="K529" t="s">
        <v>570</v>
      </c>
      <c r="L529">
        <v>52.252499999999998</v>
      </c>
      <c r="M529">
        <v>-1.6685000000000001</v>
      </c>
      <c r="N529" t="s">
        <v>23</v>
      </c>
      <c r="O529">
        <v>456</v>
      </c>
      <c r="P529">
        <v>8.8000000000000007</v>
      </c>
      <c r="Q529">
        <v>4</v>
      </c>
      <c r="R529" s="7" t="str">
        <f>IF(AllData[[#This Row],[Nitrate (PPM)]]&gt;2, "Very high", IF(AllData[[#This Row],[Nitrate (PPM)]]&gt;1, "High", IF(AllData[[#This Row],[Nitrate (PPM)]]&gt;0.5, "Some evidence", IF(AllData[[#This Row],[Nitrate (PPM)]]&gt;=0, "No evidence"))))</f>
        <v>Very high</v>
      </c>
      <c r="S529" s="4">
        <v>0.84</v>
      </c>
      <c r="T529" s="7" t="str">
        <f>IF(AllData[[#This Row],[Phosphate (PPM)]]&gt;0.5, "Very high", IF(AllData[[#This Row],[Phosphate (PPM)]]&gt;0.1, "High", IF(AllData[[#This Row],[Phosphate (PPM)]]&gt;0.05, "Some evidence", IF(AllData[[#This Row],[Phosphate (PPM)]]&lt;=0.05, "No Evidence", ""))))</f>
        <v>Very high</v>
      </c>
      <c r="U529">
        <v>1</v>
      </c>
      <c r="V529" t="s">
        <v>791</v>
      </c>
    </row>
    <row r="530" spans="1:22" x14ac:dyDescent="0.25">
      <c r="A530" t="s">
        <v>792</v>
      </c>
      <c r="B530" s="2">
        <v>45361</v>
      </c>
      <c r="C530" s="2" t="str" cm="1">
        <f t="array" ref="C5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0">
        <f>YEAR(AllData[[#This Row],[Date]])</f>
        <v>2024</v>
      </c>
      <c r="E530" s="1">
        <v>0.63541666666666663</v>
      </c>
      <c r="F530" s="2" t="str">
        <f>IF(AND(AllData[[#This Row],[Time]]&lt;0.5, AllData[[#This Row],[Time]]&gt;0.17)=TRUE, "Morning", IF(AND(AllData[[#This Row],[Time]]&lt;0.75, AllData[[#This Row],[Time]]&gt;=0.5)=TRUE, "Afternoon", IF(AND(AllData[[#This Row],[Time]]&lt;1, AllData[[#This Row],[Time]]&gt;=0.75)=TRUE, "Evening", "Night")))</f>
        <v>Afternoon</v>
      </c>
      <c r="G530" t="str">
        <f>_xlfn.XLOOKUP(AllData[[#This Row],[Location Name]], Locations[Location Name],Locations[Group As])</f>
        <v>Bell Brook 1</v>
      </c>
      <c r="H530" t="e" vm="2">
        <f>_xlfn.XLOOKUP(AllData[[#This Row],[Site Name]],LocationsKey[Site Name],LocationsKey[District])</f>
        <v>#VALUE!</v>
      </c>
      <c r="I530" t="e" vm="15">
        <f>_xlfn.XLOOKUP(AllData[[#This Row],[Site Name]],LocationsKey[Site Name],LocationsKey[Town])</f>
        <v>#VALUE!</v>
      </c>
      <c r="J530" t="str">
        <f>_xlfn.XLOOKUP(AllData[[#This Row],[Site Name]],LocationsKey[Site Name], LocationsKey[Waterway])</f>
        <v>Bell Brook</v>
      </c>
      <c r="K530" t="s">
        <v>534</v>
      </c>
      <c r="L530">
        <v>52.244900000000001</v>
      </c>
      <c r="M530">
        <v>-1.6617</v>
      </c>
      <c r="N530" t="s">
        <v>23</v>
      </c>
      <c r="O530">
        <v>602</v>
      </c>
      <c r="P530">
        <v>9.6999999999999993</v>
      </c>
      <c r="Q530">
        <v>4</v>
      </c>
      <c r="R530" s="7" t="str">
        <f>IF(AllData[[#This Row],[Nitrate (PPM)]]&gt;2, "Very high", IF(AllData[[#This Row],[Nitrate (PPM)]]&gt;1, "High", IF(AllData[[#This Row],[Nitrate (PPM)]]&gt;0.5, "Some evidence", IF(AllData[[#This Row],[Nitrate (PPM)]]&gt;=0, "No evidence"))))</f>
        <v>Very high</v>
      </c>
      <c r="S530" s="4">
        <v>0.67</v>
      </c>
      <c r="T530" s="7" t="str">
        <f>IF(AllData[[#This Row],[Phosphate (PPM)]]&gt;0.5, "Very high", IF(AllData[[#This Row],[Phosphate (PPM)]]&gt;0.1, "High", IF(AllData[[#This Row],[Phosphate (PPM)]]&gt;0.05, "Some evidence", IF(AllData[[#This Row],[Phosphate (PPM)]]&lt;=0.05, "No Evidence", ""))))</f>
        <v>Very high</v>
      </c>
      <c r="U530">
        <v>1</v>
      </c>
      <c r="V530" t="s">
        <v>791</v>
      </c>
    </row>
    <row r="531" spans="1:22" x14ac:dyDescent="0.25">
      <c r="A531" t="s">
        <v>794</v>
      </c>
      <c r="B531" s="2">
        <v>45362</v>
      </c>
      <c r="C531" s="2" t="str" cm="1">
        <f t="array" ref="C5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1">
        <f>YEAR(AllData[[#This Row],[Date]])</f>
        <v>2024</v>
      </c>
      <c r="E531" s="1">
        <v>0.37569444444444444</v>
      </c>
      <c r="F531" s="2" t="str">
        <f>IF(AND(AllData[[#This Row],[Time]]&lt;0.5, AllData[[#This Row],[Time]]&gt;0.17)=TRUE, "Morning", IF(AND(AllData[[#This Row],[Time]]&lt;0.75, AllData[[#This Row],[Time]]&gt;=0.5)=TRUE, "Afternoon", IF(AND(AllData[[#This Row],[Time]]&lt;1, AllData[[#This Row],[Time]]&gt;=0.75)=TRUE, "Evening", "Night")))</f>
        <v>Morning</v>
      </c>
      <c r="G531" t="str">
        <f>_xlfn.XLOOKUP(AllData[[#This Row],[Location Name]], Locations[Location Name],Locations[Group As])</f>
        <v>Stour Stretton-on-Fosse Village</v>
      </c>
      <c r="H531" t="e" vm="2">
        <f>_xlfn.XLOOKUP(AllData[[#This Row],[Site Name]],LocationsKey[Site Name],LocationsKey[District])</f>
        <v>#VALUE!</v>
      </c>
      <c r="I531" t="e" vm="14">
        <f>_xlfn.XLOOKUP(AllData[[#This Row],[Site Name]],LocationsKey[Site Name],LocationsKey[Town])</f>
        <v>#VALUE!</v>
      </c>
      <c r="J531" t="str">
        <f>_xlfn.XLOOKUP(AllData[[#This Row],[Site Name]],LocationsKey[Site Name], LocationsKey[Waterway])</f>
        <v>Stour</v>
      </c>
      <c r="K531" t="s">
        <v>544</v>
      </c>
      <c r="L531">
        <v>52.04654</v>
      </c>
      <c r="M531">
        <v>-1.6734340000000001</v>
      </c>
      <c r="N531" t="s">
        <v>66</v>
      </c>
      <c r="O531">
        <v>420</v>
      </c>
      <c r="P531">
        <v>8.1</v>
      </c>
      <c r="Q531">
        <v>0.5</v>
      </c>
      <c r="R531" s="7" t="str">
        <f>IF(AllData[[#This Row],[Nitrate (PPM)]]&gt;2, "Very high", IF(AllData[[#This Row],[Nitrate (PPM)]]&gt;1, "High", IF(AllData[[#This Row],[Nitrate (PPM)]]&gt;0.5, "Some evidence", IF(AllData[[#This Row],[Nitrate (PPM)]]&gt;=0, "No evidence"))))</f>
        <v>No evidence</v>
      </c>
      <c r="S531" s="4">
        <v>0.35</v>
      </c>
      <c r="T531" s="7" t="str">
        <f>IF(AllData[[#This Row],[Phosphate (PPM)]]&gt;0.5, "Very high", IF(AllData[[#This Row],[Phosphate (PPM)]]&gt;0.1, "High", IF(AllData[[#This Row],[Phosphate (PPM)]]&gt;0.05, "Some evidence", IF(AllData[[#This Row],[Phosphate (PPM)]]&lt;=0.05, "No Evidence", ""))))</f>
        <v>High</v>
      </c>
      <c r="U531">
        <v>0.3</v>
      </c>
    </row>
    <row r="532" spans="1:22" x14ac:dyDescent="0.25">
      <c r="A532" t="s">
        <v>795</v>
      </c>
      <c r="B532" s="2">
        <v>45362</v>
      </c>
      <c r="C532" s="2" t="str" cm="1">
        <f t="array" ref="C5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2">
        <f>YEAR(AllData[[#This Row],[Date]])</f>
        <v>2024</v>
      </c>
      <c r="E532" s="1">
        <v>0.39305555555555555</v>
      </c>
      <c r="F532" s="2" t="str">
        <f>IF(AND(AllData[[#This Row],[Time]]&lt;0.5, AllData[[#This Row],[Time]]&gt;0.17)=TRUE, "Morning", IF(AND(AllData[[#This Row],[Time]]&lt;0.75, AllData[[#This Row],[Time]]&gt;=0.5)=TRUE, "Afternoon", IF(AND(AllData[[#This Row],[Time]]&lt;1, AllData[[#This Row],[Time]]&gt;=0.75)=TRUE, "Evening", "Night")))</f>
        <v>Morning</v>
      </c>
      <c r="G532" t="str">
        <f>_xlfn.XLOOKUP(AllData[[#This Row],[Location Name]], Locations[Location Name],Locations[Group As])</f>
        <v>Stour Stretton-on-Fosse Sewage Works</v>
      </c>
      <c r="H532" t="e" vm="2">
        <f>_xlfn.XLOOKUP(AllData[[#This Row],[Site Name]],LocationsKey[Site Name],LocationsKey[District])</f>
        <v>#VALUE!</v>
      </c>
      <c r="I532" t="e" vm="14">
        <f>_xlfn.XLOOKUP(AllData[[#This Row],[Site Name]],LocationsKey[Site Name],LocationsKey[Town])</f>
        <v>#VALUE!</v>
      </c>
      <c r="J532" t="str">
        <f>_xlfn.XLOOKUP(AllData[[#This Row],[Site Name]],LocationsKey[Site Name], LocationsKey[Waterway])</f>
        <v>Stour</v>
      </c>
      <c r="K532" t="s">
        <v>335</v>
      </c>
      <c r="L532">
        <v>52.045644000000003</v>
      </c>
      <c r="M532">
        <v>-1.671867</v>
      </c>
      <c r="N532" t="s">
        <v>29</v>
      </c>
      <c r="O532">
        <v>425</v>
      </c>
      <c r="P532">
        <v>7.1</v>
      </c>
      <c r="Q532">
        <v>2</v>
      </c>
      <c r="R532" s="7" t="str">
        <f>IF(AllData[[#This Row],[Nitrate (PPM)]]&gt;2, "Very high", IF(AllData[[#This Row],[Nitrate (PPM)]]&gt;1, "High", IF(AllData[[#This Row],[Nitrate (PPM)]]&gt;0.5, "Some evidence", IF(AllData[[#This Row],[Nitrate (PPM)]]&gt;=0, "No evidence"))))</f>
        <v>High</v>
      </c>
      <c r="S532" s="4">
        <v>0.31</v>
      </c>
      <c r="T532" s="7" t="str">
        <f>IF(AllData[[#This Row],[Phosphate (PPM)]]&gt;0.5, "Very high", IF(AllData[[#This Row],[Phosphate (PPM)]]&gt;0.1, "High", IF(AllData[[#This Row],[Phosphate (PPM)]]&gt;0.05, "Some evidence", IF(AllData[[#This Row],[Phosphate (PPM)]]&lt;=0.05, "No Evidence", ""))))</f>
        <v>High</v>
      </c>
      <c r="U532">
        <v>0.4</v>
      </c>
    </row>
    <row r="533" spans="1:22" x14ac:dyDescent="0.25">
      <c r="A533" t="s">
        <v>796</v>
      </c>
      <c r="B533" s="2">
        <v>45362</v>
      </c>
      <c r="C533" s="2" t="str" cm="1">
        <f t="array" ref="C5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3">
        <f>YEAR(AllData[[#This Row],[Date]])</f>
        <v>2024</v>
      </c>
      <c r="E533" s="1">
        <v>0.6694444444444444</v>
      </c>
      <c r="F533" s="2" t="str">
        <f>IF(AND(AllData[[#This Row],[Time]]&lt;0.5, AllData[[#This Row],[Time]]&gt;0.17)=TRUE, "Morning", IF(AND(AllData[[#This Row],[Time]]&lt;0.75, AllData[[#This Row],[Time]]&gt;=0.5)=TRUE, "Afternoon", IF(AND(AllData[[#This Row],[Time]]&lt;1, AllData[[#This Row],[Time]]&gt;=0.75)=TRUE, "Evening", "Night")))</f>
        <v>Afternoon</v>
      </c>
      <c r="G533" t="str">
        <f>_xlfn.XLOOKUP(AllData[[#This Row],[Location Name]], Locations[Location Name],Locations[Group As])</f>
        <v>Abbey Mill</v>
      </c>
      <c r="H533" t="e" vm="1">
        <f>_xlfn.XLOOKUP(AllData[[#This Row],[Site Name]],LocationsKey[Site Name],LocationsKey[District])</f>
        <v>#VALUE!</v>
      </c>
      <c r="I533" t="e" vm="1">
        <f>_xlfn.XLOOKUP(AllData[[#This Row],[Site Name]],LocationsKey[Site Name],LocationsKey[Town])</f>
        <v>#VALUE!</v>
      </c>
      <c r="J533" t="str">
        <f>_xlfn.XLOOKUP(AllData[[#This Row],[Site Name]],LocationsKey[Site Name], LocationsKey[Waterway])</f>
        <v>Avon</v>
      </c>
      <c r="K533" t="s">
        <v>25</v>
      </c>
      <c r="L533">
        <v>51.991295000000001</v>
      </c>
      <c r="M533">
        <v>-2.162458</v>
      </c>
      <c r="N533" t="s">
        <v>23</v>
      </c>
      <c r="O533">
        <v>863</v>
      </c>
      <c r="P533">
        <v>9.4</v>
      </c>
      <c r="Q533">
        <v>7</v>
      </c>
      <c r="R533" s="7" t="str">
        <f>IF(AllData[[#This Row],[Nitrate (PPM)]]&gt;2, "Very high", IF(AllData[[#This Row],[Nitrate (PPM)]]&gt;1, "High", IF(AllData[[#This Row],[Nitrate (PPM)]]&gt;0.5, "Some evidence", IF(AllData[[#This Row],[Nitrate (PPM)]]&gt;=0, "No evidence"))))</f>
        <v>Very high</v>
      </c>
      <c r="S533" s="4">
        <v>0.5</v>
      </c>
      <c r="T533" s="7" t="str">
        <f>IF(AllData[[#This Row],[Phosphate (PPM)]]&gt;0.5, "Very high", IF(AllData[[#This Row],[Phosphate (PPM)]]&gt;0.1, "High", IF(AllData[[#This Row],[Phosphate (PPM)]]&gt;0.05, "Some evidence", IF(AllData[[#This Row],[Phosphate (PPM)]]&lt;=0.05, "No Evidence", ""))))</f>
        <v>High</v>
      </c>
      <c r="U533">
        <v>0.6</v>
      </c>
    </row>
    <row r="534" spans="1:22" x14ac:dyDescent="0.25">
      <c r="A534" t="s">
        <v>797</v>
      </c>
      <c r="B534" s="2">
        <v>45364</v>
      </c>
      <c r="C534" s="2" t="str" cm="1">
        <f t="array" ref="C5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4">
        <f>YEAR(AllData[[#This Row],[Date]])</f>
        <v>2024</v>
      </c>
      <c r="E534" s="1">
        <v>0.52916666666666667</v>
      </c>
      <c r="F534" s="2" t="str">
        <f>IF(AND(AllData[[#This Row],[Time]]&lt;0.5, AllData[[#This Row],[Time]]&gt;0.17)=TRUE, "Morning", IF(AND(AllData[[#This Row],[Time]]&lt;0.75, AllData[[#This Row],[Time]]&gt;=0.5)=TRUE, "Afternoon", IF(AND(AllData[[#This Row],[Time]]&lt;1, AllData[[#This Row],[Time]]&gt;=0.75)=TRUE, "Evening", "Night")))</f>
        <v>Afternoon</v>
      </c>
      <c r="G534" t="str">
        <f>_xlfn.XLOOKUP(AllData[[#This Row],[Location Name]], Locations[Location Name],Locations[Group As])</f>
        <v>Preston-on-Stour River Bridge</v>
      </c>
      <c r="H534" t="e" vm="2">
        <f>_xlfn.XLOOKUP(AllData[[#This Row],[Site Name]],LocationsKey[Site Name],LocationsKey[District])</f>
        <v>#VALUE!</v>
      </c>
      <c r="I534" t="e" vm="9">
        <f>_xlfn.XLOOKUP(AllData[[#This Row],[Site Name]],LocationsKey[Site Name],LocationsKey[Town])</f>
        <v>#VALUE!</v>
      </c>
      <c r="J534" t="str">
        <f>_xlfn.XLOOKUP(AllData[[#This Row],[Site Name]],LocationsKey[Site Name], LocationsKey[Waterway])</f>
        <v>Stour</v>
      </c>
      <c r="K534" t="s">
        <v>163</v>
      </c>
      <c r="L534">
        <v>52.146500000000003</v>
      </c>
      <c r="M534">
        <v>-1.6992780000000001</v>
      </c>
      <c r="N534" t="s">
        <v>29</v>
      </c>
      <c r="O534" s="219">
        <v>508</v>
      </c>
      <c r="P534">
        <v>10.9</v>
      </c>
      <c r="Q534" s="219">
        <v>6</v>
      </c>
      <c r="R534" s="7" t="str">
        <f>IF(AllData[[#This Row],[Nitrate (PPM)]]&gt;2, "Very high", IF(AllData[[#This Row],[Nitrate (PPM)]]&gt;1, "High", IF(AllData[[#This Row],[Nitrate (PPM)]]&gt;0.5, "Some evidence", IF(AllData[[#This Row],[Nitrate (PPM)]]&gt;=0, "No evidence"))))</f>
        <v>Very high</v>
      </c>
      <c r="S534" s="221">
        <v>0.32</v>
      </c>
      <c r="T534" s="7" t="str">
        <f>IF(AllData[[#This Row],[Phosphate (PPM)]]&gt;0.5, "Very high", IF(AllData[[#This Row],[Phosphate (PPM)]]&gt;0.1, "High", IF(AllData[[#This Row],[Phosphate (PPM)]]&gt;0.05, "Some evidence", IF(AllData[[#This Row],[Phosphate (PPM)]]&lt;=0.05, "No Evidence", ""))))</f>
        <v>High</v>
      </c>
      <c r="U534">
        <v>2</v>
      </c>
      <c r="V534" t="s">
        <v>798</v>
      </c>
    </row>
    <row r="535" spans="1:22" x14ac:dyDescent="0.25">
      <c r="A535" t="s">
        <v>799</v>
      </c>
      <c r="B535" s="2">
        <v>45364</v>
      </c>
      <c r="C535" s="2" t="str" cm="1">
        <f t="array" ref="C5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5">
        <f>YEAR(AllData[[#This Row],[Date]])</f>
        <v>2024</v>
      </c>
      <c r="E535" s="1">
        <v>0.61111111111111116</v>
      </c>
      <c r="F535" s="2" t="str">
        <f>IF(AND(AllData[[#This Row],[Time]]&lt;0.5, AllData[[#This Row],[Time]]&gt;0.17)=TRUE, "Morning", IF(AND(AllData[[#This Row],[Time]]&lt;0.75, AllData[[#This Row],[Time]]&gt;=0.5)=TRUE, "Afternoon", IF(AND(AllData[[#This Row],[Time]]&lt;1, AllData[[#This Row],[Time]]&gt;=0.75)=TRUE, "Evening", "Night")))</f>
        <v>Afternoon</v>
      </c>
      <c r="G535" t="str">
        <f>_xlfn.XLOOKUP(AllData[[#This Row],[Location Name]], Locations[Location Name],Locations[Group As])</f>
        <v>Alveston Weir</v>
      </c>
      <c r="H535" t="e" vm="2">
        <f>_xlfn.XLOOKUP(AllData[[#This Row],[Site Name]],LocationsKey[Site Name],LocationsKey[District])</f>
        <v>#VALUE!</v>
      </c>
      <c r="I535" t="e" vm="13">
        <f>_xlfn.XLOOKUP(AllData[[#This Row],[Site Name]],LocationsKey[Site Name],LocationsKey[Town])</f>
        <v>#VALUE!</v>
      </c>
      <c r="J535" t="str">
        <f>_xlfn.XLOOKUP(AllData[[#This Row],[Site Name]],LocationsKey[Site Name], LocationsKey[Waterway])</f>
        <v>Avon</v>
      </c>
      <c r="K535" t="s">
        <v>286</v>
      </c>
      <c r="L535">
        <v>52.212288999999998</v>
      </c>
      <c r="M535">
        <v>-1.660452</v>
      </c>
      <c r="N535" t="s">
        <v>29</v>
      </c>
      <c r="O535">
        <v>464</v>
      </c>
      <c r="P535">
        <v>13.7</v>
      </c>
      <c r="Q535">
        <v>5</v>
      </c>
      <c r="R535" s="7" t="str">
        <f>IF(AllData[[#This Row],[Nitrate (PPM)]]&gt;2, "Very high", IF(AllData[[#This Row],[Nitrate (PPM)]]&gt;1, "High", IF(AllData[[#This Row],[Nitrate (PPM)]]&gt;0.5, "Some evidence", IF(AllData[[#This Row],[Nitrate (PPM)]]&gt;=0, "No evidence"))))</f>
        <v>Very high</v>
      </c>
      <c r="S535" s="4">
        <v>0.52</v>
      </c>
      <c r="T535" s="7" t="str">
        <f>IF(AllData[[#This Row],[Phosphate (PPM)]]&gt;0.5, "Very high", IF(AllData[[#This Row],[Phosphate (PPM)]]&gt;0.1, "High", IF(AllData[[#This Row],[Phosphate (PPM)]]&gt;0.05, "Some evidence", IF(AllData[[#This Row],[Phosphate (PPM)]]&lt;=0.05, "No Evidence", ""))))</f>
        <v>Very high</v>
      </c>
      <c r="U535">
        <v>1.5</v>
      </c>
      <c r="V535" t="s">
        <v>800</v>
      </c>
    </row>
    <row r="536" spans="1:22" x14ac:dyDescent="0.25">
      <c r="A536" t="s">
        <v>801</v>
      </c>
      <c r="B536" s="2">
        <v>45364</v>
      </c>
      <c r="C536" s="2" t="str" cm="1">
        <f t="array" ref="C5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6">
        <f>YEAR(AllData[[#This Row],[Date]])</f>
        <v>2024</v>
      </c>
      <c r="E536" s="1">
        <v>0.63541666666666663</v>
      </c>
      <c r="F536" s="2" t="str">
        <f>IF(AND(AllData[[#This Row],[Time]]&lt;0.5, AllData[[#This Row],[Time]]&gt;0.17)=TRUE, "Morning", IF(AND(AllData[[#This Row],[Time]]&lt;0.75, AllData[[#This Row],[Time]]&gt;=0.5)=TRUE, "Afternoon", IF(AND(AllData[[#This Row],[Time]]&lt;1, AllData[[#This Row],[Time]]&gt;=0.75)=TRUE, "Evening", "Night")))</f>
        <v>Afternoon</v>
      </c>
      <c r="G536" t="str">
        <f>_xlfn.XLOOKUP(AllData[[#This Row],[Location Name]], Locations[Location Name],Locations[Group As])</f>
        <v>Swiffen Bank</v>
      </c>
      <c r="H536" t="e" vm="2">
        <f>_xlfn.XLOOKUP(AllData[[#This Row],[Site Name]],LocationsKey[Site Name],LocationsKey[District])</f>
        <v>#VALUE!</v>
      </c>
      <c r="I536" t="e" vm="13">
        <f>_xlfn.XLOOKUP(AllData[[#This Row],[Site Name]],LocationsKey[Site Name],LocationsKey[Town])</f>
        <v>#VALUE!</v>
      </c>
      <c r="J536" t="str">
        <f>_xlfn.XLOOKUP(AllData[[#This Row],[Site Name]],LocationsKey[Site Name], LocationsKey[Waterway])</f>
        <v>Avon</v>
      </c>
      <c r="K536" t="s">
        <v>284</v>
      </c>
      <c r="L536">
        <v>52.206623999999998</v>
      </c>
      <c r="M536">
        <v>-1.654525</v>
      </c>
      <c r="N536" t="s">
        <v>29</v>
      </c>
      <c r="O536">
        <v>464</v>
      </c>
      <c r="P536">
        <v>12.4</v>
      </c>
      <c r="Q536">
        <v>5</v>
      </c>
      <c r="R536" s="7" t="str">
        <f>IF(AllData[[#This Row],[Nitrate (PPM)]]&gt;2, "Very high", IF(AllData[[#This Row],[Nitrate (PPM)]]&gt;1, "High", IF(AllData[[#This Row],[Nitrate (PPM)]]&gt;0.5, "Some evidence", IF(AllData[[#This Row],[Nitrate (PPM)]]&gt;=0, "No evidence"))))</f>
        <v>Very high</v>
      </c>
      <c r="S536" s="4">
        <v>0.25</v>
      </c>
      <c r="T536" s="7" t="str">
        <f>IF(AllData[[#This Row],[Phosphate (PPM)]]&gt;0.5, "Very high", IF(AllData[[#This Row],[Phosphate (PPM)]]&gt;0.1, "High", IF(AllData[[#This Row],[Phosphate (PPM)]]&gt;0.05, "Some evidence", IF(AllData[[#This Row],[Phosphate (PPM)]]&lt;=0.05, "No Evidence", ""))))</f>
        <v>High</v>
      </c>
      <c r="U536">
        <v>1.5</v>
      </c>
      <c r="V536" t="s">
        <v>802</v>
      </c>
    </row>
    <row r="537" spans="1:22" x14ac:dyDescent="0.25">
      <c r="A537" t="s">
        <v>803</v>
      </c>
      <c r="B537" s="2">
        <v>45365</v>
      </c>
      <c r="C537" s="2" t="str" cm="1">
        <f t="array" ref="C5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7">
        <f>YEAR(AllData[[#This Row],[Date]])</f>
        <v>2024</v>
      </c>
      <c r="E537" s="1">
        <v>0.47222222222222221</v>
      </c>
      <c r="F537" s="2" t="str">
        <f>IF(AND(AllData[[#This Row],[Time]]&lt;0.5, AllData[[#This Row],[Time]]&gt;0.17)=TRUE, "Morning", IF(AND(AllData[[#This Row],[Time]]&lt;0.75, AllData[[#This Row],[Time]]&gt;=0.5)=TRUE, "Afternoon", IF(AND(AllData[[#This Row],[Time]]&lt;1, AllData[[#This Row],[Time]]&gt;=0.75)=TRUE, "Evening", "Night")))</f>
        <v>Morning</v>
      </c>
      <c r="G537" t="str">
        <f>_xlfn.XLOOKUP(AllData[[#This Row],[Location Name]], Locations[Location Name],Locations[Group As])</f>
        <v>Stour Willington</v>
      </c>
      <c r="H537" t="e" vm="2">
        <f>_xlfn.XLOOKUP(AllData[[#This Row],[Site Name]],LocationsKey[Site Name],LocationsKey[District])</f>
        <v>#VALUE!</v>
      </c>
      <c r="I537" t="str">
        <f>_xlfn.XLOOKUP(AllData[[#This Row],[Site Name]],LocationsKey[Site Name],LocationsKey[Town])</f>
        <v>Willington</v>
      </c>
      <c r="J537" t="str">
        <f>_xlfn.XLOOKUP(AllData[[#This Row],[Site Name]],LocationsKey[Site Name], LocationsKey[Waterway])</f>
        <v>Stour</v>
      </c>
      <c r="K537" t="s">
        <v>517</v>
      </c>
      <c r="L537">
        <v>52.053604</v>
      </c>
      <c r="M537">
        <v>-1.6202430000000001</v>
      </c>
      <c r="N537" t="s">
        <v>23</v>
      </c>
      <c r="O537">
        <v>563</v>
      </c>
      <c r="P537">
        <v>12.8</v>
      </c>
      <c r="Q537">
        <v>2</v>
      </c>
      <c r="R537" s="7" t="str">
        <f>IF(AllData[[#This Row],[Nitrate (PPM)]]&gt;2, "Very high", IF(AllData[[#This Row],[Nitrate (PPM)]]&gt;1, "High", IF(AllData[[#This Row],[Nitrate (PPM)]]&gt;0.5, "Some evidence", IF(AllData[[#This Row],[Nitrate (PPM)]]&gt;=0, "No evidence"))))</f>
        <v>High</v>
      </c>
      <c r="S537" s="4">
        <v>0.21</v>
      </c>
      <c r="T537" s="7" t="str">
        <f>IF(AllData[[#This Row],[Phosphate (PPM)]]&gt;0.5, "Very high", IF(AllData[[#This Row],[Phosphate (PPM)]]&gt;0.1, "High", IF(AllData[[#This Row],[Phosphate (PPM)]]&gt;0.05, "Some evidence", IF(AllData[[#This Row],[Phosphate (PPM)]]&lt;=0.05, "No Evidence", ""))))</f>
        <v>High</v>
      </c>
      <c r="U537">
        <v>0.5</v>
      </c>
    </row>
    <row r="538" spans="1:22" x14ac:dyDescent="0.25">
      <c r="A538" t="s">
        <v>804</v>
      </c>
      <c r="B538" s="2">
        <v>45365</v>
      </c>
      <c r="C538" s="2" t="str" cm="1">
        <f t="array" ref="C5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8">
        <f>YEAR(AllData[[#This Row],[Date]])</f>
        <v>2024</v>
      </c>
      <c r="E538" s="1">
        <v>0.70833333333333337</v>
      </c>
      <c r="F538" s="2" t="str">
        <f>IF(AND(AllData[[#This Row],[Time]]&lt;0.5, AllData[[#This Row],[Time]]&gt;0.17)=TRUE, "Morning", IF(AND(AllData[[#This Row],[Time]]&lt;0.75, AllData[[#This Row],[Time]]&gt;=0.5)=TRUE, "Afternoon", IF(AND(AllData[[#This Row],[Time]]&lt;1, AllData[[#This Row],[Time]]&gt;=0.75)=TRUE, "Evening", "Night")))</f>
        <v>Afternoon</v>
      </c>
      <c r="G538" t="str">
        <f>_xlfn.XLOOKUP(AllData[[#This Row],[Location Name]], Locations[Location Name],Locations[Group As])</f>
        <v>Stour Newbold Mill</v>
      </c>
      <c r="H538" t="e" vm="2">
        <f>_xlfn.XLOOKUP(AllData[[#This Row],[Site Name]],LocationsKey[Site Name],LocationsKey[District])</f>
        <v>#VALUE!</v>
      </c>
      <c r="I538" t="e" vm="8">
        <f>_xlfn.XLOOKUP(AllData[[#This Row],[Site Name]],LocationsKey[Site Name],LocationsKey[Town])</f>
        <v>#VALUE!</v>
      </c>
      <c r="J538" t="str">
        <f>_xlfn.XLOOKUP(AllData[[#This Row],[Site Name]],LocationsKey[Site Name], LocationsKey[Waterway])</f>
        <v>Stour</v>
      </c>
      <c r="K538" t="s">
        <v>140</v>
      </c>
      <c r="L538">
        <v>52.112876999999997</v>
      </c>
      <c r="M538">
        <v>-1.6332990000000001</v>
      </c>
      <c r="N538" t="s">
        <v>29</v>
      </c>
      <c r="O538">
        <v>602</v>
      </c>
      <c r="P538">
        <v>13.8</v>
      </c>
      <c r="Q538">
        <v>2</v>
      </c>
      <c r="R538" s="7" t="str">
        <f>IF(AllData[[#This Row],[Nitrate (PPM)]]&gt;2, "Very high", IF(AllData[[#This Row],[Nitrate (PPM)]]&gt;1, "High", IF(AllData[[#This Row],[Nitrate (PPM)]]&gt;0.5, "Some evidence", IF(AllData[[#This Row],[Nitrate (PPM)]]&gt;=0, "No evidence"))))</f>
        <v>High</v>
      </c>
      <c r="S538" s="4">
        <v>0.13</v>
      </c>
      <c r="T538" s="7" t="str">
        <f>IF(AllData[[#This Row],[Phosphate (PPM)]]&gt;0.5, "Very high", IF(AllData[[#This Row],[Phosphate (PPM)]]&gt;0.1, "High", IF(AllData[[#This Row],[Phosphate (PPM)]]&gt;0.05, "Some evidence", IF(AllData[[#This Row],[Phosphate (PPM)]]&lt;=0.05, "No Evidence", ""))))</f>
        <v>High</v>
      </c>
      <c r="U538">
        <v>2.5</v>
      </c>
      <c r="V538" t="s">
        <v>805</v>
      </c>
    </row>
    <row r="539" spans="1:22" x14ac:dyDescent="0.25">
      <c r="A539" t="s">
        <v>806</v>
      </c>
      <c r="B539" s="2">
        <v>45366</v>
      </c>
      <c r="C539" s="2" t="str" cm="1">
        <f t="array" ref="C5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9">
        <f>YEAR(AllData[[#This Row],[Date]])</f>
        <v>2024</v>
      </c>
      <c r="E539" s="1">
        <v>0.48958333333333331</v>
      </c>
      <c r="F539" s="2" t="str">
        <f>IF(AND(AllData[[#This Row],[Time]]&lt;0.5, AllData[[#This Row],[Time]]&gt;0.17)=TRUE, "Morning", IF(AND(AllData[[#This Row],[Time]]&lt;0.75, AllData[[#This Row],[Time]]&gt;=0.5)=TRUE, "Afternoon", IF(AND(AllData[[#This Row],[Time]]&lt;1, AllData[[#This Row],[Time]]&gt;=0.75)=TRUE, "Evening", "Night")))</f>
        <v>Morning</v>
      </c>
      <c r="G539" t="str">
        <f>_xlfn.XLOOKUP(AllData[[#This Row],[Location Name]], Locations[Location Name],Locations[Group As])</f>
        <v>Walcot Lane, Bow Brook Ford</v>
      </c>
      <c r="H539" t="e" vm="17">
        <f>_xlfn.XLOOKUP(AllData[[#This Row],[Site Name]],LocationsKey[Site Name],LocationsKey[District])</f>
        <v>#VALUE!</v>
      </c>
      <c r="I539" t="e" vm="18">
        <f>_xlfn.XLOOKUP(AllData[[#This Row],[Site Name]],LocationsKey[Site Name],LocationsKey[Town])</f>
        <v>#VALUE!</v>
      </c>
      <c r="J539" t="str">
        <f>_xlfn.XLOOKUP(AllData[[#This Row],[Site Name]],LocationsKey[Site Name], LocationsKey[Waterway])</f>
        <v>Bow Brook</v>
      </c>
      <c r="K539" t="s">
        <v>732</v>
      </c>
      <c r="L539">
        <v>52.130482000000001</v>
      </c>
      <c r="M539">
        <v>-2.0784669999999998</v>
      </c>
      <c r="N539" t="s">
        <v>776</v>
      </c>
      <c r="O539">
        <v>808</v>
      </c>
      <c r="P539">
        <v>13.7</v>
      </c>
      <c r="Q539">
        <v>5</v>
      </c>
      <c r="R539" s="7" t="str">
        <f>IF(AllData[[#This Row],[Nitrate (PPM)]]&gt;2, "Very high", IF(AllData[[#This Row],[Nitrate (PPM)]]&gt;1, "High", IF(AllData[[#This Row],[Nitrate (PPM)]]&gt;0.5, "Some evidence", IF(AllData[[#This Row],[Nitrate (PPM)]]&gt;=0, "No evidence"))))</f>
        <v>Very high</v>
      </c>
      <c r="S539" s="4">
        <v>0.82</v>
      </c>
      <c r="T539" s="7" t="str">
        <f>IF(AllData[[#This Row],[Phosphate (PPM)]]&gt;0.5, "Very high", IF(AllData[[#This Row],[Phosphate (PPM)]]&gt;0.1, "High", IF(AllData[[#This Row],[Phosphate (PPM)]]&gt;0.05, "Some evidence", IF(AllData[[#This Row],[Phosphate (PPM)]]&lt;=0.05, "No Evidence", ""))))</f>
        <v>Very high</v>
      </c>
      <c r="U539">
        <v>0.6</v>
      </c>
      <c r="V539" t="s">
        <v>807</v>
      </c>
    </row>
    <row r="540" spans="1:22" x14ac:dyDescent="0.25">
      <c r="A540" t="s">
        <v>808</v>
      </c>
      <c r="B540" s="2">
        <v>45366</v>
      </c>
      <c r="C540" s="2" t="str" cm="1">
        <f t="array" ref="C5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0">
        <f>YEAR(AllData[[#This Row],[Date]])</f>
        <v>2024</v>
      </c>
      <c r="E540" s="1">
        <v>0.65972222222222221</v>
      </c>
      <c r="F540" s="2" t="str">
        <f>IF(AND(AllData[[#This Row],[Time]]&lt;0.5, AllData[[#This Row],[Time]]&gt;0.17)=TRUE, "Morning", IF(AND(AllData[[#This Row],[Time]]&lt;0.75, AllData[[#This Row],[Time]]&gt;=0.5)=TRUE, "Afternoon", IF(AND(AllData[[#This Row],[Time]]&lt;1, AllData[[#This Row],[Time]]&gt;=0.75)=TRUE, "Evening", "Night")))</f>
        <v>Afternoon</v>
      </c>
      <c r="G540" t="str">
        <f>_xlfn.XLOOKUP(AllData[[#This Row],[Location Name]], Locations[Location Name],Locations[Group As])</f>
        <v>Preston Bagot Canal</v>
      </c>
      <c r="H540" t="e" vm="2">
        <f>_xlfn.XLOOKUP(AllData[[#This Row],[Site Name]],LocationsKey[Site Name],LocationsKey[District])</f>
        <v>#VALUE!</v>
      </c>
      <c r="I540" t="e" vm="19">
        <f>_xlfn.XLOOKUP(AllData[[#This Row],[Site Name]],LocationsKey[Site Name],LocationsKey[Town])</f>
        <v>#VALUE!</v>
      </c>
      <c r="J540" t="str">
        <f>_xlfn.XLOOKUP(AllData[[#This Row],[Site Name]],LocationsKey[Site Name], LocationsKey[Waterway])</f>
        <v>Preston Bagot Canal</v>
      </c>
      <c r="K540" t="s">
        <v>615</v>
      </c>
      <c r="N540" t="s">
        <v>23</v>
      </c>
      <c r="O540">
        <v>312</v>
      </c>
      <c r="P540">
        <v>12.7</v>
      </c>
      <c r="Q540">
        <v>2</v>
      </c>
      <c r="R540" s="7" t="str">
        <f>IF(AllData[[#This Row],[Nitrate (PPM)]]&gt;2, "Very high", IF(AllData[[#This Row],[Nitrate (PPM)]]&gt;1, "High", IF(AllData[[#This Row],[Nitrate (PPM)]]&gt;0.5, "Some evidence", IF(AllData[[#This Row],[Nitrate (PPM)]]&gt;=0, "No evidence"))))</f>
        <v>High</v>
      </c>
      <c r="S540" s="4">
        <v>0.13</v>
      </c>
      <c r="T540" s="7" t="str">
        <f>IF(AllData[[#This Row],[Phosphate (PPM)]]&gt;0.5, "Very high", IF(AllData[[#This Row],[Phosphate (PPM)]]&gt;0.1, "High", IF(AllData[[#This Row],[Phosphate (PPM)]]&gt;0.05, "Some evidence", IF(AllData[[#This Row],[Phosphate (PPM)]]&lt;=0.05, "No Evidence", ""))))</f>
        <v>High</v>
      </c>
      <c r="U540">
        <v>0</v>
      </c>
    </row>
    <row r="541" spans="1:22" x14ac:dyDescent="0.25">
      <c r="A541" t="s">
        <v>809</v>
      </c>
      <c r="B541" s="2">
        <v>45366</v>
      </c>
      <c r="C541" s="2" t="str" cm="1">
        <f t="array" ref="C5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1">
        <f>YEAR(AllData[[#This Row],[Date]])</f>
        <v>2024</v>
      </c>
      <c r="E541" s="1">
        <v>0.66666666666666663</v>
      </c>
      <c r="F541" s="2" t="str">
        <f>IF(AND(AllData[[#This Row],[Time]]&lt;0.5, AllData[[#This Row],[Time]]&gt;0.17)=TRUE, "Morning", IF(AND(AllData[[#This Row],[Time]]&lt;0.75, AllData[[#This Row],[Time]]&gt;=0.5)=TRUE, "Afternoon", IF(AND(AllData[[#This Row],[Time]]&lt;1, AllData[[#This Row],[Time]]&gt;=0.75)=TRUE, "Evening", "Night")))</f>
        <v>Afternoon</v>
      </c>
      <c r="G541" t="str">
        <f>_xlfn.XLOOKUP(AllData[[#This Row],[Location Name]], Locations[Location Name],Locations[Group As])</f>
        <v>Preston Bagot Brook</v>
      </c>
      <c r="H541" t="e" vm="2">
        <f>_xlfn.XLOOKUP(AllData[[#This Row],[Site Name]],LocationsKey[Site Name],LocationsKey[District])</f>
        <v>#VALUE!</v>
      </c>
      <c r="I541" t="e" vm="19">
        <f>_xlfn.XLOOKUP(AllData[[#This Row],[Site Name]],LocationsKey[Site Name],LocationsKey[Town])</f>
        <v>#VALUE!</v>
      </c>
      <c r="J541" t="str">
        <f>_xlfn.XLOOKUP(AllData[[#This Row],[Site Name]],LocationsKey[Site Name], LocationsKey[Waterway])</f>
        <v>Preston Bagot Brook</v>
      </c>
      <c r="K541" t="s">
        <v>618</v>
      </c>
      <c r="L541">
        <v>52.286200000000001</v>
      </c>
      <c r="M541">
        <v>-1.7478</v>
      </c>
      <c r="N541" t="s">
        <v>23</v>
      </c>
      <c r="O541">
        <v>597</v>
      </c>
      <c r="P541">
        <v>13</v>
      </c>
      <c r="Q541">
        <v>2.5</v>
      </c>
      <c r="R541" s="7" t="str">
        <f>IF(AllData[[#This Row],[Nitrate (PPM)]]&gt;2, "Very high", IF(AllData[[#This Row],[Nitrate (PPM)]]&gt;1, "High", IF(AllData[[#This Row],[Nitrate (PPM)]]&gt;0.5, "Some evidence", IF(AllData[[#This Row],[Nitrate (PPM)]]&gt;=0, "No evidence"))))</f>
        <v>Very high</v>
      </c>
      <c r="S541" s="4">
        <v>1</v>
      </c>
      <c r="T541" s="7" t="str">
        <f>IF(AllData[[#This Row],[Phosphate (PPM)]]&gt;0.5, "Very high", IF(AllData[[#This Row],[Phosphate (PPM)]]&gt;0.1, "High", IF(AllData[[#This Row],[Phosphate (PPM)]]&gt;0.05, "Some evidence", IF(AllData[[#This Row],[Phosphate (PPM)]]&lt;=0.05, "No Evidence", ""))))</f>
        <v>Very high</v>
      </c>
      <c r="U541">
        <v>0</v>
      </c>
    </row>
    <row r="542" spans="1:22" x14ac:dyDescent="0.25">
      <c r="A542" t="s">
        <v>810</v>
      </c>
      <c r="B542" s="2">
        <v>45367</v>
      </c>
      <c r="C542" s="2" t="str" cm="1">
        <f t="array" ref="C5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2">
        <f>YEAR(AllData[[#This Row],[Date]])</f>
        <v>2024</v>
      </c>
      <c r="E542" s="1">
        <v>0.41249999999999998</v>
      </c>
      <c r="F542" s="2" t="str">
        <f>IF(AND(AllData[[#This Row],[Time]]&lt;0.5, AllData[[#This Row],[Time]]&gt;0.17)=TRUE, "Morning", IF(AND(AllData[[#This Row],[Time]]&lt;0.75, AllData[[#This Row],[Time]]&gt;=0.5)=TRUE, "Afternoon", IF(AND(AllData[[#This Row],[Time]]&lt;1, AllData[[#This Row],[Time]]&gt;=0.75)=TRUE, "Evening", "Night")))</f>
        <v>Morning</v>
      </c>
      <c r="G542" t="str">
        <f>_xlfn.XLOOKUP(AllData[[#This Row],[Location Name]], Locations[Location Name],Locations[Group As])</f>
        <v>Lower Lode</v>
      </c>
      <c r="H542" t="e" vm="1">
        <f>_xlfn.XLOOKUP(AllData[[#This Row],[Site Name]],LocationsKey[Site Name],LocationsKey[District])</f>
        <v>#VALUE!</v>
      </c>
      <c r="I542" t="e" vm="1">
        <f>_xlfn.XLOOKUP(AllData[[#This Row],[Site Name]],LocationsKey[Site Name],LocationsKey[Town])</f>
        <v>#VALUE!</v>
      </c>
      <c r="J542" t="str">
        <f>_xlfn.XLOOKUP(AllData[[#This Row],[Site Name]],LocationsKey[Site Name], LocationsKey[Waterway])</f>
        <v>Avon</v>
      </c>
      <c r="K542" t="s">
        <v>592</v>
      </c>
      <c r="L542">
        <v>51.985084999999998</v>
      </c>
      <c r="M542">
        <v>-2.1741769999999998</v>
      </c>
      <c r="N542" t="s">
        <v>29</v>
      </c>
      <c r="O542">
        <v>6390.1</v>
      </c>
      <c r="P542">
        <v>11.5</v>
      </c>
      <c r="Q542">
        <v>20</v>
      </c>
      <c r="R542" s="7" t="str">
        <f>IF(AllData[[#This Row],[Nitrate (PPM)]]&gt;2, "Very high", IF(AllData[[#This Row],[Nitrate (PPM)]]&gt;1, "High", IF(AllData[[#This Row],[Nitrate (PPM)]]&gt;0.5, "Some evidence", IF(AllData[[#This Row],[Nitrate (PPM)]]&gt;=0, "No evidence"))))</f>
        <v>Very high</v>
      </c>
      <c r="S542" s="4">
        <v>0.55000000000000004</v>
      </c>
      <c r="T542" s="7" t="str">
        <f>IF(AllData[[#This Row],[Phosphate (PPM)]]&gt;0.5, "Very high", IF(AllData[[#This Row],[Phosphate (PPM)]]&gt;0.1, "High", IF(AllData[[#This Row],[Phosphate (PPM)]]&gt;0.05, "Some evidence", IF(AllData[[#This Row],[Phosphate (PPM)]]&lt;=0.05, "No Evidence", ""))))</f>
        <v>Very high</v>
      </c>
      <c r="U542">
        <v>3</v>
      </c>
    </row>
    <row r="543" spans="1:22" x14ac:dyDescent="0.25">
      <c r="A543" t="s">
        <v>811</v>
      </c>
      <c r="B543" s="2">
        <v>45367</v>
      </c>
      <c r="C543" s="2" t="str" cm="1">
        <f t="array" ref="C5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3">
        <f>YEAR(AllData[[#This Row],[Date]])</f>
        <v>2024</v>
      </c>
      <c r="E543" s="1">
        <v>0.44444444444444442</v>
      </c>
      <c r="F543" s="2" t="str">
        <f>IF(AND(AllData[[#This Row],[Time]]&lt;0.5, AllData[[#This Row],[Time]]&gt;0.17)=TRUE, "Morning", IF(AND(AllData[[#This Row],[Time]]&lt;0.75, AllData[[#This Row],[Time]]&gt;=0.5)=TRUE, "Afternoon", IF(AND(AllData[[#This Row],[Time]]&lt;1, AllData[[#This Row],[Time]]&gt;=0.75)=TRUE, "Evening", "Night")))</f>
        <v>Morning</v>
      </c>
      <c r="G543" t="str">
        <f>_xlfn.XLOOKUP(AllData[[#This Row],[Location Name]], Locations[Location Name],Locations[Group As])</f>
        <v>Swilgate</v>
      </c>
      <c r="H543" t="e" vm="1">
        <f>_xlfn.XLOOKUP(AllData[[#This Row],[Site Name]],LocationsKey[Site Name],LocationsKey[District])</f>
        <v>#VALUE!</v>
      </c>
      <c r="I543" t="e" vm="1">
        <f>_xlfn.XLOOKUP(AllData[[#This Row],[Site Name]],LocationsKey[Site Name],LocationsKey[Town])</f>
        <v>#VALUE!</v>
      </c>
      <c r="J543" t="str">
        <f>_xlfn.XLOOKUP(AllData[[#This Row],[Site Name]],LocationsKey[Site Name], LocationsKey[Waterway])</f>
        <v>Swilgate</v>
      </c>
      <c r="K543" t="s">
        <v>84</v>
      </c>
      <c r="N543" t="s">
        <v>23</v>
      </c>
      <c r="O543">
        <v>764</v>
      </c>
      <c r="P543">
        <v>11.4</v>
      </c>
      <c r="Q543">
        <v>5</v>
      </c>
      <c r="R543" s="7" t="str">
        <f>IF(AllData[[#This Row],[Nitrate (PPM)]]&gt;2, "Very high", IF(AllData[[#This Row],[Nitrate (PPM)]]&gt;1, "High", IF(AllData[[#This Row],[Nitrate (PPM)]]&gt;0.5, "Some evidence", IF(AllData[[#This Row],[Nitrate (PPM)]]&gt;=0, "No evidence"))))</f>
        <v>Very high</v>
      </c>
      <c r="S543" s="4">
        <v>0.61</v>
      </c>
      <c r="T543" s="7" t="str">
        <f>IF(AllData[[#This Row],[Phosphate (PPM)]]&gt;0.5, "Very high", IF(AllData[[#This Row],[Phosphate (PPM)]]&gt;0.1, "High", IF(AllData[[#This Row],[Phosphate (PPM)]]&gt;0.05, "Some evidence", IF(AllData[[#This Row],[Phosphate (PPM)]]&lt;=0.05, "No Evidence", ""))))</f>
        <v>Very high</v>
      </c>
      <c r="U543">
        <v>2</v>
      </c>
    </row>
    <row r="544" spans="1:22" x14ac:dyDescent="0.25">
      <c r="A544" t="s">
        <v>812</v>
      </c>
      <c r="B544" s="2">
        <v>45367</v>
      </c>
      <c r="C544" s="2" t="str" cm="1">
        <f t="array" ref="C5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4">
        <f>YEAR(AllData[[#This Row],[Date]])</f>
        <v>2024</v>
      </c>
      <c r="E544" s="1">
        <v>0.46180555555555558</v>
      </c>
      <c r="F544" s="2" t="str">
        <f>IF(AND(AllData[[#This Row],[Time]]&lt;0.5, AllData[[#This Row],[Time]]&gt;0.17)=TRUE, "Morning", IF(AND(AllData[[#This Row],[Time]]&lt;0.75, AllData[[#This Row],[Time]]&gt;=0.5)=TRUE, "Afternoon", IF(AND(AllData[[#This Row],[Time]]&lt;1, AllData[[#This Row],[Time]]&gt;=0.75)=TRUE, "Evening", "Night")))</f>
        <v>Morning</v>
      </c>
      <c r="G544" t="str">
        <f>_xlfn.XLOOKUP(AllData[[#This Row],[Location Name]], Locations[Location Name],Locations[Group As])</f>
        <v>Black Bear</v>
      </c>
      <c r="H544" t="e" vm="1">
        <f>_xlfn.XLOOKUP(AllData[[#This Row],[Site Name]],LocationsKey[Site Name],LocationsKey[District])</f>
        <v>#VALUE!</v>
      </c>
      <c r="I544" t="e" vm="1">
        <f>_xlfn.XLOOKUP(AllData[[#This Row],[Site Name]],LocationsKey[Site Name],LocationsKey[Town])</f>
        <v>#VALUE!</v>
      </c>
      <c r="J544" t="str">
        <f>_xlfn.XLOOKUP(AllData[[#This Row],[Site Name]],LocationsKey[Site Name], LocationsKey[Waterway])</f>
        <v>Avon</v>
      </c>
      <c r="K544" t="s">
        <v>567</v>
      </c>
      <c r="N544" t="s">
        <v>23</v>
      </c>
      <c r="O544">
        <v>645</v>
      </c>
      <c r="P544">
        <v>12.7</v>
      </c>
      <c r="Q544">
        <v>5</v>
      </c>
      <c r="R544" s="7" t="str">
        <f>IF(AllData[[#This Row],[Nitrate (PPM)]]&gt;2, "Very high", IF(AllData[[#This Row],[Nitrate (PPM)]]&gt;1, "High", IF(AllData[[#This Row],[Nitrate (PPM)]]&gt;0.5, "Some evidence", IF(AllData[[#This Row],[Nitrate (PPM)]]&gt;=0, "No evidence"))))</f>
        <v>Very high</v>
      </c>
      <c r="S544" s="4">
        <v>0.77</v>
      </c>
      <c r="T544" s="7" t="str">
        <f>IF(AllData[[#This Row],[Phosphate (PPM)]]&gt;0.5, "Very high", IF(AllData[[#This Row],[Phosphate (PPM)]]&gt;0.1, "High", IF(AllData[[#This Row],[Phosphate (PPM)]]&gt;0.05, "Some evidence", IF(AllData[[#This Row],[Phosphate (PPM)]]&lt;=0.05, "No Evidence", ""))))</f>
        <v>Very high</v>
      </c>
      <c r="U544">
        <v>2</v>
      </c>
    </row>
    <row r="545" spans="1:22" x14ac:dyDescent="0.25">
      <c r="A545" t="s">
        <v>813</v>
      </c>
      <c r="B545" s="2">
        <v>45367</v>
      </c>
      <c r="C545" s="2" t="str" cm="1">
        <f t="array" ref="C5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5">
        <f>YEAR(AllData[[#This Row],[Date]])</f>
        <v>2024</v>
      </c>
      <c r="E545" s="1">
        <v>0.48958333333333331</v>
      </c>
      <c r="F545" s="2" t="str">
        <f>IF(AND(AllData[[#This Row],[Time]]&lt;0.5, AllData[[#This Row],[Time]]&gt;0.17)=TRUE, "Morning", IF(AND(AllData[[#This Row],[Time]]&lt;0.75, AllData[[#This Row],[Time]]&gt;=0.5)=TRUE, "Afternoon", IF(AND(AllData[[#This Row],[Time]]&lt;1, AllData[[#This Row],[Time]]&gt;=0.75)=TRUE, "Evening", "Night")))</f>
        <v>Morning</v>
      </c>
      <c r="G545" t="str">
        <f>_xlfn.XLOOKUP(AllData[[#This Row],[Location Name]], Locations[Location Name],Locations[Group As])</f>
        <v>Avon Smiths Meadow Wyre Piddle</v>
      </c>
      <c r="H545" t="e" vm="17">
        <f>_xlfn.XLOOKUP(AllData[[#This Row],[Site Name]],LocationsKey[Site Name],LocationsKey[District])</f>
        <v>#VALUE!</v>
      </c>
      <c r="I545" t="e" vm="20">
        <f>_xlfn.XLOOKUP(AllData[[#This Row],[Site Name]],LocationsKey[Site Name],LocationsKey[Town])</f>
        <v>#VALUE!</v>
      </c>
      <c r="J545" t="str">
        <f>_xlfn.XLOOKUP(AllData[[#This Row],[Site Name]],LocationsKey[Site Name], LocationsKey[Waterway])</f>
        <v>Avon</v>
      </c>
      <c r="K545" t="s">
        <v>741</v>
      </c>
      <c r="L545">
        <v>52.122912999999997</v>
      </c>
      <c r="M545">
        <v>-2.0574750000000002</v>
      </c>
      <c r="N545" t="s">
        <v>23</v>
      </c>
      <c r="O545">
        <v>676</v>
      </c>
      <c r="P545">
        <v>11.3</v>
      </c>
      <c r="Q545">
        <v>5</v>
      </c>
      <c r="R545" s="7" t="str">
        <f>IF(AllData[[#This Row],[Nitrate (PPM)]]&gt;2, "Very high", IF(AllData[[#This Row],[Nitrate (PPM)]]&gt;1, "High", IF(AllData[[#This Row],[Nitrate (PPM)]]&gt;0.5, "Some evidence", IF(AllData[[#This Row],[Nitrate (PPM)]]&gt;=0, "No evidence"))))</f>
        <v>Very high</v>
      </c>
      <c r="S545" s="4">
        <v>0.6</v>
      </c>
      <c r="T545" s="7" t="str">
        <f>IF(AllData[[#This Row],[Phosphate (PPM)]]&gt;0.5, "Very high", IF(AllData[[#This Row],[Phosphate (PPM)]]&gt;0.1, "High", IF(AllData[[#This Row],[Phosphate (PPM)]]&gt;0.05, "Some evidence", IF(AllData[[#This Row],[Phosphate (PPM)]]&lt;=0.05, "No Evidence", ""))))</f>
        <v>Very high</v>
      </c>
      <c r="U545">
        <v>1.1000000000000001</v>
      </c>
      <c r="V545" t="s">
        <v>814</v>
      </c>
    </row>
    <row r="546" spans="1:22" x14ac:dyDescent="0.25">
      <c r="A546" t="s">
        <v>815</v>
      </c>
      <c r="B546" s="2">
        <v>45367</v>
      </c>
      <c r="C546" s="2" t="str" cm="1">
        <f t="array" ref="C5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6">
        <f>YEAR(AllData[[#This Row],[Date]])</f>
        <v>2024</v>
      </c>
      <c r="E546" s="1">
        <v>0.51041666666666663</v>
      </c>
      <c r="F546" s="2" t="str">
        <f>IF(AND(AllData[[#This Row],[Time]]&lt;0.5, AllData[[#This Row],[Time]]&gt;0.17)=TRUE, "Morning", IF(AND(AllData[[#This Row],[Time]]&lt;0.75, AllData[[#This Row],[Time]]&gt;=0.5)=TRUE, "Afternoon", IF(AND(AllData[[#This Row],[Time]]&lt;1, AllData[[#This Row],[Time]]&gt;=0.75)=TRUE, "Evening", "Night")))</f>
        <v>Afternoon</v>
      </c>
      <c r="G546" t="str">
        <f>_xlfn.XLOOKUP(AllData[[#This Row],[Location Name]], Locations[Location Name],Locations[Group As])</f>
        <v>Piddle Brook Wyre Piddle Bridge</v>
      </c>
      <c r="H546" t="e" vm="17">
        <f>_xlfn.XLOOKUP(AllData[[#This Row],[Site Name]],LocationsKey[Site Name],LocationsKey[District])</f>
        <v>#VALUE!</v>
      </c>
      <c r="I546" t="e" vm="20">
        <f>_xlfn.XLOOKUP(AllData[[#This Row],[Site Name]],LocationsKey[Site Name],LocationsKey[Town])</f>
        <v>#VALUE!</v>
      </c>
      <c r="J546" t="str">
        <f>_xlfn.XLOOKUP(AllData[[#This Row],[Site Name]],LocationsKey[Site Name], LocationsKey[Waterway])</f>
        <v>Piddle Brook</v>
      </c>
      <c r="K546" t="s">
        <v>744</v>
      </c>
      <c r="L546">
        <v>52.126412000000002</v>
      </c>
      <c r="M546">
        <v>-2.0565509999999998</v>
      </c>
      <c r="N546" t="s">
        <v>23</v>
      </c>
      <c r="O546">
        <v>672</v>
      </c>
      <c r="P546">
        <v>10.3</v>
      </c>
      <c r="Q546">
        <v>5</v>
      </c>
      <c r="R546" s="7" t="str">
        <f>IF(AllData[[#This Row],[Nitrate (PPM)]]&gt;2, "Very high", IF(AllData[[#This Row],[Nitrate (PPM)]]&gt;1, "High", IF(AllData[[#This Row],[Nitrate (PPM)]]&gt;0.5, "Some evidence", IF(AllData[[#This Row],[Nitrate (PPM)]]&gt;=0, "No evidence"))))</f>
        <v>Very high</v>
      </c>
      <c r="S546" s="4">
        <v>0.53</v>
      </c>
      <c r="T546" s="7" t="str">
        <f>IF(AllData[[#This Row],[Phosphate (PPM)]]&gt;0.5, "Very high", IF(AllData[[#This Row],[Phosphate (PPM)]]&gt;0.1, "High", IF(AllData[[#This Row],[Phosphate (PPM)]]&gt;0.05, "Some evidence", IF(AllData[[#This Row],[Phosphate (PPM)]]&lt;=0.05, "No Evidence", ""))))</f>
        <v>Very high</v>
      </c>
      <c r="U546">
        <v>0.4</v>
      </c>
      <c r="V546" t="s">
        <v>816</v>
      </c>
    </row>
    <row r="547" spans="1:22" x14ac:dyDescent="0.25">
      <c r="A547" t="s">
        <v>817</v>
      </c>
      <c r="B547" s="2">
        <v>45367</v>
      </c>
      <c r="C547" s="2" t="str" cm="1">
        <f t="array" ref="C5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7">
        <f>YEAR(AllData[[#This Row],[Date]])</f>
        <v>2024</v>
      </c>
      <c r="E547" s="1">
        <v>0.60069444444444442</v>
      </c>
      <c r="F547" s="2" t="str">
        <f>IF(AND(AllData[[#This Row],[Time]]&lt;0.5, AllData[[#This Row],[Time]]&gt;0.17)=TRUE, "Morning", IF(AND(AllData[[#This Row],[Time]]&lt;0.75, AllData[[#This Row],[Time]]&gt;=0.5)=TRUE, "Afternoon", IF(AND(AllData[[#This Row],[Time]]&lt;1, AllData[[#This Row],[Time]]&gt;=0.75)=TRUE, "Evening", "Night")))</f>
        <v>Afternoon</v>
      </c>
      <c r="G547" t="str">
        <f>_xlfn.XLOOKUP(AllData[[#This Row],[Location Name]], Locations[Location Name],Locations[Group As])</f>
        <v>Fell Mill Footbridge</v>
      </c>
      <c r="H547" t="e" vm="2">
        <f>_xlfn.XLOOKUP(AllData[[#This Row],[Site Name]],LocationsKey[Site Name],LocationsKey[District])</f>
        <v>#VALUE!</v>
      </c>
      <c r="I547" t="e" vm="10">
        <f>_xlfn.XLOOKUP(AllData[[#This Row],[Site Name]],LocationsKey[Site Name],LocationsKey[Town])</f>
        <v>#VALUE!</v>
      </c>
      <c r="J547" t="str">
        <f>_xlfn.XLOOKUP(AllData[[#This Row],[Site Name]],LocationsKey[Site Name], LocationsKey[Waterway])</f>
        <v>Stour</v>
      </c>
      <c r="K547" t="s">
        <v>818</v>
      </c>
      <c r="L547">
        <v>52.070086000000003</v>
      </c>
      <c r="M547">
        <v>-1.61145</v>
      </c>
      <c r="N547" t="s">
        <v>29</v>
      </c>
      <c r="O547" s="219">
        <v>599</v>
      </c>
      <c r="P547">
        <v>10.1</v>
      </c>
      <c r="Q547" s="219">
        <v>10</v>
      </c>
      <c r="R547" s="7" t="str">
        <f>IF(AllData[[#This Row],[Nitrate (PPM)]]&gt;2, "Very high", IF(AllData[[#This Row],[Nitrate (PPM)]]&gt;1, "High", IF(AllData[[#This Row],[Nitrate (PPM)]]&gt;0.5, "Some evidence", IF(AllData[[#This Row],[Nitrate (PPM)]]&gt;=0, "No evidence"))))</f>
        <v>Very high</v>
      </c>
      <c r="S547" s="221">
        <v>0.27</v>
      </c>
      <c r="T547" s="7" t="str">
        <f>IF(AllData[[#This Row],[Phosphate (PPM)]]&gt;0.5, "Very high", IF(AllData[[#This Row],[Phosphate (PPM)]]&gt;0.1, "High", IF(AllData[[#This Row],[Phosphate (PPM)]]&gt;0.05, "Some evidence", IF(AllData[[#This Row],[Phosphate (PPM)]]&lt;=0.05, "No Evidence", ""))))</f>
        <v>High</v>
      </c>
      <c r="U547">
        <v>2</v>
      </c>
      <c r="V547" t="s">
        <v>819</v>
      </c>
    </row>
    <row r="548" spans="1:22" x14ac:dyDescent="0.25">
      <c r="A548" t="s">
        <v>828</v>
      </c>
      <c r="B548" s="2">
        <v>45368</v>
      </c>
      <c r="C548" s="2" t="str" cm="1">
        <f t="array" ref="C5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8">
        <f>YEAR(AllData[[#This Row],[Date]])</f>
        <v>2024</v>
      </c>
      <c r="E548" s="1">
        <v>0.4375</v>
      </c>
      <c r="F548" s="2" t="str">
        <f>IF(AND(AllData[[#This Row],[Time]]&lt;0.5, AllData[[#This Row],[Time]]&gt;0.17)=TRUE, "Morning", IF(AND(AllData[[#This Row],[Time]]&lt;0.75, AllData[[#This Row],[Time]]&gt;=0.5)=TRUE, "Afternoon", IF(AND(AllData[[#This Row],[Time]]&lt;1, AllData[[#This Row],[Time]]&gt;=0.75)=TRUE, "Evening", "Night")))</f>
        <v>Morning</v>
      </c>
      <c r="G548" t="str">
        <f>_xlfn.XLOOKUP(AllData[[#This Row],[Location Name]], Locations[Location Name],Locations[Group As])</f>
        <v>Lucy's Mill Bridge</v>
      </c>
      <c r="H548" t="e" vm="2">
        <f>_xlfn.XLOOKUP(AllData[[#This Row],[Site Name]],LocationsKey[Site Name],LocationsKey[District])</f>
        <v>#VALUE!</v>
      </c>
      <c r="I548" t="e" vm="7">
        <f>_xlfn.XLOOKUP(AllData[[#This Row],[Site Name]],LocationsKey[Site Name],LocationsKey[Town])</f>
        <v>#VALUE!</v>
      </c>
      <c r="J548" t="str">
        <f>_xlfn.XLOOKUP(AllData[[#This Row],[Site Name]],LocationsKey[Site Name], LocationsKey[Waterway])</f>
        <v>Avon</v>
      </c>
      <c r="K548" t="s">
        <v>216</v>
      </c>
      <c r="L548">
        <v>52.183698999999997</v>
      </c>
      <c r="M548">
        <v>-1.707816</v>
      </c>
      <c r="N548" t="s">
        <v>29</v>
      </c>
      <c r="P548">
        <v>11.2</v>
      </c>
      <c r="Q548">
        <v>5</v>
      </c>
      <c r="R548" s="7" t="str">
        <f>IF(AllData[[#This Row],[Nitrate (PPM)]]&gt;2, "Very high", IF(AllData[[#This Row],[Nitrate (PPM)]]&gt;1, "High", IF(AllData[[#This Row],[Nitrate (PPM)]]&gt;0.5, "Some evidence", IF(AllData[[#This Row],[Nitrate (PPM)]]&gt;=0, "No evidence"))))</f>
        <v>Very high</v>
      </c>
      <c r="S548" s="4">
        <v>0.25</v>
      </c>
      <c r="T548" s="7" t="str">
        <f>IF(AllData[[#This Row],[Phosphate (PPM)]]&gt;0.5, "Very high", IF(AllData[[#This Row],[Phosphate (PPM)]]&gt;0.1, "High", IF(AllData[[#This Row],[Phosphate (PPM)]]&gt;0.05, "Some evidence", IF(AllData[[#This Row],[Phosphate (PPM)]]&lt;=0.05, "No Evidence", ""))))</f>
        <v>High</v>
      </c>
      <c r="U548">
        <v>0.7</v>
      </c>
    </row>
    <row r="549" spans="1:22" x14ac:dyDescent="0.25">
      <c r="A549" t="s">
        <v>820</v>
      </c>
      <c r="B549" s="2">
        <v>45368</v>
      </c>
      <c r="C549" s="2" t="str" cm="1">
        <f t="array" ref="C5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9">
        <f>YEAR(AllData[[#This Row],[Date]])</f>
        <v>2024</v>
      </c>
      <c r="E549" s="1">
        <v>0.48958333333333331</v>
      </c>
      <c r="F549" s="2" t="str">
        <f>IF(AND(AllData[[#This Row],[Time]]&lt;0.5, AllData[[#This Row],[Time]]&gt;0.17)=TRUE, "Morning", IF(AND(AllData[[#This Row],[Time]]&lt;0.75, AllData[[#This Row],[Time]]&gt;=0.5)=TRUE, "Afternoon", IF(AND(AllData[[#This Row],[Time]]&lt;1, AllData[[#This Row],[Time]]&gt;=0.75)=TRUE, "Evening", "Night")))</f>
        <v>Morning</v>
      </c>
      <c r="G549" t="str">
        <f>_xlfn.XLOOKUP(AllData[[#This Row],[Location Name]], Locations[Location Name],Locations[Group As])</f>
        <v>Carrant Bredon Rd</v>
      </c>
      <c r="H549" t="e" vm="1">
        <f>_xlfn.XLOOKUP(AllData[[#This Row],[Site Name]],LocationsKey[Site Name],LocationsKey[District])</f>
        <v>#VALUE!</v>
      </c>
      <c r="I549" t="e" vm="1">
        <f>_xlfn.XLOOKUP(AllData[[#This Row],[Site Name]],LocationsKey[Site Name],LocationsKey[Town])</f>
        <v>#VALUE!</v>
      </c>
      <c r="J549" t="str">
        <f>_xlfn.XLOOKUP(AllData[[#This Row],[Site Name]],LocationsKey[Site Name], LocationsKey[Waterway])</f>
        <v>Carrant</v>
      </c>
      <c r="K549" t="s">
        <v>600</v>
      </c>
      <c r="L549">
        <v>51.996478000000003</v>
      </c>
      <c r="M549">
        <v>-2.155986</v>
      </c>
      <c r="N549" t="s">
        <v>23</v>
      </c>
      <c r="O549">
        <v>535</v>
      </c>
      <c r="P549">
        <v>12.4</v>
      </c>
      <c r="Q549">
        <v>5</v>
      </c>
      <c r="R549" s="7" t="str">
        <f>IF(AllData[[#This Row],[Nitrate (PPM)]]&gt;2, "Very high", IF(AllData[[#This Row],[Nitrate (PPM)]]&gt;1, "High", IF(AllData[[#This Row],[Nitrate (PPM)]]&gt;0.5, "Some evidence", IF(AllData[[#This Row],[Nitrate (PPM)]]&gt;=0, "No evidence"))))</f>
        <v>Very high</v>
      </c>
      <c r="S549" s="4">
        <v>0.19</v>
      </c>
      <c r="T549" s="7" t="str">
        <f>IF(AllData[[#This Row],[Phosphate (PPM)]]&gt;0.5, "Very high", IF(AllData[[#This Row],[Phosphate (PPM)]]&gt;0.1, "High", IF(AllData[[#This Row],[Phosphate (PPM)]]&gt;0.05, "Some evidence", IF(AllData[[#This Row],[Phosphate (PPM)]]&lt;=0.05, "No Evidence", ""))))</f>
        <v>High</v>
      </c>
      <c r="U549">
        <v>0.32</v>
      </c>
      <c r="V549" t="s">
        <v>821</v>
      </c>
    </row>
    <row r="550" spans="1:22" x14ac:dyDescent="0.25">
      <c r="A550" t="s">
        <v>822</v>
      </c>
      <c r="B550" s="2">
        <v>45368</v>
      </c>
      <c r="C550" s="2" t="str" cm="1">
        <f t="array" ref="C5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0">
        <f>YEAR(AllData[[#This Row],[Date]])</f>
        <v>2024</v>
      </c>
      <c r="E550" s="1">
        <v>0.59375</v>
      </c>
      <c r="F550" s="2" t="str">
        <f>IF(AND(AllData[[#This Row],[Time]]&lt;0.5, AllData[[#This Row],[Time]]&gt;0.17)=TRUE, "Morning", IF(AND(AllData[[#This Row],[Time]]&lt;0.75, AllData[[#This Row],[Time]]&gt;=0.5)=TRUE, "Afternoon", IF(AND(AllData[[#This Row],[Time]]&lt;1, AllData[[#This Row],[Time]]&gt;=0.75)=TRUE, "Evening", "Night")))</f>
        <v>Afternoon</v>
      </c>
      <c r="G550" t="str">
        <f>_xlfn.XLOOKUP(AllData[[#This Row],[Location Name]], Locations[Location Name],Locations[Group As])</f>
        <v>Clifford Chambers Mill Bridge</v>
      </c>
      <c r="H550" t="e" vm="2">
        <f>_xlfn.XLOOKUP(AllData[[#This Row],[Site Name]],LocationsKey[Site Name],LocationsKey[District])</f>
        <v>#VALUE!</v>
      </c>
      <c r="I550" t="e" vm="12">
        <f>_xlfn.XLOOKUP(AllData[[#This Row],[Site Name]],LocationsKey[Site Name],LocationsKey[Town])</f>
        <v>#VALUE!</v>
      </c>
      <c r="J550" t="str">
        <f>_xlfn.XLOOKUP(AllData[[#This Row],[Site Name]],LocationsKey[Site Name], LocationsKey[Waterway])</f>
        <v>Stour</v>
      </c>
      <c r="K550" t="s">
        <v>263</v>
      </c>
      <c r="L550">
        <v>52.166370000000001</v>
      </c>
      <c r="M550">
        <v>-1.708032</v>
      </c>
      <c r="N550" t="s">
        <v>66</v>
      </c>
      <c r="O550" s="219">
        <v>538</v>
      </c>
      <c r="P550">
        <v>16.5</v>
      </c>
      <c r="Q550" s="219">
        <v>5</v>
      </c>
      <c r="R550" s="7" t="str">
        <f>IF(AllData[[#This Row],[Nitrate (PPM)]]&gt;2, "Very high", IF(AllData[[#This Row],[Nitrate (PPM)]]&gt;1, "High", IF(AllData[[#This Row],[Nitrate (PPM)]]&gt;0.5, "Some evidence", IF(AllData[[#This Row],[Nitrate (PPM)]]&gt;=0, "No evidence"))))</f>
        <v>Very high</v>
      </c>
      <c r="S550" s="221">
        <v>0.3</v>
      </c>
      <c r="T550" s="7" t="str">
        <f>IF(AllData[[#This Row],[Phosphate (PPM)]]&gt;0.5, "Very high", IF(AllData[[#This Row],[Phosphate (PPM)]]&gt;0.1, "High", IF(AllData[[#This Row],[Phosphate (PPM)]]&gt;0.05, "Some evidence", IF(AllData[[#This Row],[Phosphate (PPM)]]&lt;=0.05, "No Evidence", ""))))</f>
        <v>High</v>
      </c>
      <c r="U550">
        <v>1.7</v>
      </c>
    </row>
    <row r="551" spans="1:22" x14ac:dyDescent="0.25">
      <c r="A551" t="s">
        <v>823</v>
      </c>
      <c r="B551" s="2">
        <v>45368</v>
      </c>
      <c r="C551" s="2" t="str" cm="1">
        <f t="array" ref="C5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1">
        <f>YEAR(AllData[[#This Row],[Date]])</f>
        <v>2024</v>
      </c>
      <c r="E551" s="1">
        <v>0.59722222222222221</v>
      </c>
      <c r="F551" s="2" t="str">
        <f>IF(AND(AllData[[#This Row],[Time]]&lt;0.5, AllData[[#This Row],[Time]]&gt;0.17)=TRUE, "Morning", IF(AND(AllData[[#This Row],[Time]]&lt;0.75, AllData[[#This Row],[Time]]&gt;=0.5)=TRUE, "Afternoon", IF(AND(AllData[[#This Row],[Time]]&lt;1, AllData[[#This Row],[Time]]&gt;=0.75)=TRUE, "Evening", "Night")))</f>
        <v>Afternoon</v>
      </c>
      <c r="G551" t="str">
        <f>_xlfn.XLOOKUP(AllData[[#This Row],[Location Name]], Locations[Location Name],Locations[Group As])</f>
        <v>The Ford, Langley</v>
      </c>
      <c r="H551" t="e" vm="2">
        <f>_xlfn.XLOOKUP(AllData[[#This Row],[Site Name]],LocationsKey[Site Name],LocationsKey[District])</f>
        <v>#VALUE!</v>
      </c>
      <c r="I551" t="str">
        <f>_xlfn.XLOOKUP(AllData[[#This Row],[Site Name]],LocationsKey[Site Name],LocationsKey[Town])</f>
        <v>Langley</v>
      </c>
      <c r="J551" t="str">
        <f>_xlfn.XLOOKUP(AllData[[#This Row],[Site Name]],LocationsKey[Site Name], LocationsKey[Waterway])</f>
        <v>Langley Ford</v>
      </c>
      <c r="K551" t="s">
        <v>557</v>
      </c>
      <c r="L551">
        <v>52.259639</v>
      </c>
      <c r="M551">
        <v>-1.7181999999999999</v>
      </c>
      <c r="N551" t="s">
        <v>29</v>
      </c>
      <c r="O551" s="219">
        <v>223</v>
      </c>
      <c r="P551">
        <v>12.7</v>
      </c>
      <c r="Q551" s="219">
        <v>0.5</v>
      </c>
      <c r="R551" s="7" t="str">
        <f>IF(AllData[[#This Row],[Nitrate (PPM)]]&gt;2, "Very high", IF(AllData[[#This Row],[Nitrate (PPM)]]&gt;1, "High", IF(AllData[[#This Row],[Nitrate (PPM)]]&gt;0.5, "Some evidence", IF(AllData[[#This Row],[Nitrate (PPM)]]&gt;=0, "No evidence"))))</f>
        <v>No evidence</v>
      </c>
      <c r="S551" s="221">
        <v>0.73</v>
      </c>
      <c r="T551" s="7" t="str">
        <f>IF(AllData[[#This Row],[Phosphate (PPM)]]&gt;0.5, "Very high", IF(AllData[[#This Row],[Phosphate (PPM)]]&gt;0.1, "High", IF(AllData[[#This Row],[Phosphate (PPM)]]&gt;0.05, "Some evidence", IF(AllData[[#This Row],[Phosphate (PPM)]]&lt;=0.05, "No Evidence", ""))))</f>
        <v>Very high</v>
      </c>
      <c r="U551">
        <v>0.65</v>
      </c>
      <c r="V551" t="s">
        <v>824</v>
      </c>
    </row>
    <row r="552" spans="1:22" x14ac:dyDescent="0.25">
      <c r="A552" t="s">
        <v>825</v>
      </c>
      <c r="B552" s="2">
        <v>45368</v>
      </c>
      <c r="C552" s="2" t="str" cm="1">
        <f t="array" ref="C5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2">
        <f>YEAR(AllData[[#This Row],[Date]])</f>
        <v>2024</v>
      </c>
      <c r="E552" s="1">
        <v>0.62708333333333333</v>
      </c>
      <c r="F552" s="2" t="str">
        <f>IF(AND(AllData[[#This Row],[Time]]&lt;0.5, AllData[[#This Row],[Time]]&gt;0.17)=TRUE, "Morning", IF(AND(AllData[[#This Row],[Time]]&lt;0.75, AllData[[#This Row],[Time]]&gt;=0.5)=TRUE, "Afternoon", IF(AND(AllData[[#This Row],[Time]]&lt;1, AllData[[#This Row],[Time]]&gt;=0.75)=TRUE, "Evening", "Night")))</f>
        <v>Afternoon</v>
      </c>
      <c r="G552" t="str">
        <f>_xlfn.XLOOKUP(AllData[[#This Row],[Location Name]], Locations[Location Name],Locations[Group As])</f>
        <v>Sherbourne Brook 1</v>
      </c>
      <c r="H552" t="e" vm="2">
        <f>_xlfn.XLOOKUP(AllData[[#This Row],[Site Name]],LocationsKey[Site Name],LocationsKey[District])</f>
        <v>#VALUE!</v>
      </c>
      <c r="I552" t="e" vm="16">
        <f>_xlfn.XLOOKUP(AllData[[#This Row],[Site Name]],LocationsKey[Site Name],LocationsKey[Town])</f>
        <v>#VALUE!</v>
      </c>
      <c r="J552" t="str">
        <f>_xlfn.XLOOKUP(AllData[[#This Row],[Site Name]],LocationsKey[Site Name], LocationsKey[Waterway])</f>
        <v>Sherbourne Brook</v>
      </c>
      <c r="K552" t="s">
        <v>570</v>
      </c>
      <c r="L552">
        <v>52.252499999999998</v>
      </c>
      <c r="M552">
        <v>-1.6685000000000001</v>
      </c>
      <c r="N552" t="s">
        <v>23</v>
      </c>
      <c r="O552">
        <v>193</v>
      </c>
      <c r="P552">
        <v>11.7</v>
      </c>
      <c r="Q552">
        <v>3</v>
      </c>
      <c r="R552" s="7" t="str">
        <f>IF(AllData[[#This Row],[Nitrate (PPM)]]&gt;2, "Very high", IF(AllData[[#This Row],[Nitrate (PPM)]]&gt;1, "High", IF(AllData[[#This Row],[Nitrate (PPM)]]&gt;0.5, "Some evidence", IF(AllData[[#This Row],[Nitrate (PPM)]]&gt;=0, "No evidence"))))</f>
        <v>Very high</v>
      </c>
      <c r="S552" s="4">
        <v>0.68</v>
      </c>
      <c r="T552" s="7" t="str">
        <f>IF(AllData[[#This Row],[Phosphate (PPM)]]&gt;0.5, "Very high", IF(AllData[[#This Row],[Phosphate (PPM)]]&gt;0.1, "High", IF(AllData[[#This Row],[Phosphate (PPM)]]&gt;0.05, "Some evidence", IF(AllData[[#This Row],[Phosphate (PPM)]]&lt;=0.05, "No Evidence", ""))))</f>
        <v>Very high</v>
      </c>
      <c r="U552">
        <v>1</v>
      </c>
      <c r="V552" t="s">
        <v>826</v>
      </c>
    </row>
    <row r="553" spans="1:22" x14ac:dyDescent="0.25">
      <c r="A553" t="s">
        <v>827</v>
      </c>
      <c r="B553" s="2">
        <v>45368</v>
      </c>
      <c r="C553" s="2" t="str" cm="1">
        <f t="array" ref="C5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3">
        <f>YEAR(AllData[[#This Row],[Date]])</f>
        <v>2024</v>
      </c>
      <c r="E553" s="1">
        <v>0.63541666666666663</v>
      </c>
      <c r="F553" s="2" t="str">
        <f>IF(AND(AllData[[#This Row],[Time]]&lt;0.5, AllData[[#This Row],[Time]]&gt;0.17)=TRUE, "Morning", IF(AND(AllData[[#This Row],[Time]]&lt;0.75, AllData[[#This Row],[Time]]&gt;=0.5)=TRUE, "Afternoon", IF(AND(AllData[[#This Row],[Time]]&lt;1, AllData[[#This Row],[Time]]&gt;=0.75)=TRUE, "Evening", "Night")))</f>
        <v>Afternoon</v>
      </c>
      <c r="G553" t="str">
        <f>_xlfn.XLOOKUP(AllData[[#This Row],[Location Name]], Locations[Location Name],Locations[Group As])</f>
        <v>Bell Brook 1</v>
      </c>
      <c r="H553" t="e" vm="2">
        <f>_xlfn.XLOOKUP(AllData[[#This Row],[Site Name]],LocationsKey[Site Name],LocationsKey[District])</f>
        <v>#VALUE!</v>
      </c>
      <c r="I553" t="e" vm="15">
        <f>_xlfn.XLOOKUP(AllData[[#This Row],[Site Name]],LocationsKey[Site Name],LocationsKey[Town])</f>
        <v>#VALUE!</v>
      </c>
      <c r="J553" t="str">
        <f>_xlfn.XLOOKUP(AllData[[#This Row],[Site Name]],LocationsKey[Site Name], LocationsKey[Waterway])</f>
        <v>Bell Brook</v>
      </c>
      <c r="K553" t="s">
        <v>534</v>
      </c>
      <c r="L553">
        <v>52.244900000000001</v>
      </c>
      <c r="M553">
        <v>-1.6617</v>
      </c>
      <c r="N553" t="s">
        <v>23</v>
      </c>
      <c r="O553">
        <v>222</v>
      </c>
      <c r="P553">
        <v>12.1</v>
      </c>
      <c r="Q553">
        <v>2</v>
      </c>
      <c r="R553" s="7" t="str">
        <f>IF(AllData[[#This Row],[Nitrate (PPM)]]&gt;2, "Very high", IF(AllData[[#This Row],[Nitrate (PPM)]]&gt;1, "High", IF(AllData[[#This Row],[Nitrate (PPM)]]&gt;0.5, "Some evidence", IF(AllData[[#This Row],[Nitrate (PPM)]]&gt;=0, "No evidence"))))</f>
        <v>High</v>
      </c>
      <c r="S553" s="4">
        <v>0.41</v>
      </c>
      <c r="T553" s="7" t="str">
        <f>IF(AllData[[#This Row],[Phosphate (PPM)]]&gt;0.5, "Very high", IF(AllData[[#This Row],[Phosphate (PPM)]]&gt;0.1, "High", IF(AllData[[#This Row],[Phosphate (PPM)]]&gt;0.05, "Some evidence", IF(AllData[[#This Row],[Phosphate (PPM)]]&lt;=0.05, "No Evidence", ""))))</f>
        <v>High</v>
      </c>
      <c r="U553">
        <v>1</v>
      </c>
      <c r="V553" t="s">
        <v>826</v>
      </c>
    </row>
    <row r="554" spans="1:22" x14ac:dyDescent="0.25">
      <c r="A554" t="s">
        <v>1747</v>
      </c>
      <c r="B554" s="2">
        <v>45368</v>
      </c>
      <c r="C554" s="2" t="str" cm="1">
        <f t="array" ref="C5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4">
        <f>YEAR(AllData[[#This Row],[Date]])</f>
        <v>2024</v>
      </c>
      <c r="F554" s="2" t="str">
        <f>IF(AND(AllData[[#This Row],[Time]]&lt;0.5, AllData[[#This Row],[Time]]&gt;0.17)=TRUE, "Morning", IF(AND(AllData[[#This Row],[Time]]&lt;0.75, AllData[[#This Row],[Time]]&gt;=0.5)=TRUE, "Afternoon", IF(AND(AllData[[#This Row],[Time]]&lt;1, AllData[[#This Row],[Time]]&gt;=0.75)=TRUE, "Evening", "Night")))</f>
        <v>Night</v>
      </c>
      <c r="G554" t="str">
        <f>_xlfn.XLOOKUP(AllData[[#This Row],[Location Name]], Locations[Location Name],Locations[Group As])</f>
        <v>Site 1  :  Middle Street</v>
      </c>
      <c r="H554" t="e" vm="2">
        <f>_xlfn.XLOOKUP(AllData[[#This Row],[Site Name]],LocationsKey[Site Name],LocationsKey[District])</f>
        <v>#VALUE!</v>
      </c>
      <c r="I554" t="e" vm="11">
        <f>_xlfn.XLOOKUP(AllData[[#This Row],[Site Name]],LocationsKey[Site Name],LocationsKey[Town])</f>
        <v>#VALUE!</v>
      </c>
      <c r="J554" t="str">
        <f>_xlfn.XLOOKUP(AllData[[#This Row],[Site Name]],LocationsKey[Site Name], LocationsKey[Waterway])</f>
        <v>Fosseway Brook</v>
      </c>
      <c r="K554" t="s">
        <v>1859</v>
      </c>
      <c r="L554">
        <v>52.090085000000002</v>
      </c>
      <c r="M554">
        <v>-1.692593</v>
      </c>
      <c r="N554" t="s">
        <v>66</v>
      </c>
      <c r="O554">
        <v>470</v>
      </c>
      <c r="P554">
        <v>11.6</v>
      </c>
      <c r="Q554">
        <v>2</v>
      </c>
      <c r="R554" s="7" t="str">
        <f>IF(AllData[[#This Row],[Nitrate (PPM)]]&gt;2, "Very high", IF(AllData[[#This Row],[Nitrate (PPM)]]&gt;1, "High", IF(AllData[[#This Row],[Nitrate (PPM)]]&gt;0.5, "Some evidence", IF(AllData[[#This Row],[Nitrate (PPM)]]&gt;=0, "No evidence"))))</f>
        <v>High</v>
      </c>
      <c r="S554" s="4">
        <v>0.06</v>
      </c>
      <c r="T554" s="7" t="str">
        <f>IF(AllData[[#This Row],[Phosphate (PPM)]]&gt;0.5, "Very high", IF(AllData[[#This Row],[Phosphate (PPM)]]&gt;0.1, "High", IF(AllData[[#This Row],[Phosphate (PPM)]]&gt;0.05, "Some evidence", IF(AllData[[#This Row],[Phosphate (PPM)]]&lt;=0.05, "No Evidence", ""))))</f>
        <v>Some evidence</v>
      </c>
      <c r="U554">
        <v>0</v>
      </c>
      <c r="V554" t="s">
        <v>1897</v>
      </c>
    </row>
    <row r="555" spans="1:22" x14ac:dyDescent="0.25">
      <c r="A555" t="s">
        <v>1455</v>
      </c>
      <c r="B555" s="2">
        <v>45368</v>
      </c>
      <c r="C555" s="2" t="str" cm="1">
        <f t="array" ref="C5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5">
        <f>YEAR(AllData[[#This Row],[Date]])</f>
        <v>2024</v>
      </c>
      <c r="E555" s="1"/>
      <c r="F555" s="2" t="str">
        <f>IF(AND(AllData[[#This Row],[Time]]&lt;0.5, AllData[[#This Row],[Time]]&gt;0.17)=TRUE, "Morning", IF(AND(AllData[[#This Row],[Time]]&lt;0.75, AllData[[#This Row],[Time]]&gt;=0.5)=TRUE, "Afternoon", IF(AND(AllData[[#This Row],[Time]]&lt;1, AllData[[#This Row],[Time]]&gt;=0.75)=TRUE, "Evening", "Night")))</f>
        <v>Night</v>
      </c>
      <c r="G555" t="str">
        <f>_xlfn.XLOOKUP(AllData[[#This Row],[Location Name]], Locations[Location Name],Locations[Group As])</f>
        <v>Site 1  :  Middle Street</v>
      </c>
      <c r="H555" t="e" vm="2">
        <f>_xlfn.XLOOKUP(AllData[[#This Row],[Site Name]],LocationsKey[Site Name],LocationsKey[District])</f>
        <v>#VALUE!</v>
      </c>
      <c r="I555" t="e" vm="11">
        <f>_xlfn.XLOOKUP(AllData[[#This Row],[Site Name]],LocationsKey[Site Name],LocationsKey[Town])</f>
        <v>#VALUE!</v>
      </c>
      <c r="J555" t="str">
        <f>_xlfn.XLOOKUP(AllData[[#This Row],[Site Name]],LocationsKey[Site Name], LocationsKey[Waterway])</f>
        <v>Fosseway Brook</v>
      </c>
      <c r="K555" t="s">
        <v>1373</v>
      </c>
      <c r="L555">
        <v>52.090085000000002</v>
      </c>
      <c r="M555">
        <v>-1.692593</v>
      </c>
      <c r="N555" t="s">
        <v>66</v>
      </c>
      <c r="O555">
        <v>470</v>
      </c>
      <c r="P555">
        <v>11.6</v>
      </c>
      <c r="Q555">
        <v>2</v>
      </c>
      <c r="R555" s="7" t="str">
        <f>IF(AllData[[#This Row],[Nitrate (PPM)]]&gt;2, "Very high", IF(AllData[[#This Row],[Nitrate (PPM)]]&gt;1, "High", IF(AllData[[#This Row],[Nitrate (PPM)]]&gt;0.5, "Some evidence", IF(AllData[[#This Row],[Nitrate (PPM)]]&gt;=0, "No evidence"))))</f>
        <v>High</v>
      </c>
      <c r="S555" s="4">
        <v>0.06</v>
      </c>
      <c r="T555" s="7" t="str">
        <f>IF(AllData[[#This Row],[Phosphate (PPM)]]&gt;0.5, "Very high", IF(AllData[[#This Row],[Phosphate (PPM)]]&gt;0.1, "High", IF(AllData[[#This Row],[Phosphate (PPM)]]&gt;0.05, "Some evidence", IF(AllData[[#This Row],[Phosphate (PPM)]]&lt;=0.05, "No Evidence", ""))))</f>
        <v>Some evidence</v>
      </c>
      <c r="V555" t="s">
        <v>1456</v>
      </c>
    </row>
    <row r="556" spans="1:22" x14ac:dyDescent="0.25">
      <c r="A556" t="s">
        <v>1752</v>
      </c>
      <c r="B556" s="2">
        <v>45368</v>
      </c>
      <c r="C556" s="2" t="str" cm="1">
        <f t="array" ref="C5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6">
        <f>YEAR(AllData[[#This Row],[Date]])</f>
        <v>2024</v>
      </c>
      <c r="F556" s="2" t="str">
        <f>IF(AND(AllData[[#This Row],[Time]]&lt;0.5, AllData[[#This Row],[Time]]&gt;0.17)=TRUE, "Morning", IF(AND(AllData[[#This Row],[Time]]&lt;0.75, AllData[[#This Row],[Time]]&gt;=0.5)=TRUE, "Afternoon", IF(AND(AllData[[#This Row],[Time]]&lt;1, AllData[[#This Row],[Time]]&gt;=0.75)=TRUE, "Evening", "Night")))</f>
        <v>Night</v>
      </c>
      <c r="G556" t="str">
        <f>_xlfn.XLOOKUP(AllData[[#This Row],[Location Name]], Locations[Location Name],Locations[Group As])</f>
        <v>Site 2  :  Cross Leys culvert</v>
      </c>
      <c r="H556" t="e" vm="2">
        <f>_xlfn.XLOOKUP(AllData[[#This Row],[Site Name]],LocationsKey[Site Name],LocationsKey[District])</f>
        <v>#VALUE!</v>
      </c>
      <c r="I556" t="e" vm="11">
        <f>_xlfn.XLOOKUP(AllData[[#This Row],[Site Name]],LocationsKey[Site Name],LocationsKey[Town])</f>
        <v>#VALUE!</v>
      </c>
      <c r="J556" t="str">
        <f>_xlfn.XLOOKUP(AllData[[#This Row],[Site Name]],LocationsKey[Site Name], LocationsKey[Waterway])</f>
        <v>Fosseway Brook</v>
      </c>
      <c r="K556" t="s">
        <v>1860</v>
      </c>
      <c r="L556">
        <v>52.092967999999999</v>
      </c>
      <c r="M556">
        <v>-1.6862710000000001</v>
      </c>
      <c r="N556" t="s">
        <v>66</v>
      </c>
      <c r="O556">
        <v>456</v>
      </c>
      <c r="P556">
        <v>11.3</v>
      </c>
      <c r="Q556">
        <v>2</v>
      </c>
      <c r="R556" s="7" t="str">
        <f>IF(AllData[[#This Row],[Nitrate (PPM)]]&gt;2, "Very high", IF(AllData[[#This Row],[Nitrate (PPM)]]&gt;1, "High", IF(AllData[[#This Row],[Nitrate (PPM)]]&gt;0.5, "Some evidence", IF(AllData[[#This Row],[Nitrate (PPM)]]&gt;=0, "No evidence"))))</f>
        <v>High</v>
      </c>
      <c r="S556" s="4">
        <v>0.4</v>
      </c>
      <c r="T556" s="7" t="str">
        <f>IF(AllData[[#This Row],[Phosphate (PPM)]]&gt;0.5, "Very high", IF(AllData[[#This Row],[Phosphate (PPM)]]&gt;0.1, "High", IF(AllData[[#This Row],[Phosphate (PPM)]]&gt;0.05, "Some evidence", IF(AllData[[#This Row],[Phosphate (PPM)]]&lt;=0.05, "No Evidence", ""))))</f>
        <v>High</v>
      </c>
      <c r="U556">
        <v>0</v>
      </c>
      <c r="V556" t="s">
        <v>1900</v>
      </c>
    </row>
    <row r="557" spans="1:22" x14ac:dyDescent="0.25">
      <c r="A557" t="s">
        <v>1449</v>
      </c>
      <c r="B557" s="2">
        <v>45368</v>
      </c>
      <c r="C557" s="2" t="str" cm="1">
        <f t="array" ref="C5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7">
        <f>YEAR(AllData[[#This Row],[Date]])</f>
        <v>2024</v>
      </c>
      <c r="E557" s="1"/>
      <c r="F557" s="2" t="str">
        <f>IF(AND(AllData[[#This Row],[Time]]&lt;0.5, AllData[[#This Row],[Time]]&gt;0.17)=TRUE, "Morning", IF(AND(AllData[[#This Row],[Time]]&lt;0.75, AllData[[#This Row],[Time]]&gt;=0.5)=TRUE, "Afternoon", IF(AND(AllData[[#This Row],[Time]]&lt;1, AllData[[#This Row],[Time]]&gt;=0.75)=TRUE, "Evening", "Night")))</f>
        <v>Night</v>
      </c>
      <c r="G557" t="str">
        <f>_xlfn.XLOOKUP(AllData[[#This Row],[Location Name]], Locations[Location Name],Locations[Group As])</f>
        <v>Site 2  :  Cross Leys culvert</v>
      </c>
      <c r="H557" t="e" vm="2">
        <f>_xlfn.XLOOKUP(AllData[[#This Row],[Site Name]],LocationsKey[Site Name],LocationsKey[District])</f>
        <v>#VALUE!</v>
      </c>
      <c r="I557" t="e" vm="11">
        <f>_xlfn.XLOOKUP(AllData[[#This Row],[Site Name]],LocationsKey[Site Name],LocationsKey[Town])</f>
        <v>#VALUE!</v>
      </c>
      <c r="J557" t="str">
        <f>_xlfn.XLOOKUP(AllData[[#This Row],[Site Name]],LocationsKey[Site Name], LocationsKey[Waterway])</f>
        <v>Fosseway Brook</v>
      </c>
      <c r="K557" t="s">
        <v>1371</v>
      </c>
      <c r="L557">
        <v>52.092967999999999</v>
      </c>
      <c r="M557">
        <v>-1.6862710000000001</v>
      </c>
      <c r="N557" t="s">
        <v>66</v>
      </c>
      <c r="O557">
        <v>456</v>
      </c>
      <c r="P557">
        <v>11.3</v>
      </c>
      <c r="Q557">
        <v>2</v>
      </c>
      <c r="R557" s="7" t="str">
        <f>IF(AllData[[#This Row],[Nitrate (PPM)]]&gt;2, "Very high", IF(AllData[[#This Row],[Nitrate (PPM)]]&gt;1, "High", IF(AllData[[#This Row],[Nitrate (PPM)]]&gt;0.5, "Some evidence", IF(AllData[[#This Row],[Nitrate (PPM)]]&gt;=0, "No evidence"))))</f>
        <v>High</v>
      </c>
      <c r="S557" s="4">
        <v>0.4</v>
      </c>
      <c r="T557" s="7" t="str">
        <f>IF(AllData[[#This Row],[Phosphate (PPM)]]&gt;0.5, "Very high", IF(AllData[[#This Row],[Phosphate (PPM)]]&gt;0.1, "High", IF(AllData[[#This Row],[Phosphate (PPM)]]&gt;0.05, "Some evidence", IF(AllData[[#This Row],[Phosphate (PPM)]]&lt;=0.05, "No Evidence", ""))))</f>
        <v>High</v>
      </c>
      <c r="V557" t="s">
        <v>1450</v>
      </c>
    </row>
    <row r="558" spans="1:22" x14ac:dyDescent="0.25">
      <c r="A558" t="s">
        <v>1757</v>
      </c>
      <c r="B558" s="2">
        <v>45368</v>
      </c>
      <c r="C558" s="2" t="str" cm="1">
        <f t="array" ref="C5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8">
        <f>YEAR(AllData[[#This Row],[Date]])</f>
        <v>2024</v>
      </c>
      <c r="F558" s="2" t="str">
        <f>IF(AND(AllData[[#This Row],[Time]]&lt;0.5, AllData[[#This Row],[Time]]&gt;0.17)=TRUE, "Morning", IF(AND(AllData[[#This Row],[Time]]&lt;0.75, AllData[[#This Row],[Time]]&gt;=0.5)=TRUE, "Afternoon", IF(AND(AllData[[#This Row],[Time]]&lt;1, AllData[[#This Row],[Time]]&gt;=0.75)=TRUE, "Evening", "Night")))</f>
        <v>Night</v>
      </c>
      <c r="G558" t="str">
        <f>_xlfn.XLOOKUP(AllData[[#This Row],[Location Name]], Locations[Location Name],Locations[Group As])</f>
        <v>Site 3  :  Severn Trent Water processing plant outflow</v>
      </c>
      <c r="H558" t="e" vm="2">
        <f>_xlfn.XLOOKUP(AllData[[#This Row],[Site Name]],LocationsKey[Site Name],LocationsKey[District])</f>
        <v>#VALUE!</v>
      </c>
      <c r="I558" t="e" vm="11">
        <f>_xlfn.XLOOKUP(AllData[[#This Row],[Site Name]],LocationsKey[Site Name],LocationsKey[Town])</f>
        <v>#VALUE!</v>
      </c>
      <c r="J558" t="str">
        <f>_xlfn.XLOOKUP(AllData[[#This Row],[Site Name]],LocationsKey[Site Name], LocationsKey[Waterway])</f>
        <v>Fosseway Brook</v>
      </c>
      <c r="K558" t="s">
        <v>1861</v>
      </c>
      <c r="L558">
        <v>52.094423999999997</v>
      </c>
      <c r="M558">
        <v>-1.6759090000000001</v>
      </c>
      <c r="N558" t="s">
        <v>29</v>
      </c>
      <c r="O558">
        <v>484</v>
      </c>
      <c r="P558">
        <v>11</v>
      </c>
      <c r="Q558">
        <v>2</v>
      </c>
      <c r="R558" s="7" t="str">
        <f>IF(AllData[[#This Row],[Nitrate (PPM)]]&gt;2, "Very high", IF(AllData[[#This Row],[Nitrate (PPM)]]&gt;1, "High", IF(AllData[[#This Row],[Nitrate (PPM)]]&gt;0.5, "Some evidence", IF(AllData[[#This Row],[Nitrate (PPM)]]&gt;=0, "No evidence"))))</f>
        <v>High</v>
      </c>
      <c r="S558" s="4">
        <v>0.79</v>
      </c>
      <c r="T558" s="7" t="str">
        <f>IF(AllData[[#This Row],[Phosphate (PPM)]]&gt;0.5, "Very high", IF(AllData[[#This Row],[Phosphate (PPM)]]&gt;0.1, "High", IF(AllData[[#This Row],[Phosphate (PPM)]]&gt;0.05, "Some evidence", IF(AllData[[#This Row],[Phosphate (PPM)]]&lt;=0.05, "No Evidence", ""))))</f>
        <v>Very high</v>
      </c>
      <c r="U558">
        <v>0</v>
      </c>
      <c r="V558" t="s">
        <v>1903</v>
      </c>
    </row>
    <row r="559" spans="1:22" x14ac:dyDescent="0.25">
      <c r="A559" t="s">
        <v>1442</v>
      </c>
      <c r="B559" s="2">
        <v>45368</v>
      </c>
      <c r="C559" s="2" t="str" cm="1">
        <f t="array" ref="C5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9">
        <f>YEAR(AllData[[#This Row],[Date]])</f>
        <v>2024</v>
      </c>
      <c r="E559" s="1"/>
      <c r="F559" s="2" t="str">
        <f>IF(AND(AllData[[#This Row],[Time]]&lt;0.5, AllData[[#This Row],[Time]]&gt;0.17)=TRUE, "Morning", IF(AND(AllData[[#This Row],[Time]]&lt;0.75, AllData[[#This Row],[Time]]&gt;=0.5)=TRUE, "Afternoon", IF(AND(AllData[[#This Row],[Time]]&lt;1, AllData[[#This Row],[Time]]&gt;=0.75)=TRUE, "Evening", "Night")))</f>
        <v>Night</v>
      </c>
      <c r="G559" t="str">
        <f>_xlfn.XLOOKUP(AllData[[#This Row],[Location Name]], Locations[Location Name],Locations[Group As])</f>
        <v>Site 3  :  Severn Trent Water processing plant outflow</v>
      </c>
      <c r="H559" t="e" vm="2">
        <f>_xlfn.XLOOKUP(AllData[[#This Row],[Site Name]],LocationsKey[Site Name],LocationsKey[District])</f>
        <v>#VALUE!</v>
      </c>
      <c r="I559" t="e" vm="11">
        <f>_xlfn.XLOOKUP(AllData[[#This Row],[Site Name]],LocationsKey[Site Name],LocationsKey[Town])</f>
        <v>#VALUE!</v>
      </c>
      <c r="J559" t="str">
        <f>_xlfn.XLOOKUP(AllData[[#This Row],[Site Name]],LocationsKey[Site Name], LocationsKey[Waterway])</f>
        <v>Fosseway Brook</v>
      </c>
      <c r="K559" t="s">
        <v>1368</v>
      </c>
      <c r="L559">
        <v>52.094423999999997</v>
      </c>
      <c r="M559">
        <v>-1.6759090000000001</v>
      </c>
      <c r="N559" t="s">
        <v>29</v>
      </c>
      <c r="O559">
        <v>484</v>
      </c>
      <c r="P559">
        <v>11</v>
      </c>
      <c r="Q559">
        <v>2</v>
      </c>
      <c r="R559" s="7" t="str">
        <f>IF(AllData[[#This Row],[Nitrate (PPM)]]&gt;2, "Very high", IF(AllData[[#This Row],[Nitrate (PPM)]]&gt;1, "High", IF(AllData[[#This Row],[Nitrate (PPM)]]&gt;0.5, "Some evidence", IF(AllData[[#This Row],[Nitrate (PPM)]]&gt;=0, "No evidence"))))</f>
        <v>High</v>
      </c>
      <c r="S559" s="4">
        <v>0.79</v>
      </c>
      <c r="T559" s="7" t="str">
        <f>IF(AllData[[#This Row],[Phosphate (PPM)]]&gt;0.5, "Very high", IF(AllData[[#This Row],[Phosphate (PPM)]]&gt;0.1, "High", IF(AllData[[#This Row],[Phosphate (PPM)]]&gt;0.05, "Some evidence", IF(AllData[[#This Row],[Phosphate (PPM)]]&lt;=0.05, "No Evidence", ""))))</f>
        <v>Very high</v>
      </c>
      <c r="V559" t="s">
        <v>1443</v>
      </c>
    </row>
    <row r="560" spans="1:22" x14ac:dyDescent="0.25">
      <c r="A560" t="s">
        <v>829</v>
      </c>
      <c r="B560" s="2">
        <v>45369</v>
      </c>
      <c r="C560" s="2" t="str" cm="1">
        <f t="array" ref="C5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0">
        <f>YEAR(AllData[[#This Row],[Date]])</f>
        <v>2024</v>
      </c>
      <c r="E560" s="1">
        <v>0.33888888888888891</v>
      </c>
      <c r="F560" s="2" t="str">
        <f>IF(AND(AllData[[#This Row],[Time]]&lt;0.5, AllData[[#This Row],[Time]]&gt;0.17)=TRUE, "Morning", IF(AND(AllData[[#This Row],[Time]]&lt;0.75, AllData[[#This Row],[Time]]&gt;=0.5)=TRUE, "Afternoon", IF(AND(AllData[[#This Row],[Time]]&lt;1, AllData[[#This Row],[Time]]&gt;=0.75)=TRUE, "Evening", "Night")))</f>
        <v>Morning</v>
      </c>
      <c r="G560" t="str">
        <f>_xlfn.XLOOKUP(AllData[[#This Row],[Location Name]], Locations[Location Name],Locations[Group As])</f>
        <v>Pershore Bridges</v>
      </c>
      <c r="H560" t="e" vm="17">
        <f>_xlfn.XLOOKUP(AllData[[#This Row],[Site Name]],LocationsKey[Site Name],LocationsKey[District])</f>
        <v>#VALUE!</v>
      </c>
      <c r="I560" t="e" vm="18">
        <f>_xlfn.XLOOKUP(AllData[[#This Row],[Site Name]],LocationsKey[Site Name],LocationsKey[Town])</f>
        <v>#VALUE!</v>
      </c>
      <c r="J560" t="str">
        <f>_xlfn.XLOOKUP(AllData[[#This Row],[Site Name]],LocationsKey[Site Name], LocationsKey[Waterway])</f>
        <v>Avon</v>
      </c>
      <c r="K560" t="s">
        <v>581</v>
      </c>
      <c r="L560">
        <v>52.104187000000003</v>
      </c>
      <c r="M560">
        <v>-2.0709179999999998</v>
      </c>
      <c r="O560">
        <v>607</v>
      </c>
      <c r="P560">
        <v>14.1</v>
      </c>
      <c r="Q560">
        <v>5</v>
      </c>
      <c r="R560" s="7" t="str">
        <f>IF(AllData[[#This Row],[Nitrate (PPM)]]&gt;2, "Very high", IF(AllData[[#This Row],[Nitrate (PPM)]]&gt;1, "High", IF(AllData[[#This Row],[Nitrate (PPM)]]&gt;0.5, "Some evidence", IF(AllData[[#This Row],[Nitrate (PPM)]]&gt;=0, "No evidence"))))</f>
        <v>Very high</v>
      </c>
      <c r="S560" s="4">
        <v>0.5</v>
      </c>
      <c r="T560" s="7" t="str">
        <f>IF(AllData[[#This Row],[Phosphate (PPM)]]&gt;0.5, "Very high", IF(AllData[[#This Row],[Phosphate (PPM)]]&gt;0.1, "High", IF(AllData[[#This Row],[Phosphate (PPM)]]&gt;0.05, "Some evidence", IF(AllData[[#This Row],[Phosphate (PPM)]]&lt;=0.05, "No Evidence", ""))))</f>
        <v>High</v>
      </c>
      <c r="U560">
        <v>3.48</v>
      </c>
    </row>
    <row r="561" spans="1:22" x14ac:dyDescent="0.25">
      <c r="A561" t="s">
        <v>830</v>
      </c>
      <c r="B561" s="2">
        <v>45369</v>
      </c>
      <c r="C561" s="2" t="str" cm="1">
        <f t="array" ref="C5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1">
        <f>YEAR(AllData[[#This Row],[Date]])</f>
        <v>2024</v>
      </c>
      <c r="E561" s="1">
        <v>0.39374999999999999</v>
      </c>
      <c r="F561" s="2" t="str">
        <f>IF(AND(AllData[[#This Row],[Time]]&lt;0.5, AllData[[#This Row],[Time]]&gt;0.17)=TRUE, "Morning", IF(AND(AllData[[#This Row],[Time]]&lt;0.75, AllData[[#This Row],[Time]]&gt;=0.5)=TRUE, "Afternoon", IF(AND(AllData[[#This Row],[Time]]&lt;1, AllData[[#This Row],[Time]]&gt;=0.75)=TRUE, "Evening", "Night")))</f>
        <v>Morning</v>
      </c>
      <c r="G561" t="str">
        <f>_xlfn.XLOOKUP(AllData[[#This Row],[Location Name]], Locations[Location Name],Locations[Group As])</f>
        <v>Stour Stretton-on-Fosse Village</v>
      </c>
      <c r="H561" t="e" vm="2">
        <f>_xlfn.XLOOKUP(AllData[[#This Row],[Site Name]],LocationsKey[Site Name],LocationsKey[District])</f>
        <v>#VALUE!</v>
      </c>
      <c r="I561" t="e" vm="14">
        <f>_xlfn.XLOOKUP(AllData[[#This Row],[Site Name]],LocationsKey[Site Name],LocationsKey[Town])</f>
        <v>#VALUE!</v>
      </c>
      <c r="J561" t="str">
        <f>_xlfn.XLOOKUP(AllData[[#This Row],[Site Name]],LocationsKey[Site Name], LocationsKey[Waterway])</f>
        <v>Stour</v>
      </c>
      <c r="K561" t="s">
        <v>544</v>
      </c>
      <c r="L561">
        <v>52.046512</v>
      </c>
      <c r="M561">
        <v>-1.6733560000000001</v>
      </c>
      <c r="N561" t="s">
        <v>66</v>
      </c>
      <c r="O561">
        <v>489</v>
      </c>
      <c r="P561">
        <v>10.1</v>
      </c>
      <c r="Q561">
        <v>1</v>
      </c>
      <c r="R561" s="7" t="str">
        <f>IF(AllData[[#This Row],[Nitrate (PPM)]]&gt;2, "Very high", IF(AllData[[#This Row],[Nitrate (PPM)]]&gt;1, "High", IF(AllData[[#This Row],[Nitrate (PPM)]]&gt;0.5, "Some evidence", IF(AllData[[#This Row],[Nitrate (PPM)]]&gt;=0, "No evidence"))))</f>
        <v>Some evidence</v>
      </c>
      <c r="S561" s="4">
        <v>0.72</v>
      </c>
      <c r="T561" s="7" t="str">
        <f>IF(AllData[[#This Row],[Phosphate (PPM)]]&gt;0.5, "Very high", IF(AllData[[#This Row],[Phosphate (PPM)]]&gt;0.1, "High", IF(AllData[[#This Row],[Phosphate (PPM)]]&gt;0.05, "Some evidence", IF(AllData[[#This Row],[Phosphate (PPM)]]&lt;=0.05, "No Evidence", ""))))</f>
        <v>Very high</v>
      </c>
      <c r="U561">
        <v>0.3</v>
      </c>
      <c r="V561" t="s">
        <v>831</v>
      </c>
    </row>
    <row r="562" spans="1:22" x14ac:dyDescent="0.25">
      <c r="A562" t="s">
        <v>832</v>
      </c>
      <c r="B562" s="2">
        <v>45369</v>
      </c>
      <c r="C562" s="2" t="str" cm="1">
        <f t="array" ref="C5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2">
        <f>YEAR(AllData[[#This Row],[Date]])</f>
        <v>2024</v>
      </c>
      <c r="E562" s="1">
        <v>0.40694444444444444</v>
      </c>
      <c r="F562" s="2" t="str">
        <f>IF(AND(AllData[[#This Row],[Time]]&lt;0.5, AllData[[#This Row],[Time]]&gt;0.17)=TRUE, "Morning", IF(AND(AllData[[#This Row],[Time]]&lt;0.75, AllData[[#This Row],[Time]]&gt;=0.5)=TRUE, "Afternoon", IF(AND(AllData[[#This Row],[Time]]&lt;1, AllData[[#This Row],[Time]]&gt;=0.75)=TRUE, "Evening", "Night")))</f>
        <v>Morning</v>
      </c>
      <c r="G562" t="str">
        <f>_xlfn.XLOOKUP(AllData[[#This Row],[Location Name]], Locations[Location Name],Locations[Group As])</f>
        <v>Stour Stretton-on-Fosse Sewage Works</v>
      </c>
      <c r="H562" t="e" vm="2">
        <f>_xlfn.XLOOKUP(AllData[[#This Row],[Site Name]],LocationsKey[Site Name],LocationsKey[District])</f>
        <v>#VALUE!</v>
      </c>
      <c r="I562" t="e" vm="14">
        <f>_xlfn.XLOOKUP(AllData[[#This Row],[Site Name]],LocationsKey[Site Name],LocationsKey[Town])</f>
        <v>#VALUE!</v>
      </c>
      <c r="J562" t="str">
        <f>_xlfn.XLOOKUP(AllData[[#This Row],[Site Name]],LocationsKey[Site Name], LocationsKey[Waterway])</f>
        <v>Stour</v>
      </c>
      <c r="K562" t="s">
        <v>335</v>
      </c>
      <c r="L562">
        <v>52.045670000000001</v>
      </c>
      <c r="M562">
        <v>-1.6719189999999999</v>
      </c>
      <c r="N562" t="s">
        <v>29</v>
      </c>
      <c r="O562">
        <v>529</v>
      </c>
      <c r="P562">
        <v>9.8000000000000007</v>
      </c>
      <c r="Q562">
        <v>1</v>
      </c>
      <c r="R562" s="7" t="str">
        <f>IF(AllData[[#This Row],[Nitrate (PPM)]]&gt;2, "Very high", IF(AllData[[#This Row],[Nitrate (PPM)]]&gt;1, "High", IF(AllData[[#This Row],[Nitrate (PPM)]]&gt;0.5, "Some evidence", IF(AllData[[#This Row],[Nitrate (PPM)]]&gt;=0, "No evidence"))))</f>
        <v>Some evidence</v>
      </c>
      <c r="S562" s="4">
        <v>0.95</v>
      </c>
      <c r="T562" s="7" t="str">
        <f>IF(AllData[[#This Row],[Phosphate (PPM)]]&gt;0.5, "Very high", IF(AllData[[#This Row],[Phosphate (PPM)]]&gt;0.1, "High", IF(AllData[[#This Row],[Phosphate (PPM)]]&gt;0.05, "Some evidence", IF(AllData[[#This Row],[Phosphate (PPM)]]&lt;=0.05, "No Evidence", ""))))</f>
        <v>Very high</v>
      </c>
      <c r="U562">
        <v>0.4</v>
      </c>
    </row>
    <row r="563" spans="1:22" x14ac:dyDescent="0.25">
      <c r="A563" t="s">
        <v>833</v>
      </c>
      <c r="B563" s="2">
        <v>45369</v>
      </c>
      <c r="C563" s="2" t="str" cm="1">
        <f t="array" ref="C5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3">
        <f>YEAR(AllData[[#This Row],[Date]])</f>
        <v>2024</v>
      </c>
      <c r="E563" s="1">
        <v>0.50208333333333333</v>
      </c>
      <c r="F563" s="2" t="str">
        <f>IF(AND(AllData[[#This Row],[Time]]&lt;0.5, AllData[[#This Row],[Time]]&gt;0.17)=TRUE, "Morning", IF(AND(AllData[[#This Row],[Time]]&lt;0.75, AllData[[#This Row],[Time]]&gt;=0.5)=TRUE, "Afternoon", IF(AND(AllData[[#This Row],[Time]]&lt;1, AllData[[#This Row],[Time]]&gt;=0.75)=TRUE, "Evening", "Night")))</f>
        <v>Afternoon</v>
      </c>
      <c r="G563" t="str">
        <f>_xlfn.XLOOKUP(AllData[[#This Row],[Location Name]], Locations[Location Name],Locations[Group As])</f>
        <v>Abbey Mill</v>
      </c>
      <c r="H563" t="e" vm="1">
        <f>_xlfn.XLOOKUP(AllData[[#This Row],[Site Name]],LocationsKey[Site Name],LocationsKey[District])</f>
        <v>#VALUE!</v>
      </c>
      <c r="I563" t="e" vm="1">
        <f>_xlfn.XLOOKUP(AllData[[#This Row],[Site Name]],LocationsKey[Site Name],LocationsKey[Town])</f>
        <v>#VALUE!</v>
      </c>
      <c r="J563" t="str">
        <f>_xlfn.XLOOKUP(AllData[[#This Row],[Site Name]],LocationsKey[Site Name], LocationsKey[Waterway])</f>
        <v>Avon</v>
      </c>
      <c r="K563" t="s">
        <v>25</v>
      </c>
      <c r="L563">
        <v>51.991112000000001</v>
      </c>
      <c r="M563">
        <v>-2.1623899999999998</v>
      </c>
      <c r="N563" t="s">
        <v>23</v>
      </c>
      <c r="O563">
        <v>547</v>
      </c>
      <c r="P563">
        <v>12.1</v>
      </c>
      <c r="Q563">
        <v>6</v>
      </c>
      <c r="R563" s="7" t="str">
        <f>IF(AllData[[#This Row],[Nitrate (PPM)]]&gt;2, "Very high", IF(AllData[[#This Row],[Nitrate (PPM)]]&gt;1, "High", IF(AllData[[#This Row],[Nitrate (PPM)]]&gt;0.5, "Some evidence", IF(AllData[[#This Row],[Nitrate (PPM)]]&gt;=0, "No evidence"))))</f>
        <v>Very high</v>
      </c>
      <c r="S563" s="4">
        <v>0.63</v>
      </c>
      <c r="T563" s="7" t="str">
        <f>IF(AllData[[#This Row],[Phosphate (PPM)]]&gt;0.5, "Very high", IF(AllData[[#This Row],[Phosphate (PPM)]]&gt;0.1, "High", IF(AllData[[#This Row],[Phosphate (PPM)]]&gt;0.05, "Some evidence", IF(AllData[[#This Row],[Phosphate (PPM)]]&lt;=0.05, "No Evidence", ""))))</f>
        <v>Very high</v>
      </c>
      <c r="U563">
        <v>2.5</v>
      </c>
      <c r="V563" t="s">
        <v>834</v>
      </c>
    </row>
    <row r="564" spans="1:22" x14ac:dyDescent="0.25">
      <c r="A564" t="s">
        <v>835</v>
      </c>
      <c r="B564" s="2">
        <v>45371</v>
      </c>
      <c r="C564" s="2" t="str" cm="1">
        <f t="array" ref="C5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4">
        <f>YEAR(AllData[[#This Row],[Date]])</f>
        <v>2024</v>
      </c>
      <c r="E564" s="1">
        <v>9.7222222222222224E-2</v>
      </c>
      <c r="F564" s="2" t="str">
        <f>IF(AND(AllData[[#This Row],[Time]]&lt;0.5, AllData[[#This Row],[Time]]&gt;0.17)=TRUE, "Morning", IF(AND(AllData[[#This Row],[Time]]&lt;0.75, AllData[[#This Row],[Time]]&gt;=0.5)=TRUE, "Afternoon", IF(AND(AllData[[#This Row],[Time]]&lt;1, AllData[[#This Row],[Time]]&gt;=0.75)=TRUE, "Evening", "Night")))</f>
        <v>Night</v>
      </c>
      <c r="G564" t="str">
        <f>_xlfn.XLOOKUP(AllData[[#This Row],[Location Name]], Locations[Location Name],Locations[Group As])</f>
        <v>Swiffen Bank</v>
      </c>
      <c r="H564" t="e" vm="2">
        <f>_xlfn.XLOOKUP(AllData[[#This Row],[Site Name]],LocationsKey[Site Name],LocationsKey[District])</f>
        <v>#VALUE!</v>
      </c>
      <c r="I564" t="e" vm="13">
        <f>_xlfn.XLOOKUP(AllData[[#This Row],[Site Name]],LocationsKey[Site Name],LocationsKey[Town])</f>
        <v>#VALUE!</v>
      </c>
      <c r="J564" t="str">
        <f>_xlfn.XLOOKUP(AllData[[#This Row],[Site Name]],LocationsKey[Site Name], LocationsKey[Waterway])</f>
        <v>Avon</v>
      </c>
      <c r="K564" t="s">
        <v>284</v>
      </c>
      <c r="L564">
        <v>52.206477999999997</v>
      </c>
      <c r="M564">
        <v>-1.653894</v>
      </c>
      <c r="N564" t="s">
        <v>29</v>
      </c>
      <c r="O564">
        <v>542</v>
      </c>
      <c r="P564">
        <v>13</v>
      </c>
      <c r="Q564">
        <v>5</v>
      </c>
      <c r="R564" s="7" t="str">
        <f>IF(AllData[[#This Row],[Nitrate (PPM)]]&gt;2, "Very high", IF(AllData[[#This Row],[Nitrate (PPM)]]&gt;1, "High", IF(AllData[[#This Row],[Nitrate (PPM)]]&gt;0.5, "Some evidence", IF(AllData[[#This Row],[Nitrate (PPM)]]&gt;=0, "No evidence"))))</f>
        <v>Very high</v>
      </c>
      <c r="S564" s="4">
        <v>0.47</v>
      </c>
      <c r="T564" s="7" t="str">
        <f>IF(AllData[[#This Row],[Phosphate (PPM)]]&gt;0.5, "Very high", IF(AllData[[#This Row],[Phosphate (PPM)]]&gt;0.1, "High", IF(AllData[[#This Row],[Phosphate (PPM)]]&gt;0.05, "Some evidence", IF(AllData[[#This Row],[Phosphate (PPM)]]&lt;=0.05, "No Evidence", ""))))</f>
        <v>High</v>
      </c>
      <c r="U564">
        <v>1</v>
      </c>
      <c r="V564" t="s">
        <v>836</v>
      </c>
    </row>
    <row r="565" spans="1:22" x14ac:dyDescent="0.25">
      <c r="A565" t="s">
        <v>839</v>
      </c>
      <c r="B565" s="2">
        <v>45371</v>
      </c>
      <c r="C565" s="2" t="str" cm="1">
        <f t="array" ref="C5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5">
        <f>YEAR(AllData[[#This Row],[Date]])</f>
        <v>2024</v>
      </c>
      <c r="E565" s="1">
        <v>0.625</v>
      </c>
      <c r="F565" s="2" t="str">
        <f>IF(AND(AllData[[#This Row],[Time]]&lt;0.5, AllData[[#This Row],[Time]]&gt;0.17)=TRUE, "Morning", IF(AND(AllData[[#This Row],[Time]]&lt;0.75, AllData[[#This Row],[Time]]&gt;=0.5)=TRUE, "Afternoon", IF(AND(AllData[[#This Row],[Time]]&lt;1, AllData[[#This Row],[Time]]&gt;=0.75)=TRUE, "Evening", "Night")))</f>
        <v>Afternoon</v>
      </c>
      <c r="G565" t="str">
        <f>_xlfn.XLOOKUP(AllData[[#This Row],[Location Name]], Locations[Location Name],Locations[Group As])</f>
        <v>Stour Newbold Mill</v>
      </c>
      <c r="H565" t="e" vm="2">
        <f>_xlfn.XLOOKUP(AllData[[#This Row],[Site Name]],LocationsKey[Site Name],LocationsKey[District])</f>
        <v>#VALUE!</v>
      </c>
      <c r="I565" t="e" vm="8">
        <f>_xlfn.XLOOKUP(AllData[[#This Row],[Site Name]],LocationsKey[Site Name],LocationsKey[Town])</f>
        <v>#VALUE!</v>
      </c>
      <c r="J565" t="str">
        <f>_xlfn.XLOOKUP(AllData[[#This Row],[Site Name]],LocationsKey[Site Name], LocationsKey[Waterway])</f>
        <v>Stour</v>
      </c>
      <c r="K565" t="s">
        <v>140</v>
      </c>
      <c r="L565">
        <v>52.112879</v>
      </c>
      <c r="M565">
        <v>-1.6331500000000001</v>
      </c>
      <c r="N565" t="s">
        <v>29</v>
      </c>
      <c r="O565">
        <v>560</v>
      </c>
      <c r="P565">
        <v>14.2</v>
      </c>
      <c r="Q565">
        <v>2</v>
      </c>
      <c r="R565" s="7" t="str">
        <f>IF(AllData[[#This Row],[Nitrate (PPM)]]&gt;2, "Very high", IF(AllData[[#This Row],[Nitrate (PPM)]]&gt;1, "High", IF(AllData[[#This Row],[Nitrate (PPM)]]&gt;0.5, "Some evidence", IF(AllData[[#This Row],[Nitrate (PPM)]]&gt;=0, "No evidence"))))</f>
        <v>High</v>
      </c>
      <c r="S565" s="4">
        <v>0.28999999999999998</v>
      </c>
      <c r="T565" s="7" t="str">
        <f>IF(AllData[[#This Row],[Phosphate (PPM)]]&gt;0.5, "Very high", IF(AllData[[#This Row],[Phosphate (PPM)]]&gt;0.1, "High", IF(AllData[[#This Row],[Phosphate (PPM)]]&gt;0.05, "Some evidence", IF(AllData[[#This Row],[Phosphate (PPM)]]&lt;=0.05, "No Evidence", ""))))</f>
        <v>High</v>
      </c>
      <c r="U565">
        <v>3</v>
      </c>
      <c r="V565" t="s">
        <v>840</v>
      </c>
    </row>
    <row r="566" spans="1:22" x14ac:dyDescent="0.25">
      <c r="A566" t="s">
        <v>837</v>
      </c>
      <c r="B566" s="2">
        <v>45371</v>
      </c>
      <c r="C566" s="2" t="str" cm="1">
        <f t="array" ref="C5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6">
        <f>YEAR(AllData[[#This Row],[Date]])</f>
        <v>2024</v>
      </c>
      <c r="E566" s="1">
        <v>0.63402777777777775</v>
      </c>
      <c r="F566" s="2" t="str">
        <f>IF(AND(AllData[[#This Row],[Time]]&lt;0.5, AllData[[#This Row],[Time]]&gt;0.17)=TRUE, "Morning", IF(AND(AllData[[#This Row],[Time]]&lt;0.75, AllData[[#This Row],[Time]]&gt;=0.5)=TRUE, "Afternoon", IF(AND(AllData[[#This Row],[Time]]&lt;1, AllData[[#This Row],[Time]]&gt;=0.75)=TRUE, "Evening", "Night")))</f>
        <v>Afternoon</v>
      </c>
      <c r="G566" t="str">
        <f>_xlfn.XLOOKUP(AllData[[#This Row],[Location Name]], Locations[Location Name],Locations[Group As])</f>
        <v>Alveston Weir</v>
      </c>
      <c r="H566" t="e" vm="2">
        <f>_xlfn.XLOOKUP(AllData[[#This Row],[Site Name]],LocationsKey[Site Name],LocationsKey[District])</f>
        <v>#VALUE!</v>
      </c>
      <c r="I566" t="e" vm="13">
        <f>_xlfn.XLOOKUP(AllData[[#This Row],[Site Name]],LocationsKey[Site Name],LocationsKey[Town])</f>
        <v>#VALUE!</v>
      </c>
      <c r="J566" t="str">
        <f>_xlfn.XLOOKUP(AllData[[#This Row],[Site Name]],LocationsKey[Site Name], LocationsKey[Waterway])</f>
        <v>Avon</v>
      </c>
      <c r="K566" t="s">
        <v>286</v>
      </c>
      <c r="L566">
        <v>52.212288999999998</v>
      </c>
      <c r="M566">
        <v>-1.660452</v>
      </c>
      <c r="N566" t="s">
        <v>29</v>
      </c>
      <c r="O566">
        <v>538</v>
      </c>
      <c r="P566">
        <v>17.399999999999999</v>
      </c>
      <c r="Q566">
        <v>5</v>
      </c>
      <c r="R566" s="7" t="str">
        <f>IF(AllData[[#This Row],[Nitrate (PPM)]]&gt;2, "Very high", IF(AllData[[#This Row],[Nitrate (PPM)]]&gt;1, "High", IF(AllData[[#This Row],[Nitrate (PPM)]]&gt;0.5, "Some evidence", IF(AllData[[#This Row],[Nitrate (PPM)]]&gt;=0, "No evidence"))))</f>
        <v>Very high</v>
      </c>
      <c r="S566" s="4">
        <v>0.44</v>
      </c>
      <c r="T566" s="7" t="str">
        <f>IF(AllData[[#This Row],[Phosphate (PPM)]]&gt;0.5, "Very high", IF(AllData[[#This Row],[Phosphate (PPM)]]&gt;0.1, "High", IF(AllData[[#This Row],[Phosphate (PPM)]]&gt;0.05, "Some evidence", IF(AllData[[#This Row],[Phosphate (PPM)]]&lt;=0.05, "No Evidence", ""))))</f>
        <v>High</v>
      </c>
      <c r="U566">
        <v>1</v>
      </c>
      <c r="V566" t="s">
        <v>838</v>
      </c>
    </row>
    <row r="567" spans="1:22" x14ac:dyDescent="0.25">
      <c r="A567" t="s">
        <v>841</v>
      </c>
      <c r="B567" s="2">
        <v>45372</v>
      </c>
      <c r="C567" s="2" t="str" cm="1">
        <f t="array" ref="C5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7">
        <f>YEAR(AllData[[#This Row],[Date]])</f>
        <v>2024</v>
      </c>
      <c r="E567" s="1">
        <v>0.4375</v>
      </c>
      <c r="F567" s="2" t="str">
        <f>IF(AND(AllData[[#This Row],[Time]]&lt;0.5, AllData[[#This Row],[Time]]&gt;0.17)=TRUE, "Morning", IF(AND(AllData[[#This Row],[Time]]&lt;0.75, AllData[[#This Row],[Time]]&gt;=0.5)=TRUE, "Afternoon", IF(AND(AllData[[#This Row],[Time]]&lt;1, AllData[[#This Row],[Time]]&gt;=0.75)=TRUE, "Evening", "Night")))</f>
        <v>Morning</v>
      </c>
      <c r="G567" t="str">
        <f>_xlfn.XLOOKUP(AllData[[#This Row],[Location Name]], Locations[Location Name],Locations[Group As])</f>
        <v>Stour Willington</v>
      </c>
      <c r="H567" t="e" vm="2">
        <f>_xlfn.XLOOKUP(AllData[[#This Row],[Site Name]],LocationsKey[Site Name],LocationsKey[District])</f>
        <v>#VALUE!</v>
      </c>
      <c r="I567" t="str">
        <f>_xlfn.XLOOKUP(AllData[[#This Row],[Site Name]],LocationsKey[Site Name],LocationsKey[Town])</f>
        <v>Willington</v>
      </c>
      <c r="J567" t="str">
        <f>_xlfn.XLOOKUP(AllData[[#This Row],[Site Name]],LocationsKey[Site Name], LocationsKey[Waterway])</f>
        <v>Stour</v>
      </c>
      <c r="K567" t="s">
        <v>517</v>
      </c>
      <c r="L567">
        <v>52.053576999999997</v>
      </c>
      <c r="M567">
        <v>-1.620171</v>
      </c>
      <c r="N567" t="s">
        <v>23</v>
      </c>
      <c r="O567">
        <v>556</v>
      </c>
      <c r="P567">
        <v>12.5</v>
      </c>
      <c r="Q567">
        <v>2</v>
      </c>
      <c r="R567" s="7" t="str">
        <f>IF(AllData[[#This Row],[Nitrate (PPM)]]&gt;2, "Very high", IF(AllData[[#This Row],[Nitrate (PPM)]]&gt;1, "High", IF(AllData[[#This Row],[Nitrate (PPM)]]&gt;0.5, "Some evidence", IF(AllData[[#This Row],[Nitrate (PPM)]]&gt;=0, "No evidence"))))</f>
        <v>High</v>
      </c>
      <c r="S567" s="4">
        <v>0.25</v>
      </c>
      <c r="T567" s="7" t="str">
        <f>IF(AllData[[#This Row],[Phosphate (PPM)]]&gt;0.5, "Very high", IF(AllData[[#This Row],[Phosphate (PPM)]]&gt;0.1, "High", IF(AllData[[#This Row],[Phosphate (PPM)]]&gt;0.05, "Some evidence", IF(AllData[[#This Row],[Phosphate (PPM)]]&lt;=0.05, "No Evidence", ""))))</f>
        <v>High</v>
      </c>
      <c r="U567">
        <v>0.5</v>
      </c>
    </row>
    <row r="568" spans="1:22" x14ac:dyDescent="0.25">
      <c r="A568" t="s">
        <v>842</v>
      </c>
      <c r="B568" s="2">
        <v>45372</v>
      </c>
      <c r="C568" s="2" t="str" cm="1">
        <f t="array" ref="C5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8">
        <f>YEAR(AllData[[#This Row],[Date]])</f>
        <v>2024</v>
      </c>
      <c r="E568" s="1">
        <v>0.47916666666666669</v>
      </c>
      <c r="F568" s="2" t="str">
        <f>IF(AND(AllData[[#This Row],[Time]]&lt;0.5, AllData[[#This Row],[Time]]&gt;0.17)=TRUE, "Morning", IF(AND(AllData[[#This Row],[Time]]&lt;0.75, AllData[[#This Row],[Time]]&gt;=0.5)=TRUE, "Afternoon", IF(AND(AllData[[#This Row],[Time]]&lt;1, AllData[[#This Row],[Time]]&gt;=0.75)=TRUE, "Evening", "Night")))</f>
        <v>Morning</v>
      </c>
      <c r="G568" t="str">
        <f>_xlfn.XLOOKUP(AllData[[#This Row],[Location Name]], Locations[Location Name],Locations[Group As])</f>
        <v>Swilgate</v>
      </c>
      <c r="H568" t="e" vm="1">
        <f>_xlfn.XLOOKUP(AllData[[#This Row],[Site Name]],LocationsKey[Site Name],LocationsKey[District])</f>
        <v>#VALUE!</v>
      </c>
      <c r="I568" t="e" vm="1">
        <f>_xlfn.XLOOKUP(AllData[[#This Row],[Site Name]],LocationsKey[Site Name],LocationsKey[Town])</f>
        <v>#VALUE!</v>
      </c>
      <c r="J568" t="str">
        <f>_xlfn.XLOOKUP(AllData[[#This Row],[Site Name]],LocationsKey[Site Name], LocationsKey[Waterway])</f>
        <v>Swilgate</v>
      </c>
      <c r="K568" t="s">
        <v>84</v>
      </c>
      <c r="N568" t="s">
        <v>23</v>
      </c>
      <c r="O568">
        <v>858</v>
      </c>
      <c r="P568">
        <v>12.6</v>
      </c>
      <c r="Q568">
        <v>3</v>
      </c>
      <c r="R568" s="7" t="str">
        <f>IF(AllData[[#This Row],[Nitrate (PPM)]]&gt;2, "Very high", IF(AllData[[#This Row],[Nitrate (PPM)]]&gt;1, "High", IF(AllData[[#This Row],[Nitrate (PPM)]]&gt;0.5, "Some evidence", IF(AllData[[#This Row],[Nitrate (PPM)]]&gt;=0, "No evidence"))))</f>
        <v>Very high</v>
      </c>
      <c r="S568" s="4">
        <v>0.41</v>
      </c>
      <c r="T568" s="7" t="str">
        <f>IF(AllData[[#This Row],[Phosphate (PPM)]]&gt;0.5, "Very high", IF(AllData[[#This Row],[Phosphate (PPM)]]&gt;0.1, "High", IF(AllData[[#This Row],[Phosphate (PPM)]]&gt;0.05, "Some evidence", IF(AllData[[#This Row],[Phosphate (PPM)]]&lt;=0.05, "No Evidence", ""))))</f>
        <v>High</v>
      </c>
      <c r="U568">
        <v>0</v>
      </c>
    </row>
    <row r="569" spans="1:22" x14ac:dyDescent="0.25">
      <c r="A569" t="s">
        <v>843</v>
      </c>
      <c r="B569" s="2">
        <v>45372</v>
      </c>
      <c r="C569" s="2" t="str" cm="1">
        <f t="array" ref="C5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9">
        <f>YEAR(AllData[[#This Row],[Date]])</f>
        <v>2024</v>
      </c>
      <c r="E569" s="1">
        <v>0.64583333333333337</v>
      </c>
      <c r="F569" s="2" t="str">
        <f>IF(AND(AllData[[#This Row],[Time]]&lt;0.5, AllData[[#This Row],[Time]]&gt;0.17)=TRUE, "Morning", IF(AND(AllData[[#This Row],[Time]]&lt;0.75, AllData[[#This Row],[Time]]&gt;=0.5)=TRUE, "Afternoon", IF(AND(AllData[[#This Row],[Time]]&lt;1, AllData[[#This Row],[Time]]&gt;=0.75)=TRUE, "Evening", "Night")))</f>
        <v>Afternoon</v>
      </c>
      <c r="G569" t="str">
        <f>_xlfn.XLOOKUP(AllData[[#This Row],[Location Name]], Locations[Location Name],Locations[Group As])</f>
        <v>Preston-on-Stour River Bridge</v>
      </c>
      <c r="H569" t="e" vm="2">
        <f>_xlfn.XLOOKUP(AllData[[#This Row],[Site Name]],LocationsKey[Site Name],LocationsKey[District])</f>
        <v>#VALUE!</v>
      </c>
      <c r="I569" t="e" vm="9">
        <f>_xlfn.XLOOKUP(AllData[[#This Row],[Site Name]],LocationsKey[Site Name],LocationsKey[Town])</f>
        <v>#VALUE!</v>
      </c>
      <c r="J569" t="str">
        <f>_xlfn.XLOOKUP(AllData[[#This Row],[Site Name]],LocationsKey[Site Name], LocationsKey[Waterway])</f>
        <v>Stour</v>
      </c>
      <c r="K569" t="s">
        <v>163</v>
      </c>
      <c r="L569">
        <v>52.146538</v>
      </c>
      <c r="M569">
        <v>-1.699924</v>
      </c>
      <c r="N569" t="s">
        <v>29</v>
      </c>
      <c r="O569">
        <v>610</v>
      </c>
      <c r="P569">
        <v>11.3</v>
      </c>
      <c r="Q569">
        <v>6</v>
      </c>
      <c r="R569" s="7" t="str">
        <f>IF(AllData[[#This Row],[Nitrate (PPM)]]&gt;2, "Very high", IF(AllData[[#This Row],[Nitrate (PPM)]]&gt;1, "High", IF(AllData[[#This Row],[Nitrate (PPM)]]&gt;0.5, "Some evidence", IF(AllData[[#This Row],[Nitrate (PPM)]]&gt;=0, "No evidence"))))</f>
        <v>Very high</v>
      </c>
      <c r="S569" s="4">
        <v>0.31</v>
      </c>
      <c r="T569" s="7" t="str">
        <f>IF(AllData[[#This Row],[Phosphate (PPM)]]&gt;0.5, "Very high", IF(AllData[[#This Row],[Phosphate (PPM)]]&gt;0.1, "High", IF(AllData[[#This Row],[Phosphate (PPM)]]&gt;0.05, "Some evidence", IF(AllData[[#This Row],[Phosphate (PPM)]]&lt;=0.05, "No Evidence", ""))))</f>
        <v>High</v>
      </c>
      <c r="U569">
        <v>1.5</v>
      </c>
    </row>
    <row r="570" spans="1:22" x14ac:dyDescent="0.25">
      <c r="A570" t="s">
        <v>844</v>
      </c>
      <c r="B570" s="2">
        <v>45373</v>
      </c>
      <c r="C570" s="2" t="str" cm="1">
        <f t="array" ref="C5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0">
        <f>YEAR(AllData[[#This Row],[Date]])</f>
        <v>2024</v>
      </c>
      <c r="E570" s="1">
        <v>0.37430555555555556</v>
      </c>
      <c r="F570" s="2" t="str">
        <f>IF(AND(AllData[[#This Row],[Time]]&lt;0.5, AllData[[#This Row],[Time]]&gt;0.17)=TRUE, "Morning", IF(AND(AllData[[#This Row],[Time]]&lt;0.75, AllData[[#This Row],[Time]]&gt;=0.5)=TRUE, "Afternoon", IF(AND(AllData[[#This Row],[Time]]&lt;1, AllData[[#This Row],[Time]]&gt;=0.75)=TRUE, "Evening", "Night")))</f>
        <v>Morning</v>
      </c>
      <c r="G570" t="str">
        <f>_xlfn.XLOOKUP(AllData[[#This Row],[Location Name]], Locations[Location Name],Locations[Group As])</f>
        <v>Mill Bridge Peopleton</v>
      </c>
      <c r="H570" t="e" vm="17">
        <f>_xlfn.XLOOKUP(AllData[[#This Row],[Site Name]],LocationsKey[Site Name],LocationsKey[District])</f>
        <v>#VALUE!</v>
      </c>
      <c r="I570" t="str">
        <f>_xlfn.XLOOKUP(AllData[[#This Row],[Site Name]],LocationsKey[Site Name],LocationsKey[Town])</f>
        <v>Peopleton</v>
      </c>
      <c r="J570" t="str">
        <f>_xlfn.XLOOKUP(AllData[[#This Row],[Site Name]],LocationsKey[Site Name], LocationsKey[Waterway])</f>
        <v>Bow Brook</v>
      </c>
      <c r="K570" t="s">
        <v>845</v>
      </c>
      <c r="L570">
        <v>52.151685999999998</v>
      </c>
      <c r="M570">
        <v>-2.0963069999999999</v>
      </c>
      <c r="N570" t="s">
        <v>29</v>
      </c>
      <c r="O570">
        <v>851</v>
      </c>
      <c r="P570">
        <v>11.9</v>
      </c>
      <c r="Q570">
        <v>5</v>
      </c>
      <c r="R570" s="7" t="str">
        <f>IF(AllData[[#This Row],[Nitrate (PPM)]]&gt;2, "Very high", IF(AllData[[#This Row],[Nitrate (PPM)]]&gt;1, "High", IF(AllData[[#This Row],[Nitrate (PPM)]]&gt;0.5, "Some evidence", IF(AllData[[#This Row],[Nitrate (PPM)]]&gt;=0, "No evidence"))))</f>
        <v>Very high</v>
      </c>
      <c r="S570" s="4">
        <v>0.32</v>
      </c>
      <c r="T570" s="7" t="str">
        <f>IF(AllData[[#This Row],[Phosphate (PPM)]]&gt;0.5, "Very high", IF(AllData[[#This Row],[Phosphate (PPM)]]&gt;0.1, "High", IF(AllData[[#This Row],[Phosphate (PPM)]]&gt;0.05, "Some evidence", IF(AllData[[#This Row],[Phosphate (PPM)]]&lt;=0.05, "No Evidence", ""))))</f>
        <v>High</v>
      </c>
      <c r="U570">
        <v>0.9</v>
      </c>
      <c r="V570" t="s">
        <v>846</v>
      </c>
    </row>
    <row r="571" spans="1:22" x14ac:dyDescent="0.25">
      <c r="A571" t="s">
        <v>847</v>
      </c>
      <c r="B571" s="2">
        <v>45373</v>
      </c>
      <c r="C571" s="2" t="str" cm="1">
        <f t="array" ref="C5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1">
        <f>YEAR(AllData[[#This Row],[Date]])</f>
        <v>2024</v>
      </c>
      <c r="E571" s="1">
        <v>0.38611111111111113</v>
      </c>
      <c r="F571" s="2" t="str">
        <f>IF(AND(AllData[[#This Row],[Time]]&lt;0.5, AllData[[#This Row],[Time]]&gt;0.17)=TRUE, "Morning", IF(AND(AllData[[#This Row],[Time]]&lt;0.75, AllData[[#This Row],[Time]]&gt;=0.5)=TRUE, "Afternoon", IF(AND(AllData[[#This Row],[Time]]&lt;1, AllData[[#This Row],[Time]]&gt;=0.75)=TRUE, "Evening", "Night")))</f>
        <v>Morning</v>
      </c>
      <c r="G571" t="str">
        <f>_xlfn.XLOOKUP(AllData[[#This Row],[Location Name]], Locations[Location Name],Locations[Group As])</f>
        <v>Black Bear</v>
      </c>
      <c r="H571" t="e" vm="1">
        <f>_xlfn.XLOOKUP(AllData[[#This Row],[Site Name]],LocationsKey[Site Name],LocationsKey[District])</f>
        <v>#VALUE!</v>
      </c>
      <c r="I571" t="e" vm="1">
        <f>_xlfn.XLOOKUP(AllData[[#This Row],[Site Name]],LocationsKey[Site Name],LocationsKey[Town])</f>
        <v>#VALUE!</v>
      </c>
      <c r="J571" t="str">
        <f>_xlfn.XLOOKUP(AllData[[#This Row],[Site Name]],LocationsKey[Site Name], LocationsKey[Waterway])</f>
        <v>Avon</v>
      </c>
      <c r="K571" t="s">
        <v>567</v>
      </c>
      <c r="L571">
        <v>51.997236000000001</v>
      </c>
      <c r="M571">
        <v>-2.1562730000000001</v>
      </c>
      <c r="N571" t="s">
        <v>23</v>
      </c>
      <c r="O571">
        <v>675</v>
      </c>
      <c r="P571">
        <v>13.7</v>
      </c>
      <c r="Q571">
        <v>5</v>
      </c>
      <c r="R571" s="7" t="str">
        <f>IF(AllData[[#This Row],[Nitrate (PPM)]]&gt;2, "Very high", IF(AllData[[#This Row],[Nitrate (PPM)]]&gt;1, "High", IF(AllData[[#This Row],[Nitrate (PPM)]]&gt;0.5, "Some evidence", IF(AllData[[#This Row],[Nitrate (PPM)]]&gt;=0, "No evidence"))))</f>
        <v>Very high</v>
      </c>
      <c r="S571" s="4">
        <v>0.82</v>
      </c>
      <c r="T571" s="7" t="str">
        <f>IF(AllData[[#This Row],[Phosphate (PPM)]]&gt;0.5, "Very high", IF(AllData[[#This Row],[Phosphate (PPM)]]&gt;0.1, "High", IF(AllData[[#This Row],[Phosphate (PPM)]]&gt;0.05, "Some evidence", IF(AllData[[#This Row],[Phosphate (PPM)]]&lt;=0.05, "No Evidence", ""))))</f>
        <v>Very high</v>
      </c>
      <c r="U571">
        <v>0</v>
      </c>
    </row>
    <row r="572" spans="1:22" x14ac:dyDescent="0.25">
      <c r="A572" t="s">
        <v>848</v>
      </c>
      <c r="B572" s="2">
        <v>45373</v>
      </c>
      <c r="C572" s="2" t="str" cm="1">
        <f t="array" ref="C5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2">
        <f>YEAR(AllData[[#This Row],[Date]])</f>
        <v>2024</v>
      </c>
      <c r="E572" s="1">
        <v>0.40277777777777779</v>
      </c>
      <c r="F572" s="2" t="str">
        <f>IF(AND(AllData[[#This Row],[Time]]&lt;0.5, AllData[[#This Row],[Time]]&gt;0.17)=TRUE, "Morning", IF(AND(AllData[[#This Row],[Time]]&lt;0.75, AllData[[#This Row],[Time]]&gt;=0.5)=TRUE, "Afternoon", IF(AND(AllData[[#This Row],[Time]]&lt;1, AllData[[#This Row],[Time]]&gt;=0.75)=TRUE, "Evening", "Night")))</f>
        <v>Morning</v>
      </c>
      <c r="G572" t="str">
        <f>_xlfn.XLOOKUP(AllData[[#This Row],[Location Name]], Locations[Location Name],Locations[Group As])</f>
        <v>Lower Lode</v>
      </c>
      <c r="H572" t="e" vm="1">
        <f>_xlfn.XLOOKUP(AllData[[#This Row],[Site Name]],LocationsKey[Site Name],LocationsKey[District])</f>
        <v>#VALUE!</v>
      </c>
      <c r="I572" t="e" vm="1">
        <f>_xlfn.XLOOKUP(AllData[[#This Row],[Site Name]],LocationsKey[Site Name],LocationsKey[Town])</f>
        <v>#VALUE!</v>
      </c>
      <c r="J572" t="str">
        <f>_xlfn.XLOOKUP(AllData[[#This Row],[Site Name]],LocationsKey[Site Name], LocationsKey[Waterway])</f>
        <v>Avon</v>
      </c>
      <c r="K572" t="s">
        <v>592</v>
      </c>
      <c r="L572">
        <v>51.985024000000003</v>
      </c>
      <c r="M572">
        <v>-2.174172</v>
      </c>
      <c r="N572" t="s">
        <v>29</v>
      </c>
      <c r="O572">
        <v>7350</v>
      </c>
      <c r="P572">
        <v>12.4</v>
      </c>
      <c r="Q572">
        <v>10</v>
      </c>
      <c r="R572" s="7" t="str">
        <f>IF(AllData[[#This Row],[Nitrate (PPM)]]&gt;2, "Very high", IF(AllData[[#This Row],[Nitrate (PPM)]]&gt;1, "High", IF(AllData[[#This Row],[Nitrate (PPM)]]&gt;0.5, "Some evidence", IF(AllData[[#This Row],[Nitrate (PPM)]]&gt;=0, "No evidence"))))</f>
        <v>Very high</v>
      </c>
      <c r="S572" s="4">
        <v>0.43</v>
      </c>
      <c r="T572" s="7" t="str">
        <f>IF(AllData[[#This Row],[Phosphate (PPM)]]&gt;0.5, "Very high", IF(AllData[[#This Row],[Phosphate (PPM)]]&gt;0.1, "High", IF(AllData[[#This Row],[Phosphate (PPM)]]&gt;0.05, "Some evidence", IF(AllData[[#This Row],[Phosphate (PPM)]]&lt;=0.05, "No Evidence", ""))))</f>
        <v>High</v>
      </c>
      <c r="U572">
        <v>2</v>
      </c>
      <c r="V572" t="s">
        <v>849</v>
      </c>
    </row>
    <row r="573" spans="1:22" x14ac:dyDescent="0.25">
      <c r="A573" t="s">
        <v>850</v>
      </c>
      <c r="B573" s="2">
        <v>45373</v>
      </c>
      <c r="C573" s="2" t="str" cm="1">
        <f t="array" ref="C5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3">
        <f>YEAR(AllData[[#This Row],[Date]])</f>
        <v>2024</v>
      </c>
      <c r="E573" s="1">
        <v>0.67361111111111116</v>
      </c>
      <c r="F573" s="2" t="str">
        <f>IF(AND(AllData[[#This Row],[Time]]&lt;0.5, AllData[[#This Row],[Time]]&gt;0.17)=TRUE, "Morning", IF(AND(AllData[[#This Row],[Time]]&lt;0.75, AllData[[#This Row],[Time]]&gt;=0.5)=TRUE, "Afternoon", IF(AND(AllData[[#This Row],[Time]]&lt;1, AllData[[#This Row],[Time]]&gt;=0.75)=TRUE, "Evening", "Night")))</f>
        <v>Afternoon</v>
      </c>
      <c r="G573" t="str">
        <f>_xlfn.XLOOKUP(AllData[[#This Row],[Location Name]], Locations[Location Name],Locations[Group As])</f>
        <v>Preston Bagot Canal</v>
      </c>
      <c r="H573" t="e" vm="2">
        <f>_xlfn.XLOOKUP(AllData[[#This Row],[Site Name]],LocationsKey[Site Name],LocationsKey[District])</f>
        <v>#VALUE!</v>
      </c>
      <c r="I573" t="e" vm="19">
        <f>_xlfn.XLOOKUP(AllData[[#This Row],[Site Name]],LocationsKey[Site Name],LocationsKey[Town])</f>
        <v>#VALUE!</v>
      </c>
      <c r="J573" t="str">
        <f>_xlfn.XLOOKUP(AllData[[#This Row],[Site Name]],LocationsKey[Site Name], LocationsKey[Waterway])</f>
        <v>Preston Bagot Canal</v>
      </c>
      <c r="K573" t="s">
        <v>615</v>
      </c>
      <c r="L573">
        <v>52.286540000000002</v>
      </c>
      <c r="M573">
        <v>-1.74576</v>
      </c>
      <c r="N573" t="s">
        <v>23</v>
      </c>
      <c r="O573">
        <v>410</v>
      </c>
      <c r="P573">
        <v>12.6</v>
      </c>
      <c r="Q573">
        <v>2</v>
      </c>
      <c r="R573" s="7" t="str">
        <f>IF(AllData[[#This Row],[Nitrate (PPM)]]&gt;2, "Very high", IF(AllData[[#This Row],[Nitrate (PPM)]]&gt;1, "High", IF(AllData[[#This Row],[Nitrate (PPM)]]&gt;0.5, "Some evidence", IF(AllData[[#This Row],[Nitrate (PPM)]]&gt;=0, "No evidence"))))</f>
        <v>High</v>
      </c>
      <c r="S573" s="4">
        <v>0.26</v>
      </c>
      <c r="T573" s="7" t="str">
        <f>IF(AllData[[#This Row],[Phosphate (PPM)]]&gt;0.5, "Very high", IF(AllData[[#This Row],[Phosphate (PPM)]]&gt;0.1, "High", IF(AllData[[#This Row],[Phosphate (PPM)]]&gt;0.05, "Some evidence", IF(AllData[[#This Row],[Phosphate (PPM)]]&lt;=0.05, "No Evidence", ""))))</f>
        <v>High</v>
      </c>
      <c r="U573">
        <v>0</v>
      </c>
      <c r="V573" t="s">
        <v>851</v>
      </c>
    </row>
    <row r="574" spans="1:22" x14ac:dyDescent="0.25">
      <c r="A574" t="s">
        <v>852</v>
      </c>
      <c r="B574" s="2">
        <v>45374</v>
      </c>
      <c r="C574" s="2" t="str" cm="1">
        <f t="array" ref="C5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4">
        <f>YEAR(AllData[[#This Row],[Date]])</f>
        <v>2024</v>
      </c>
      <c r="E574" s="1">
        <v>0.42708333333333331</v>
      </c>
      <c r="F574" s="2" t="str">
        <f>IF(AND(AllData[[#This Row],[Time]]&lt;0.5, AllData[[#This Row],[Time]]&gt;0.17)=TRUE, "Morning", IF(AND(AllData[[#This Row],[Time]]&lt;0.75, AllData[[#This Row],[Time]]&gt;=0.5)=TRUE, "Afternoon", IF(AND(AllData[[#This Row],[Time]]&lt;1, AllData[[#This Row],[Time]]&gt;=0.75)=TRUE, "Evening", "Night")))</f>
        <v>Morning</v>
      </c>
      <c r="G574" t="str">
        <f>_xlfn.XLOOKUP(AllData[[#This Row],[Location Name]], Locations[Location Name],Locations[Group As])</f>
        <v>Stour Whichford</v>
      </c>
      <c r="H574" t="e" vm="2">
        <f>_xlfn.XLOOKUP(AllData[[#This Row],[Site Name]],LocationsKey[Site Name],LocationsKey[District])</f>
        <v>#VALUE!</v>
      </c>
      <c r="I574" t="e" vm="21">
        <f>_xlfn.XLOOKUP(AllData[[#This Row],[Site Name]],LocationsKey[Site Name],LocationsKey[Town])</f>
        <v>#VALUE!</v>
      </c>
      <c r="J574" t="str">
        <f>_xlfn.XLOOKUP(AllData[[#This Row],[Site Name]],LocationsKey[Site Name], LocationsKey[Waterway])</f>
        <v>Stour</v>
      </c>
      <c r="K574" t="s">
        <v>853</v>
      </c>
      <c r="L574">
        <v>52.017437000000001</v>
      </c>
      <c r="M574">
        <v>-1.544745</v>
      </c>
      <c r="N574" t="s">
        <v>29</v>
      </c>
      <c r="O574">
        <v>593</v>
      </c>
      <c r="P574">
        <v>9.5</v>
      </c>
      <c r="Q574">
        <v>2</v>
      </c>
      <c r="R574" s="7" t="str">
        <f>IF(AllData[[#This Row],[Nitrate (PPM)]]&gt;2, "Very high", IF(AllData[[#This Row],[Nitrate (PPM)]]&gt;1, "High", IF(AllData[[#This Row],[Nitrate (PPM)]]&gt;0.5, "Some evidence", IF(AllData[[#This Row],[Nitrate (PPM)]]&gt;=0, "No evidence"))))</f>
        <v>High</v>
      </c>
      <c r="S574" s="4">
        <v>0.35</v>
      </c>
      <c r="T574" s="7" t="str">
        <f>IF(AllData[[#This Row],[Phosphate (PPM)]]&gt;0.5, "Very high", IF(AllData[[#This Row],[Phosphate (PPM)]]&gt;0.1, "High", IF(AllData[[#This Row],[Phosphate (PPM)]]&gt;0.05, "Some evidence", IF(AllData[[#This Row],[Phosphate (PPM)]]&lt;=0.05, "No Evidence", ""))))</f>
        <v>High</v>
      </c>
      <c r="U574">
        <v>21.6</v>
      </c>
    </row>
    <row r="575" spans="1:22" x14ac:dyDescent="0.25">
      <c r="A575" t="s">
        <v>854</v>
      </c>
      <c r="B575" s="2">
        <v>45374</v>
      </c>
      <c r="C575" s="2" t="str" cm="1">
        <f t="array" ref="C5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5">
        <f>YEAR(AllData[[#This Row],[Date]])</f>
        <v>2024</v>
      </c>
      <c r="E575" s="1">
        <v>0.44444444444444442</v>
      </c>
      <c r="F575" s="2" t="str">
        <f>IF(AND(AllData[[#This Row],[Time]]&lt;0.5, AllData[[#This Row],[Time]]&gt;0.17)=TRUE, "Morning", IF(AND(AllData[[#This Row],[Time]]&lt;0.75, AllData[[#This Row],[Time]]&gt;=0.5)=TRUE, "Afternoon", IF(AND(AllData[[#This Row],[Time]]&lt;1, AllData[[#This Row],[Time]]&gt;=0.75)=TRUE, "Evening", "Night")))</f>
        <v>Morning</v>
      </c>
      <c r="G575" t="str">
        <f>_xlfn.XLOOKUP(AllData[[#This Row],[Location Name]], Locations[Location Name],Locations[Group As])</f>
        <v>Stour Ascott Village</v>
      </c>
      <c r="H575" t="e" vm="2">
        <f>_xlfn.XLOOKUP(AllData[[#This Row],[Site Name]],LocationsKey[Site Name],LocationsKey[District])</f>
        <v>#VALUE!</v>
      </c>
      <c r="I575" t="e" vm="22">
        <f>_xlfn.XLOOKUP(AllData[[#This Row],[Site Name]],LocationsKey[Site Name],LocationsKey[Town])</f>
        <v>#VALUE!</v>
      </c>
      <c r="J575" t="str">
        <f>_xlfn.XLOOKUP(AllData[[#This Row],[Site Name]],LocationsKey[Site Name], LocationsKey[Waterway])</f>
        <v>Stour</v>
      </c>
      <c r="K575" t="s">
        <v>855</v>
      </c>
      <c r="L575">
        <v>52.013255999999998</v>
      </c>
      <c r="M575">
        <v>-1.5387710000000001</v>
      </c>
      <c r="N575" t="s">
        <v>66</v>
      </c>
      <c r="O575">
        <v>558</v>
      </c>
      <c r="P575">
        <v>8.5</v>
      </c>
      <c r="Q575">
        <v>2</v>
      </c>
      <c r="R575" s="7" t="str">
        <f>IF(AllData[[#This Row],[Nitrate (PPM)]]&gt;2, "Very high", IF(AllData[[#This Row],[Nitrate (PPM)]]&gt;1, "High", IF(AllData[[#This Row],[Nitrate (PPM)]]&gt;0.5, "Some evidence", IF(AllData[[#This Row],[Nitrate (PPM)]]&gt;=0, "No evidence"))))</f>
        <v>High</v>
      </c>
      <c r="S575" s="4">
        <v>7.0000000000000007E-2</v>
      </c>
      <c r="T575" s="7" t="str">
        <f>IF(AllData[[#This Row],[Phosphate (PPM)]]&gt;0.5, "Very high", IF(AllData[[#This Row],[Phosphate (PPM)]]&gt;0.1, "High", IF(AllData[[#This Row],[Phosphate (PPM)]]&gt;0.05, "Some evidence", IF(AllData[[#This Row],[Phosphate (PPM)]]&lt;=0.05, "No Evidence", ""))))</f>
        <v>Some evidence</v>
      </c>
      <c r="U575">
        <v>12.7</v>
      </c>
    </row>
    <row r="576" spans="1:22" x14ac:dyDescent="0.25">
      <c r="A576" t="s">
        <v>856</v>
      </c>
      <c r="B576" s="2">
        <v>45374</v>
      </c>
      <c r="C576" s="2" t="str" cm="1">
        <f t="array" ref="C5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6">
        <f>YEAR(AllData[[#This Row],[Date]])</f>
        <v>2024</v>
      </c>
      <c r="E576" s="1">
        <v>0.48958333333333331</v>
      </c>
      <c r="F576" s="2" t="str">
        <f>IF(AND(AllData[[#This Row],[Time]]&lt;0.5, AllData[[#This Row],[Time]]&gt;0.17)=TRUE, "Morning", IF(AND(AllData[[#This Row],[Time]]&lt;0.75, AllData[[#This Row],[Time]]&gt;=0.5)=TRUE, "Afternoon", IF(AND(AllData[[#This Row],[Time]]&lt;1, AllData[[#This Row],[Time]]&gt;=0.75)=TRUE, "Evening", "Night")))</f>
        <v>Morning</v>
      </c>
      <c r="G576" t="str">
        <f>_xlfn.XLOOKUP(AllData[[#This Row],[Location Name]], Locations[Location Name],Locations[Group As])</f>
        <v>Avon Smiths Meadow Wyre Piddle</v>
      </c>
      <c r="H576" t="e" vm="17">
        <f>_xlfn.XLOOKUP(AllData[[#This Row],[Site Name]],LocationsKey[Site Name],LocationsKey[District])</f>
        <v>#VALUE!</v>
      </c>
      <c r="I576" t="e" vm="20">
        <f>_xlfn.XLOOKUP(AllData[[#This Row],[Site Name]],LocationsKey[Site Name],LocationsKey[Town])</f>
        <v>#VALUE!</v>
      </c>
      <c r="J576" t="str">
        <f>_xlfn.XLOOKUP(AllData[[#This Row],[Site Name]],LocationsKey[Site Name], LocationsKey[Waterway])</f>
        <v>Avon</v>
      </c>
      <c r="K576" t="s">
        <v>741</v>
      </c>
      <c r="L576">
        <v>52.122883999999999</v>
      </c>
      <c r="M576">
        <v>-2.0574859999999999</v>
      </c>
      <c r="N576" t="s">
        <v>23</v>
      </c>
      <c r="O576">
        <v>747</v>
      </c>
      <c r="P576">
        <v>10.4</v>
      </c>
      <c r="Q576">
        <v>10</v>
      </c>
      <c r="R576" s="7" t="str">
        <f>IF(AllData[[#This Row],[Nitrate (PPM)]]&gt;2, "Very high", IF(AllData[[#This Row],[Nitrate (PPM)]]&gt;1, "High", IF(AllData[[#This Row],[Nitrate (PPM)]]&gt;0.5, "Some evidence", IF(AllData[[#This Row],[Nitrate (PPM)]]&gt;=0, "No evidence"))))</f>
        <v>Very high</v>
      </c>
      <c r="S576" s="4">
        <v>0.67</v>
      </c>
      <c r="T576" s="7" t="str">
        <f>IF(AllData[[#This Row],[Phosphate (PPM)]]&gt;0.5, "Very high", IF(AllData[[#This Row],[Phosphate (PPM)]]&gt;0.1, "High", IF(AllData[[#This Row],[Phosphate (PPM)]]&gt;0.05, "Some evidence", IF(AllData[[#This Row],[Phosphate (PPM)]]&lt;=0.05, "No Evidence", ""))))</f>
        <v>Very high</v>
      </c>
      <c r="U576">
        <v>0.9</v>
      </c>
      <c r="V576" t="s">
        <v>857</v>
      </c>
    </row>
    <row r="577" spans="1:22" x14ac:dyDescent="0.25">
      <c r="A577" t="s">
        <v>858</v>
      </c>
      <c r="B577" s="2">
        <v>45374</v>
      </c>
      <c r="C577" s="2" t="str" cm="1">
        <f t="array" ref="C5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7">
        <f>YEAR(AllData[[#This Row],[Date]])</f>
        <v>2024</v>
      </c>
      <c r="E577" s="1">
        <v>0.52083333333333337</v>
      </c>
      <c r="F577" s="2" t="str">
        <f>IF(AND(AllData[[#This Row],[Time]]&lt;0.5, AllData[[#This Row],[Time]]&gt;0.17)=TRUE, "Morning", IF(AND(AllData[[#This Row],[Time]]&lt;0.75, AllData[[#This Row],[Time]]&gt;=0.5)=TRUE, "Afternoon", IF(AND(AllData[[#This Row],[Time]]&lt;1, AllData[[#This Row],[Time]]&gt;=0.75)=TRUE, "Evening", "Night")))</f>
        <v>Afternoon</v>
      </c>
      <c r="G577" t="str">
        <f>_xlfn.XLOOKUP(AllData[[#This Row],[Location Name]], Locations[Location Name],Locations[Group As])</f>
        <v>Carrant Bredon Rd</v>
      </c>
      <c r="H577" t="e" vm="1">
        <f>_xlfn.XLOOKUP(AllData[[#This Row],[Site Name]],LocationsKey[Site Name],LocationsKey[District])</f>
        <v>#VALUE!</v>
      </c>
      <c r="I577" t="e" vm="1">
        <f>_xlfn.XLOOKUP(AllData[[#This Row],[Site Name]],LocationsKey[Site Name],LocationsKey[Town])</f>
        <v>#VALUE!</v>
      </c>
      <c r="J577" t="str">
        <f>_xlfn.XLOOKUP(AllData[[#This Row],[Site Name]],LocationsKey[Site Name], LocationsKey[Waterway])</f>
        <v>Carrant</v>
      </c>
      <c r="K577" t="s">
        <v>600</v>
      </c>
      <c r="L577">
        <v>51.996478000000003</v>
      </c>
      <c r="M577">
        <v>-2.155986</v>
      </c>
      <c r="N577" t="s">
        <v>23</v>
      </c>
      <c r="O577">
        <v>780</v>
      </c>
      <c r="P577">
        <v>9.8000000000000007</v>
      </c>
      <c r="Q577">
        <v>4</v>
      </c>
      <c r="R577" s="7" t="str">
        <f>IF(AllData[[#This Row],[Nitrate (PPM)]]&gt;2, "Very high", IF(AllData[[#This Row],[Nitrate (PPM)]]&gt;1, "High", IF(AllData[[#This Row],[Nitrate (PPM)]]&gt;0.5, "Some evidence", IF(AllData[[#This Row],[Nitrate (PPM)]]&gt;=0, "No evidence"))))</f>
        <v>Very high</v>
      </c>
      <c r="S577" s="4">
        <v>0.25</v>
      </c>
      <c r="T577" s="7" t="str">
        <f>IF(AllData[[#This Row],[Phosphate (PPM)]]&gt;0.5, "Very high", IF(AllData[[#This Row],[Phosphate (PPM)]]&gt;0.1, "High", IF(AllData[[#This Row],[Phosphate (PPM)]]&gt;0.05, "Some evidence", IF(AllData[[#This Row],[Phosphate (PPM)]]&lt;=0.05, "No Evidence", ""))))</f>
        <v>High</v>
      </c>
      <c r="U577">
        <v>0.01</v>
      </c>
      <c r="V577" t="s">
        <v>859</v>
      </c>
    </row>
    <row r="578" spans="1:22" x14ac:dyDescent="0.25">
      <c r="A578" t="s">
        <v>860</v>
      </c>
      <c r="B578" s="2">
        <v>45374</v>
      </c>
      <c r="C578" s="2" t="str" cm="1">
        <f t="array" ref="C5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8">
        <f>YEAR(AllData[[#This Row],[Date]])</f>
        <v>2024</v>
      </c>
      <c r="E578" s="1">
        <v>0.52083333333333337</v>
      </c>
      <c r="F578" s="2" t="str">
        <f>IF(AND(AllData[[#This Row],[Time]]&lt;0.5, AllData[[#This Row],[Time]]&gt;0.17)=TRUE, "Morning", IF(AND(AllData[[#This Row],[Time]]&lt;0.75, AllData[[#This Row],[Time]]&gt;=0.5)=TRUE, "Afternoon", IF(AND(AllData[[#This Row],[Time]]&lt;1, AllData[[#This Row],[Time]]&gt;=0.75)=TRUE, "Evening", "Night")))</f>
        <v>Afternoon</v>
      </c>
      <c r="G578" t="str">
        <f>_xlfn.XLOOKUP(AllData[[#This Row],[Location Name]], Locations[Location Name],Locations[Group As])</f>
        <v>Piddle Brook Wyre Piddle Bridge</v>
      </c>
      <c r="H578" t="e" vm="17">
        <f>_xlfn.XLOOKUP(AllData[[#This Row],[Site Name]],LocationsKey[Site Name],LocationsKey[District])</f>
        <v>#VALUE!</v>
      </c>
      <c r="I578" t="e" vm="20">
        <f>_xlfn.XLOOKUP(AllData[[#This Row],[Site Name]],LocationsKey[Site Name],LocationsKey[Town])</f>
        <v>#VALUE!</v>
      </c>
      <c r="J578" t="str">
        <f>_xlfn.XLOOKUP(AllData[[#This Row],[Site Name]],LocationsKey[Site Name], LocationsKey[Waterway])</f>
        <v>Piddle Brook</v>
      </c>
      <c r="K578" t="s">
        <v>744</v>
      </c>
      <c r="L578">
        <v>52.126390000000001</v>
      </c>
      <c r="M578">
        <v>-2.0564990000000001</v>
      </c>
      <c r="N578" t="s">
        <v>23</v>
      </c>
      <c r="O578">
        <v>1020</v>
      </c>
      <c r="P578">
        <v>9.4</v>
      </c>
      <c r="Q578">
        <v>5</v>
      </c>
      <c r="R578" s="7" t="str">
        <f>IF(AllData[[#This Row],[Nitrate (PPM)]]&gt;2, "Very high", IF(AllData[[#This Row],[Nitrate (PPM)]]&gt;1, "High", IF(AllData[[#This Row],[Nitrate (PPM)]]&gt;0.5, "Some evidence", IF(AllData[[#This Row],[Nitrate (PPM)]]&gt;=0, "No evidence"))))</f>
        <v>Very high</v>
      </c>
      <c r="S578" s="4">
        <v>0.53</v>
      </c>
      <c r="T578" s="7" t="str">
        <f>IF(AllData[[#This Row],[Phosphate (PPM)]]&gt;0.5, "Very high", IF(AllData[[#This Row],[Phosphate (PPM)]]&gt;0.1, "High", IF(AllData[[#This Row],[Phosphate (PPM)]]&gt;0.05, "Some evidence", IF(AllData[[#This Row],[Phosphate (PPM)]]&lt;=0.05, "No Evidence", ""))))</f>
        <v>Very high</v>
      </c>
      <c r="U578">
        <v>0.34</v>
      </c>
      <c r="V578" t="s">
        <v>861</v>
      </c>
    </row>
    <row r="579" spans="1:22" x14ac:dyDescent="0.25">
      <c r="A579" t="s">
        <v>862</v>
      </c>
      <c r="B579" s="2">
        <v>45375</v>
      </c>
      <c r="C579" s="2" t="str" cm="1">
        <f t="array" ref="C5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9">
        <f>YEAR(AllData[[#This Row],[Date]])</f>
        <v>2024</v>
      </c>
      <c r="E579" s="1">
        <v>0.44097222222222221</v>
      </c>
      <c r="F579" s="2" t="str">
        <f>IF(AND(AllData[[#This Row],[Time]]&lt;0.5, AllData[[#This Row],[Time]]&gt;0.17)=TRUE, "Morning", IF(AND(AllData[[#This Row],[Time]]&lt;0.75, AllData[[#This Row],[Time]]&gt;=0.5)=TRUE, "Afternoon", IF(AND(AllData[[#This Row],[Time]]&lt;1, AllData[[#This Row],[Time]]&gt;=0.75)=TRUE, "Evening", "Night")))</f>
        <v>Morning</v>
      </c>
      <c r="G579" t="str">
        <f>_xlfn.XLOOKUP(AllData[[#This Row],[Location Name]], Locations[Location Name],Locations[Group As])</f>
        <v>Fell Mill Footbridge</v>
      </c>
      <c r="H579" t="e" vm="2">
        <f>_xlfn.XLOOKUP(AllData[[#This Row],[Site Name]],LocationsKey[Site Name],LocationsKey[District])</f>
        <v>#VALUE!</v>
      </c>
      <c r="I579" t="e" vm="10">
        <f>_xlfn.XLOOKUP(AllData[[#This Row],[Site Name]],LocationsKey[Site Name],LocationsKey[Town])</f>
        <v>#VALUE!</v>
      </c>
      <c r="J579" t="str">
        <f>_xlfn.XLOOKUP(AllData[[#This Row],[Site Name]],LocationsKey[Site Name], LocationsKey[Waterway])</f>
        <v>Stour</v>
      </c>
      <c r="K579" t="s">
        <v>818</v>
      </c>
      <c r="L579">
        <v>52.068274000000002</v>
      </c>
      <c r="M579">
        <v>-1.621486</v>
      </c>
      <c r="N579" t="s">
        <v>29</v>
      </c>
      <c r="O579">
        <v>592</v>
      </c>
      <c r="P579">
        <v>10.1</v>
      </c>
      <c r="Q579">
        <v>10</v>
      </c>
      <c r="R579" s="7" t="str">
        <f>IF(AllData[[#This Row],[Nitrate (PPM)]]&gt;2, "Very high", IF(AllData[[#This Row],[Nitrate (PPM)]]&gt;1, "High", IF(AllData[[#This Row],[Nitrate (PPM)]]&gt;0.5, "Some evidence", IF(AllData[[#This Row],[Nitrate (PPM)]]&gt;=0, "No evidence"))))</f>
        <v>Very high</v>
      </c>
      <c r="S579" s="4">
        <v>0.28999999999999998</v>
      </c>
      <c r="T579" s="7" t="str">
        <f>IF(AllData[[#This Row],[Phosphate (PPM)]]&gt;0.5, "Very high", IF(AllData[[#This Row],[Phosphate (PPM)]]&gt;0.1, "High", IF(AllData[[#This Row],[Phosphate (PPM)]]&gt;0.05, "Some evidence", IF(AllData[[#This Row],[Phosphate (PPM)]]&lt;=0.05, "No Evidence", ""))))</f>
        <v>High</v>
      </c>
      <c r="U579">
        <v>1.5</v>
      </c>
      <c r="V579" t="s">
        <v>863</v>
      </c>
    </row>
    <row r="580" spans="1:22" x14ac:dyDescent="0.25">
      <c r="A580" t="s">
        <v>874</v>
      </c>
      <c r="B580" s="2">
        <v>45375</v>
      </c>
      <c r="C580" s="2" t="str" cm="1">
        <f t="array" ref="C5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0">
        <f>YEAR(AllData[[#This Row],[Date]])</f>
        <v>2024</v>
      </c>
      <c r="E580" s="1">
        <v>0.45833333333333331</v>
      </c>
      <c r="F580" s="2" t="str">
        <f>IF(AND(AllData[[#This Row],[Time]]&lt;0.5, AllData[[#This Row],[Time]]&gt;0.17)=TRUE, "Morning", IF(AND(AllData[[#This Row],[Time]]&lt;0.75, AllData[[#This Row],[Time]]&gt;=0.5)=TRUE, "Afternoon", IF(AND(AllData[[#This Row],[Time]]&lt;1, AllData[[#This Row],[Time]]&gt;=0.75)=TRUE, "Evening", "Night")))</f>
        <v>Morning</v>
      </c>
      <c r="G580" t="str">
        <f>_xlfn.XLOOKUP(AllData[[#This Row],[Location Name]], Locations[Location Name],Locations[Group As])</f>
        <v>Lucy's Mill Bridge</v>
      </c>
      <c r="H580" t="e" vm="2">
        <f>_xlfn.XLOOKUP(AllData[[#This Row],[Site Name]],LocationsKey[Site Name],LocationsKey[District])</f>
        <v>#VALUE!</v>
      </c>
      <c r="I580" t="e" vm="7">
        <f>_xlfn.XLOOKUP(AllData[[#This Row],[Site Name]],LocationsKey[Site Name],LocationsKey[Town])</f>
        <v>#VALUE!</v>
      </c>
      <c r="J580" t="str">
        <f>_xlfn.XLOOKUP(AllData[[#This Row],[Site Name]],LocationsKey[Site Name], LocationsKey[Waterway])</f>
        <v>Avon</v>
      </c>
      <c r="K580" t="s">
        <v>216</v>
      </c>
      <c r="L580">
        <v>52.183698999999997</v>
      </c>
      <c r="M580">
        <v>-1.707816</v>
      </c>
      <c r="N580" t="s">
        <v>29</v>
      </c>
      <c r="P580">
        <v>11.5</v>
      </c>
      <c r="Q580">
        <v>5</v>
      </c>
      <c r="R580" s="7" t="str">
        <f>IF(AllData[[#This Row],[Nitrate (PPM)]]&gt;2, "Very high", IF(AllData[[#This Row],[Nitrate (PPM)]]&gt;1, "High", IF(AllData[[#This Row],[Nitrate (PPM)]]&gt;0.5, "Some evidence", IF(AllData[[#This Row],[Nitrate (PPM)]]&gt;=0, "No evidence"))))</f>
        <v>Very high</v>
      </c>
      <c r="S580" s="4">
        <v>0.25</v>
      </c>
      <c r="T580" s="7" t="str">
        <f>IF(AllData[[#This Row],[Phosphate (PPM)]]&gt;0.5, "Very high", IF(AllData[[#This Row],[Phosphate (PPM)]]&gt;0.1, "High", IF(AllData[[#This Row],[Phosphate (PPM)]]&gt;0.05, "Some evidence", IF(AllData[[#This Row],[Phosphate (PPM)]]&lt;=0.05, "No Evidence", ""))))</f>
        <v>High</v>
      </c>
      <c r="U580">
        <v>0.7</v>
      </c>
    </row>
    <row r="581" spans="1:22" x14ac:dyDescent="0.25">
      <c r="A581" t="s">
        <v>864</v>
      </c>
      <c r="B581" s="2">
        <v>45375</v>
      </c>
      <c r="C581" s="2" t="str" cm="1">
        <f t="array" ref="C5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1">
        <f>YEAR(AllData[[#This Row],[Date]])</f>
        <v>2024</v>
      </c>
      <c r="E581" s="1">
        <v>0.55208333333333337</v>
      </c>
      <c r="F581" s="2" t="str">
        <f>IF(AND(AllData[[#This Row],[Time]]&lt;0.5, AllData[[#This Row],[Time]]&gt;0.17)=TRUE, "Morning", IF(AND(AllData[[#This Row],[Time]]&lt;0.75, AllData[[#This Row],[Time]]&gt;=0.5)=TRUE, "Afternoon", IF(AND(AllData[[#This Row],[Time]]&lt;1, AllData[[#This Row],[Time]]&gt;=0.75)=TRUE, "Evening", "Night")))</f>
        <v>Afternoon</v>
      </c>
      <c r="G581" t="str">
        <f>_xlfn.XLOOKUP(AllData[[#This Row],[Location Name]], Locations[Location Name],Locations[Group As])</f>
        <v>Pershore Bridges</v>
      </c>
      <c r="H581" t="e" vm="17">
        <f>_xlfn.XLOOKUP(AllData[[#This Row],[Site Name]],LocationsKey[Site Name],LocationsKey[District])</f>
        <v>#VALUE!</v>
      </c>
      <c r="I581" t="e" vm="18">
        <f>_xlfn.XLOOKUP(AllData[[#This Row],[Site Name]],LocationsKey[Site Name],LocationsKey[Town])</f>
        <v>#VALUE!</v>
      </c>
      <c r="J581" t="str">
        <f>_xlfn.XLOOKUP(AllData[[#This Row],[Site Name]],LocationsKey[Site Name], LocationsKey[Waterway])</f>
        <v>Avon</v>
      </c>
      <c r="K581" t="s">
        <v>865</v>
      </c>
      <c r="L581">
        <v>52.104187000000003</v>
      </c>
      <c r="M581">
        <v>-2.0709179999999998</v>
      </c>
      <c r="O581" s="219">
        <v>770</v>
      </c>
      <c r="P581">
        <v>12</v>
      </c>
      <c r="Q581" s="219">
        <v>10</v>
      </c>
      <c r="R581" s="7" t="str">
        <f>IF(AllData[[#This Row],[Nitrate (PPM)]]&gt;2, "Very high", IF(AllData[[#This Row],[Nitrate (PPM)]]&gt;1, "High", IF(AllData[[#This Row],[Nitrate (PPM)]]&gt;0.5, "Some evidence", IF(AllData[[#This Row],[Nitrate (PPM)]]&gt;=0, "No evidence"))))</f>
        <v>Very high</v>
      </c>
      <c r="S581" s="221">
        <v>0.57999999999999996</v>
      </c>
      <c r="T581" s="7" t="str">
        <f>IF(AllData[[#This Row],[Phosphate (PPM)]]&gt;0.5, "Very high", IF(AllData[[#This Row],[Phosphate (PPM)]]&gt;0.1, "High", IF(AllData[[#This Row],[Phosphate (PPM)]]&gt;0.05, "Some evidence", IF(AllData[[#This Row],[Phosphate (PPM)]]&lt;=0.05, "No Evidence", ""))))</f>
        <v>Very high</v>
      </c>
      <c r="U581">
        <v>3.42</v>
      </c>
    </row>
    <row r="582" spans="1:22" x14ac:dyDescent="0.25">
      <c r="A582" t="s">
        <v>866</v>
      </c>
      <c r="B582" s="2">
        <v>45375</v>
      </c>
      <c r="C582" s="2" t="str" cm="1">
        <f t="array" ref="C5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2">
        <f>YEAR(AllData[[#This Row],[Date]])</f>
        <v>2024</v>
      </c>
      <c r="E582" s="1">
        <v>0.5625</v>
      </c>
      <c r="F582" s="2" t="str">
        <f>IF(AND(AllData[[#This Row],[Time]]&lt;0.5, AllData[[#This Row],[Time]]&gt;0.17)=TRUE, "Morning", IF(AND(AllData[[#This Row],[Time]]&lt;0.75, AllData[[#This Row],[Time]]&gt;=0.5)=TRUE, "Afternoon", IF(AND(AllData[[#This Row],[Time]]&lt;1, AllData[[#This Row],[Time]]&gt;=0.75)=TRUE, "Evening", "Night")))</f>
        <v>Afternoon</v>
      </c>
      <c r="G582" t="str">
        <f>_xlfn.XLOOKUP(AllData[[#This Row],[Location Name]], Locations[Location Name],Locations[Group As])</f>
        <v>Clifford Chambers Mill Bridge</v>
      </c>
      <c r="H582" t="e" vm="2">
        <f>_xlfn.XLOOKUP(AllData[[#This Row],[Site Name]],LocationsKey[Site Name],LocationsKey[District])</f>
        <v>#VALUE!</v>
      </c>
      <c r="I582" t="e" vm="12">
        <f>_xlfn.XLOOKUP(AllData[[#This Row],[Site Name]],LocationsKey[Site Name],LocationsKey[Town])</f>
        <v>#VALUE!</v>
      </c>
      <c r="J582" t="str">
        <f>_xlfn.XLOOKUP(AllData[[#This Row],[Site Name]],LocationsKey[Site Name], LocationsKey[Waterway])</f>
        <v>Stour</v>
      </c>
      <c r="K582" t="s">
        <v>263</v>
      </c>
      <c r="L582">
        <v>52.166370000000001</v>
      </c>
      <c r="M582">
        <v>-1.708032</v>
      </c>
      <c r="N582" t="s">
        <v>66</v>
      </c>
      <c r="O582" s="219">
        <v>663</v>
      </c>
      <c r="P582">
        <v>11.1</v>
      </c>
      <c r="Q582" s="219">
        <v>8</v>
      </c>
      <c r="R582" s="7" t="str">
        <f>IF(AllData[[#This Row],[Nitrate (PPM)]]&gt;2, "Very high", IF(AllData[[#This Row],[Nitrate (PPM)]]&gt;1, "High", IF(AllData[[#This Row],[Nitrate (PPM)]]&gt;0.5, "Some evidence", IF(AllData[[#This Row],[Nitrate (PPM)]]&gt;=0, "No evidence"))))</f>
        <v>Very high</v>
      </c>
      <c r="S582" s="221">
        <v>0.31</v>
      </c>
      <c r="T582" s="7" t="str">
        <f>IF(AllData[[#This Row],[Phosphate (PPM)]]&gt;0.5, "Very high", IF(AllData[[#This Row],[Phosphate (PPM)]]&gt;0.1, "High", IF(AllData[[#This Row],[Phosphate (PPM)]]&gt;0.05, "Some evidence", IF(AllData[[#This Row],[Phosphate (PPM)]]&lt;=0.05, "No Evidence", ""))))</f>
        <v>High</v>
      </c>
      <c r="U582">
        <v>1</v>
      </c>
    </row>
    <row r="583" spans="1:22" x14ac:dyDescent="0.25">
      <c r="A583" t="s">
        <v>867</v>
      </c>
      <c r="B583" s="2">
        <v>45375</v>
      </c>
      <c r="C583" s="2" t="str" cm="1">
        <f t="array" ref="C5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3">
        <f>YEAR(AllData[[#This Row],[Date]])</f>
        <v>2024</v>
      </c>
      <c r="E583" s="1">
        <v>0.625</v>
      </c>
      <c r="F583" s="2" t="str">
        <f>IF(AND(AllData[[#This Row],[Time]]&lt;0.5, AllData[[#This Row],[Time]]&gt;0.17)=TRUE, "Morning", IF(AND(AllData[[#This Row],[Time]]&lt;0.75, AllData[[#This Row],[Time]]&gt;=0.5)=TRUE, "Afternoon", IF(AND(AllData[[#This Row],[Time]]&lt;1, AllData[[#This Row],[Time]]&gt;=0.75)=TRUE, "Evening", "Night")))</f>
        <v>Afternoon</v>
      </c>
      <c r="G583" t="str">
        <f>_xlfn.XLOOKUP(AllData[[#This Row],[Location Name]], Locations[Location Name],Locations[Group As])</f>
        <v>Sherbourne Brook 2</v>
      </c>
      <c r="H583" t="e" vm="2">
        <f>_xlfn.XLOOKUP(AllData[[#This Row],[Site Name]],LocationsKey[Site Name],LocationsKey[District])</f>
        <v>#VALUE!</v>
      </c>
      <c r="I583" t="str">
        <f>_xlfn.XLOOKUP(AllData[[#This Row],[Site Name]],LocationsKey[Site Name],LocationsKey[Town])</f>
        <v>Unknown</v>
      </c>
      <c r="J583" t="str">
        <f>_xlfn.XLOOKUP(AllData[[#This Row],[Site Name]],LocationsKey[Site Name], LocationsKey[Waterway])</f>
        <v>Sherbourne Brook</v>
      </c>
      <c r="K583" t="s">
        <v>868</v>
      </c>
      <c r="N583" t="s">
        <v>23</v>
      </c>
      <c r="O583">
        <v>100</v>
      </c>
      <c r="P583">
        <v>10.8</v>
      </c>
      <c r="Q583">
        <v>4</v>
      </c>
      <c r="R583" s="7" t="str">
        <f>IF(AllData[[#This Row],[Nitrate (PPM)]]&gt;2, "Very high", IF(AllData[[#This Row],[Nitrate (PPM)]]&gt;1, "High", IF(AllData[[#This Row],[Nitrate (PPM)]]&gt;0.5, "Some evidence", IF(AllData[[#This Row],[Nitrate (PPM)]]&gt;=0, "No evidence"))))</f>
        <v>Very high</v>
      </c>
      <c r="S583" s="4">
        <v>0.57999999999999996</v>
      </c>
      <c r="T583" s="7" t="str">
        <f>IF(AllData[[#This Row],[Phosphate (PPM)]]&gt;0.5, "Very high", IF(AllData[[#This Row],[Phosphate (PPM)]]&gt;0.1, "High", IF(AllData[[#This Row],[Phosphate (PPM)]]&gt;0.05, "Some evidence", IF(AllData[[#This Row],[Phosphate (PPM)]]&lt;=0.05, "No Evidence", ""))))</f>
        <v>Very high</v>
      </c>
      <c r="U583">
        <v>0.2</v>
      </c>
      <c r="V583" t="s">
        <v>756</v>
      </c>
    </row>
    <row r="584" spans="1:22" x14ac:dyDescent="0.25">
      <c r="A584" t="s">
        <v>869</v>
      </c>
      <c r="B584" s="2">
        <v>45375</v>
      </c>
      <c r="C584" s="2" t="str" cm="1">
        <f t="array" ref="C5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4">
        <f>YEAR(AllData[[#This Row],[Date]])</f>
        <v>2024</v>
      </c>
      <c r="E584" s="1">
        <v>0.63541666666666663</v>
      </c>
      <c r="F584" s="2" t="str">
        <f>IF(AND(AllData[[#This Row],[Time]]&lt;0.5, AllData[[#This Row],[Time]]&gt;0.17)=TRUE, "Morning", IF(AND(AllData[[#This Row],[Time]]&lt;0.75, AllData[[#This Row],[Time]]&gt;=0.5)=TRUE, "Afternoon", IF(AND(AllData[[#This Row],[Time]]&lt;1, AllData[[#This Row],[Time]]&gt;=0.75)=TRUE, "Evening", "Night")))</f>
        <v>Afternoon</v>
      </c>
      <c r="G584" t="str">
        <f>_xlfn.XLOOKUP(AllData[[#This Row],[Location Name]], Locations[Location Name],Locations[Group As])</f>
        <v>Bell Brook 1</v>
      </c>
      <c r="H584" t="e" vm="2">
        <f>_xlfn.XLOOKUP(AllData[[#This Row],[Site Name]],LocationsKey[Site Name],LocationsKey[District])</f>
        <v>#VALUE!</v>
      </c>
      <c r="I584" t="e" vm="15">
        <f>_xlfn.XLOOKUP(AllData[[#This Row],[Site Name]],LocationsKey[Site Name],LocationsKey[Town])</f>
        <v>#VALUE!</v>
      </c>
      <c r="J584" t="str">
        <f>_xlfn.XLOOKUP(AllData[[#This Row],[Site Name]],LocationsKey[Site Name], LocationsKey[Waterway])</f>
        <v>Bell Brook</v>
      </c>
      <c r="K584" t="s">
        <v>534</v>
      </c>
      <c r="L584">
        <v>52.244900000000001</v>
      </c>
      <c r="M584">
        <v>-1.6617</v>
      </c>
      <c r="N584" t="s">
        <v>23</v>
      </c>
      <c r="O584">
        <v>107</v>
      </c>
      <c r="P584">
        <v>10.3</v>
      </c>
      <c r="Q584">
        <v>5</v>
      </c>
      <c r="R584" s="7" t="str">
        <f>IF(AllData[[#This Row],[Nitrate (PPM)]]&gt;2, "Very high", IF(AllData[[#This Row],[Nitrate (PPM)]]&gt;1, "High", IF(AllData[[#This Row],[Nitrate (PPM)]]&gt;0.5, "Some evidence", IF(AllData[[#This Row],[Nitrate (PPM)]]&gt;=0, "No evidence"))))</f>
        <v>Very high</v>
      </c>
      <c r="S584" s="4">
        <v>0.53</v>
      </c>
      <c r="T584" s="7" t="str">
        <f>IF(AllData[[#This Row],[Phosphate (PPM)]]&gt;0.5, "Very high", IF(AllData[[#This Row],[Phosphate (PPM)]]&gt;0.1, "High", IF(AllData[[#This Row],[Phosphate (PPM)]]&gt;0.05, "Some evidence", IF(AllData[[#This Row],[Phosphate (PPM)]]&lt;=0.05, "No Evidence", ""))))</f>
        <v>Very high</v>
      </c>
      <c r="U584">
        <v>0.15</v>
      </c>
      <c r="V584" t="s">
        <v>756</v>
      </c>
    </row>
    <row r="585" spans="1:22" x14ac:dyDescent="0.25">
      <c r="A585" t="s">
        <v>870</v>
      </c>
      <c r="B585" s="2">
        <v>45375</v>
      </c>
      <c r="C585" s="2" t="str" cm="1">
        <f t="array" ref="C5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5">
        <f>YEAR(AllData[[#This Row],[Date]])</f>
        <v>2024</v>
      </c>
      <c r="E585" s="1">
        <v>0.66666666666666663</v>
      </c>
      <c r="F585" s="2" t="str">
        <f>IF(AND(AllData[[#This Row],[Time]]&lt;0.5, AllData[[#This Row],[Time]]&gt;0.17)=TRUE, "Morning", IF(AND(AllData[[#This Row],[Time]]&lt;0.75, AllData[[#This Row],[Time]]&gt;=0.5)=TRUE, "Afternoon", IF(AND(AllData[[#This Row],[Time]]&lt;1, AllData[[#This Row],[Time]]&gt;=0.75)=TRUE, "Evening", "Night")))</f>
        <v>Afternoon</v>
      </c>
      <c r="G585" t="str">
        <f>_xlfn.XLOOKUP(AllData[[#This Row],[Location Name]], Locations[Location Name],Locations[Group As])</f>
        <v>The Ford, Langley</v>
      </c>
      <c r="H585" t="e" vm="2">
        <f>_xlfn.XLOOKUP(AllData[[#This Row],[Site Name]],LocationsKey[Site Name],LocationsKey[District])</f>
        <v>#VALUE!</v>
      </c>
      <c r="I585" t="str">
        <f>_xlfn.XLOOKUP(AllData[[#This Row],[Site Name]],LocationsKey[Site Name],LocationsKey[Town])</f>
        <v>Langley</v>
      </c>
      <c r="J585" t="str">
        <f>_xlfn.XLOOKUP(AllData[[#This Row],[Site Name]],LocationsKey[Site Name], LocationsKey[Waterway])</f>
        <v>Langley Ford</v>
      </c>
      <c r="K585" t="s">
        <v>557</v>
      </c>
      <c r="L585">
        <v>52.259639</v>
      </c>
      <c r="M585">
        <v>-1.7181999999999999</v>
      </c>
      <c r="N585" t="s">
        <v>29</v>
      </c>
      <c r="O585">
        <v>634</v>
      </c>
      <c r="P585">
        <v>9.6</v>
      </c>
      <c r="Q585">
        <v>2</v>
      </c>
      <c r="R585" s="7" t="str">
        <f>IF(AllData[[#This Row],[Nitrate (PPM)]]&gt;2, "Very high", IF(AllData[[#This Row],[Nitrate (PPM)]]&gt;1, "High", IF(AllData[[#This Row],[Nitrate (PPM)]]&gt;0.5, "Some evidence", IF(AllData[[#This Row],[Nitrate (PPM)]]&gt;=0, "No evidence"))))</f>
        <v>High</v>
      </c>
      <c r="S585" s="4">
        <v>0.68</v>
      </c>
      <c r="T585" s="7" t="str">
        <f>IF(AllData[[#This Row],[Phosphate (PPM)]]&gt;0.5, "Very high", IF(AllData[[#This Row],[Phosphate (PPM)]]&gt;0.1, "High", IF(AllData[[#This Row],[Phosphate (PPM)]]&gt;0.05, "Some evidence", IF(AllData[[#This Row],[Phosphate (PPM)]]&lt;=0.05, "No Evidence", ""))))</f>
        <v>Very high</v>
      </c>
      <c r="U585">
        <v>0.45</v>
      </c>
    </row>
    <row r="586" spans="1:22" x14ac:dyDescent="0.25">
      <c r="A586" t="s">
        <v>871</v>
      </c>
      <c r="B586" s="2">
        <v>45375</v>
      </c>
      <c r="C586" s="2" t="str" cm="1">
        <f t="array" ref="C5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6">
        <f>YEAR(AllData[[#This Row],[Date]])</f>
        <v>2024</v>
      </c>
      <c r="E586" s="1">
        <v>0.75486111111111109</v>
      </c>
      <c r="F586" s="2" t="str">
        <f>IF(AND(AllData[[#This Row],[Time]]&lt;0.5, AllData[[#This Row],[Time]]&gt;0.17)=TRUE, "Morning", IF(AND(AllData[[#This Row],[Time]]&lt;0.75, AllData[[#This Row],[Time]]&gt;=0.5)=TRUE, "Afternoon", IF(AND(AllData[[#This Row],[Time]]&lt;1, AllData[[#This Row],[Time]]&gt;=0.75)=TRUE, "Evening", "Night")))</f>
        <v>Evening</v>
      </c>
      <c r="G586" t="str">
        <f>_xlfn.XLOOKUP(AllData[[#This Row],[Location Name]], Locations[Location Name],Locations[Group As])</f>
        <v>Walcot Lane, Bow Brook Ford</v>
      </c>
      <c r="H586" t="e" vm="17">
        <f>_xlfn.XLOOKUP(AllData[[#This Row],[Site Name]],LocationsKey[Site Name],LocationsKey[District])</f>
        <v>#VALUE!</v>
      </c>
      <c r="I586" t="e" vm="18">
        <f>_xlfn.XLOOKUP(AllData[[#This Row],[Site Name]],LocationsKey[Site Name],LocationsKey[Town])</f>
        <v>#VALUE!</v>
      </c>
      <c r="J586" t="str">
        <f>_xlfn.XLOOKUP(AllData[[#This Row],[Site Name]],LocationsKey[Site Name], LocationsKey[Waterway])</f>
        <v>Bow Brook</v>
      </c>
      <c r="K586" t="s">
        <v>872</v>
      </c>
      <c r="L586">
        <v>52.130540000000003</v>
      </c>
      <c r="M586">
        <v>-2.0785439999999999</v>
      </c>
      <c r="N586" t="s">
        <v>23</v>
      </c>
      <c r="O586">
        <v>933</v>
      </c>
      <c r="P586">
        <v>10.3</v>
      </c>
      <c r="Q586">
        <v>5</v>
      </c>
      <c r="R586" s="7" t="str">
        <f>IF(AllData[[#This Row],[Nitrate (PPM)]]&gt;2, "Very high", IF(AllData[[#This Row],[Nitrate (PPM)]]&gt;1, "High", IF(AllData[[#This Row],[Nitrate (PPM)]]&gt;0.5, "Some evidence", IF(AllData[[#This Row],[Nitrate (PPM)]]&gt;=0, "No evidence"))))</f>
        <v>Very high</v>
      </c>
      <c r="S586" s="4">
        <v>0.9</v>
      </c>
      <c r="T586" s="7" t="str">
        <f>IF(AllData[[#This Row],[Phosphate (PPM)]]&gt;0.5, "Very high", IF(AllData[[#This Row],[Phosphate (PPM)]]&gt;0.1, "High", IF(AllData[[#This Row],[Phosphate (PPM)]]&gt;0.05, "Some evidence", IF(AllData[[#This Row],[Phosphate (PPM)]]&lt;=0.05, "No Evidence", ""))))</f>
        <v>Very high</v>
      </c>
      <c r="U586">
        <v>0.5</v>
      </c>
      <c r="V586" t="s">
        <v>873</v>
      </c>
    </row>
    <row r="587" spans="1:22" x14ac:dyDescent="0.25">
      <c r="A587" t="s">
        <v>1761</v>
      </c>
      <c r="B587" s="2">
        <v>45375</v>
      </c>
      <c r="C587" s="2" t="str" cm="1">
        <f t="array" ref="C5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7">
        <f>YEAR(AllData[[#This Row],[Date]])</f>
        <v>2024</v>
      </c>
      <c r="F587" s="2" t="str">
        <f>IF(AND(AllData[[#This Row],[Time]]&lt;0.5, AllData[[#This Row],[Time]]&gt;0.17)=TRUE, "Morning", IF(AND(AllData[[#This Row],[Time]]&lt;0.75, AllData[[#This Row],[Time]]&gt;=0.5)=TRUE, "Afternoon", IF(AND(AllData[[#This Row],[Time]]&lt;1, AllData[[#This Row],[Time]]&gt;=0.75)=TRUE, "Evening", "Night")))</f>
        <v>Night</v>
      </c>
      <c r="G587" t="str">
        <f>_xlfn.XLOOKUP(AllData[[#This Row],[Location Name]], Locations[Location Name],Locations[Group As])</f>
        <v>Site 1  :  Middle Street</v>
      </c>
      <c r="H587" t="e" vm="2">
        <f>_xlfn.XLOOKUP(AllData[[#This Row],[Site Name]],LocationsKey[Site Name],LocationsKey[District])</f>
        <v>#VALUE!</v>
      </c>
      <c r="I587" t="e" vm="11">
        <f>_xlfn.XLOOKUP(AllData[[#This Row],[Site Name]],LocationsKey[Site Name],LocationsKey[Town])</f>
        <v>#VALUE!</v>
      </c>
      <c r="J587" t="str">
        <f>_xlfn.XLOOKUP(AllData[[#This Row],[Site Name]],LocationsKey[Site Name], LocationsKey[Waterway])</f>
        <v>Fosseway Brook</v>
      </c>
      <c r="K587" t="s">
        <v>1859</v>
      </c>
      <c r="L587">
        <v>52.090085000000002</v>
      </c>
      <c r="M587">
        <v>-1.692593</v>
      </c>
      <c r="N587" t="s">
        <v>66</v>
      </c>
      <c r="O587">
        <v>588</v>
      </c>
      <c r="P587">
        <v>12.1</v>
      </c>
      <c r="Q587">
        <v>2</v>
      </c>
      <c r="R587" s="7" t="str">
        <f>IF(AllData[[#This Row],[Nitrate (PPM)]]&gt;2, "Very high", IF(AllData[[#This Row],[Nitrate (PPM)]]&gt;1, "High", IF(AllData[[#This Row],[Nitrate (PPM)]]&gt;0.5, "Some evidence", IF(AllData[[#This Row],[Nitrate (PPM)]]&gt;=0, "No evidence"))))</f>
        <v>High</v>
      </c>
      <c r="S587" s="4">
        <v>0</v>
      </c>
      <c r="T587" s="7" t="str">
        <f>IF(AllData[[#This Row],[Phosphate (PPM)]]&gt;0.5, "Very high", IF(AllData[[#This Row],[Phosphate (PPM)]]&gt;0.1, "High", IF(AllData[[#This Row],[Phosphate (PPM)]]&gt;0.05, "Some evidence", IF(AllData[[#This Row],[Phosphate (PPM)]]&lt;=0.05, "No Evidence", ""))))</f>
        <v>No Evidence</v>
      </c>
      <c r="U587">
        <v>0</v>
      </c>
      <c r="V587" t="s">
        <v>1905</v>
      </c>
    </row>
    <row r="588" spans="1:22" x14ac:dyDescent="0.25">
      <c r="A588" t="s">
        <v>1437</v>
      </c>
      <c r="B588" s="2">
        <v>45375</v>
      </c>
      <c r="C588" s="2" t="str" cm="1">
        <f t="array" ref="C5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8">
        <f>YEAR(AllData[[#This Row],[Date]])</f>
        <v>2024</v>
      </c>
      <c r="E588" s="1"/>
      <c r="F588" s="2" t="str">
        <f>IF(AND(AllData[[#This Row],[Time]]&lt;0.5, AllData[[#This Row],[Time]]&gt;0.17)=TRUE, "Morning", IF(AND(AllData[[#This Row],[Time]]&lt;0.75, AllData[[#This Row],[Time]]&gt;=0.5)=TRUE, "Afternoon", IF(AND(AllData[[#This Row],[Time]]&lt;1, AllData[[#This Row],[Time]]&gt;=0.75)=TRUE, "Evening", "Night")))</f>
        <v>Night</v>
      </c>
      <c r="G588" t="str">
        <f>_xlfn.XLOOKUP(AllData[[#This Row],[Location Name]], Locations[Location Name],Locations[Group As])</f>
        <v>Site 1  :  Middle Street</v>
      </c>
      <c r="H588" t="e" vm="2">
        <f>_xlfn.XLOOKUP(AllData[[#This Row],[Site Name]],LocationsKey[Site Name],LocationsKey[District])</f>
        <v>#VALUE!</v>
      </c>
      <c r="I588" t="e" vm="11">
        <f>_xlfn.XLOOKUP(AllData[[#This Row],[Site Name]],LocationsKey[Site Name],LocationsKey[Town])</f>
        <v>#VALUE!</v>
      </c>
      <c r="J588" t="str">
        <f>_xlfn.XLOOKUP(AllData[[#This Row],[Site Name]],LocationsKey[Site Name], LocationsKey[Waterway])</f>
        <v>Fosseway Brook</v>
      </c>
      <c r="K588" t="s">
        <v>1373</v>
      </c>
      <c r="L588">
        <v>52.090085000000002</v>
      </c>
      <c r="M588">
        <v>-1.692593</v>
      </c>
      <c r="N588" t="s">
        <v>66</v>
      </c>
      <c r="O588">
        <v>588</v>
      </c>
      <c r="P588">
        <v>12.1</v>
      </c>
      <c r="Q588">
        <v>2</v>
      </c>
      <c r="R588" s="7" t="str">
        <f>IF(AllData[[#This Row],[Nitrate (PPM)]]&gt;2, "Very high", IF(AllData[[#This Row],[Nitrate (PPM)]]&gt;1, "High", IF(AllData[[#This Row],[Nitrate (PPM)]]&gt;0.5, "Some evidence", IF(AllData[[#This Row],[Nitrate (PPM)]]&gt;=0, "No evidence"))))</f>
        <v>High</v>
      </c>
      <c r="S588" s="4">
        <v>0</v>
      </c>
      <c r="T588" s="7" t="str">
        <f>IF(AllData[[#This Row],[Phosphate (PPM)]]&gt;0.5, "Very high", IF(AllData[[#This Row],[Phosphate (PPM)]]&gt;0.1, "High", IF(AllData[[#This Row],[Phosphate (PPM)]]&gt;0.05, "Some evidence", IF(AllData[[#This Row],[Phosphate (PPM)]]&lt;=0.05, "No Evidence", ""))))</f>
        <v>No Evidence</v>
      </c>
      <c r="V588" t="s">
        <v>1435</v>
      </c>
    </row>
    <row r="589" spans="1:22" x14ac:dyDescent="0.25">
      <c r="A589" t="s">
        <v>1762</v>
      </c>
      <c r="B589" s="2">
        <v>45375</v>
      </c>
      <c r="C589" s="2" t="str" cm="1">
        <f t="array" ref="C5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9">
        <f>YEAR(AllData[[#This Row],[Date]])</f>
        <v>2024</v>
      </c>
      <c r="F589" s="2" t="str">
        <f>IF(AND(AllData[[#This Row],[Time]]&lt;0.5, AllData[[#This Row],[Time]]&gt;0.17)=TRUE, "Morning", IF(AND(AllData[[#This Row],[Time]]&lt;0.75, AllData[[#This Row],[Time]]&gt;=0.5)=TRUE, "Afternoon", IF(AND(AllData[[#This Row],[Time]]&lt;1, AllData[[#This Row],[Time]]&gt;=0.75)=TRUE, "Evening", "Night")))</f>
        <v>Night</v>
      </c>
      <c r="G589" t="str">
        <f>_xlfn.XLOOKUP(AllData[[#This Row],[Location Name]], Locations[Location Name],Locations[Group As])</f>
        <v>Site 2  :  Cross Leys culvert</v>
      </c>
      <c r="H589" t="e" vm="2">
        <f>_xlfn.XLOOKUP(AllData[[#This Row],[Site Name]],LocationsKey[Site Name],LocationsKey[District])</f>
        <v>#VALUE!</v>
      </c>
      <c r="I589" t="e" vm="11">
        <f>_xlfn.XLOOKUP(AllData[[#This Row],[Site Name]],LocationsKey[Site Name],LocationsKey[Town])</f>
        <v>#VALUE!</v>
      </c>
      <c r="J589" t="str">
        <f>_xlfn.XLOOKUP(AllData[[#This Row],[Site Name]],LocationsKey[Site Name], LocationsKey[Waterway])</f>
        <v>Fosseway Brook</v>
      </c>
      <c r="K589" t="s">
        <v>1860</v>
      </c>
      <c r="L589">
        <v>52.092967999999999</v>
      </c>
      <c r="M589">
        <v>-1.6862710000000001</v>
      </c>
      <c r="N589" t="s">
        <v>66</v>
      </c>
      <c r="O589">
        <v>666</v>
      </c>
      <c r="P589">
        <v>11.5</v>
      </c>
      <c r="Q589">
        <v>5</v>
      </c>
      <c r="R589" s="7" t="str">
        <f>IF(AllData[[#This Row],[Nitrate (PPM)]]&gt;2, "Very high", IF(AllData[[#This Row],[Nitrate (PPM)]]&gt;1, "High", IF(AllData[[#This Row],[Nitrate (PPM)]]&gt;0.5, "Some evidence", IF(AllData[[#This Row],[Nitrate (PPM)]]&gt;=0, "No evidence"))))</f>
        <v>Very high</v>
      </c>
      <c r="S589" s="4">
        <v>0.13</v>
      </c>
      <c r="T589" s="7" t="str">
        <f>IF(AllData[[#This Row],[Phosphate (PPM)]]&gt;0.5, "Very high", IF(AllData[[#This Row],[Phosphate (PPM)]]&gt;0.1, "High", IF(AllData[[#This Row],[Phosphate (PPM)]]&gt;0.05, "Some evidence", IF(AllData[[#This Row],[Phosphate (PPM)]]&lt;=0.05, "No Evidence", ""))))</f>
        <v>High</v>
      </c>
      <c r="U589">
        <v>0</v>
      </c>
      <c r="V589" t="s">
        <v>1905</v>
      </c>
    </row>
    <row r="590" spans="1:22" x14ac:dyDescent="0.25">
      <c r="A590" t="s">
        <v>1436</v>
      </c>
      <c r="B590" s="2">
        <v>45375</v>
      </c>
      <c r="C590" s="2" t="str" cm="1">
        <f t="array" ref="C5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0">
        <f>YEAR(AllData[[#This Row],[Date]])</f>
        <v>2024</v>
      </c>
      <c r="E590" s="1"/>
      <c r="F590" s="2" t="str">
        <f>IF(AND(AllData[[#This Row],[Time]]&lt;0.5, AllData[[#This Row],[Time]]&gt;0.17)=TRUE, "Morning", IF(AND(AllData[[#This Row],[Time]]&lt;0.75, AllData[[#This Row],[Time]]&gt;=0.5)=TRUE, "Afternoon", IF(AND(AllData[[#This Row],[Time]]&lt;1, AllData[[#This Row],[Time]]&gt;=0.75)=TRUE, "Evening", "Night")))</f>
        <v>Night</v>
      </c>
      <c r="G590" t="str">
        <f>_xlfn.XLOOKUP(AllData[[#This Row],[Location Name]], Locations[Location Name],Locations[Group As])</f>
        <v>Site 2  :  Cross Leys culvert</v>
      </c>
      <c r="H590" t="e" vm="2">
        <f>_xlfn.XLOOKUP(AllData[[#This Row],[Site Name]],LocationsKey[Site Name],LocationsKey[District])</f>
        <v>#VALUE!</v>
      </c>
      <c r="I590" t="e" vm="11">
        <f>_xlfn.XLOOKUP(AllData[[#This Row],[Site Name]],LocationsKey[Site Name],LocationsKey[Town])</f>
        <v>#VALUE!</v>
      </c>
      <c r="J590" t="str">
        <f>_xlfn.XLOOKUP(AllData[[#This Row],[Site Name]],LocationsKey[Site Name], LocationsKey[Waterway])</f>
        <v>Fosseway Brook</v>
      </c>
      <c r="K590" t="s">
        <v>1371</v>
      </c>
      <c r="L590">
        <v>52.092967999999999</v>
      </c>
      <c r="M590">
        <v>-1.6862710000000001</v>
      </c>
      <c r="N590" t="s">
        <v>66</v>
      </c>
      <c r="O590">
        <v>666</v>
      </c>
      <c r="P590">
        <v>11.5</v>
      </c>
      <c r="Q590">
        <v>5</v>
      </c>
      <c r="R590" s="7" t="str">
        <f>IF(AllData[[#This Row],[Nitrate (PPM)]]&gt;2, "Very high", IF(AllData[[#This Row],[Nitrate (PPM)]]&gt;1, "High", IF(AllData[[#This Row],[Nitrate (PPM)]]&gt;0.5, "Some evidence", IF(AllData[[#This Row],[Nitrate (PPM)]]&gt;=0, "No evidence"))))</f>
        <v>Very high</v>
      </c>
      <c r="S590" s="4">
        <v>0.13</v>
      </c>
      <c r="T590" s="7" t="str">
        <f>IF(AllData[[#This Row],[Phosphate (PPM)]]&gt;0.5, "Very high", IF(AllData[[#This Row],[Phosphate (PPM)]]&gt;0.1, "High", IF(AllData[[#This Row],[Phosphate (PPM)]]&gt;0.05, "Some evidence", IF(AllData[[#This Row],[Phosphate (PPM)]]&lt;=0.05, "No Evidence", ""))))</f>
        <v>High</v>
      </c>
      <c r="V590" t="s">
        <v>1435</v>
      </c>
    </row>
    <row r="591" spans="1:22" x14ac:dyDescent="0.25">
      <c r="A591" t="s">
        <v>1763</v>
      </c>
      <c r="B591" s="2">
        <v>45375</v>
      </c>
      <c r="C591" s="2" t="str" cm="1">
        <f t="array" ref="C5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1">
        <f>YEAR(AllData[[#This Row],[Date]])</f>
        <v>2024</v>
      </c>
      <c r="F591" s="2" t="str">
        <f>IF(AND(AllData[[#This Row],[Time]]&lt;0.5, AllData[[#This Row],[Time]]&gt;0.17)=TRUE, "Morning", IF(AND(AllData[[#This Row],[Time]]&lt;0.75, AllData[[#This Row],[Time]]&gt;=0.5)=TRUE, "Afternoon", IF(AND(AllData[[#This Row],[Time]]&lt;1, AllData[[#This Row],[Time]]&gt;=0.75)=TRUE, "Evening", "Night")))</f>
        <v>Night</v>
      </c>
      <c r="G591" t="str">
        <f>_xlfn.XLOOKUP(AllData[[#This Row],[Location Name]], Locations[Location Name],Locations[Group As])</f>
        <v>Site 3  :  Severn Trent Water processing plant outflow</v>
      </c>
      <c r="H591" t="e" vm="2">
        <f>_xlfn.XLOOKUP(AllData[[#This Row],[Site Name]],LocationsKey[Site Name],LocationsKey[District])</f>
        <v>#VALUE!</v>
      </c>
      <c r="I591" t="e" vm="11">
        <f>_xlfn.XLOOKUP(AllData[[#This Row],[Site Name]],LocationsKey[Site Name],LocationsKey[Town])</f>
        <v>#VALUE!</v>
      </c>
      <c r="J591" t="str">
        <f>_xlfn.XLOOKUP(AllData[[#This Row],[Site Name]],LocationsKey[Site Name], LocationsKey[Waterway])</f>
        <v>Fosseway Brook</v>
      </c>
      <c r="K591" t="s">
        <v>1861</v>
      </c>
      <c r="L591">
        <v>52.094423999999997</v>
      </c>
      <c r="M591">
        <v>-1.6759090000000001</v>
      </c>
      <c r="N591" t="s">
        <v>29</v>
      </c>
      <c r="O591">
        <v>866</v>
      </c>
      <c r="P591">
        <v>13.3</v>
      </c>
      <c r="Q591">
        <v>10</v>
      </c>
      <c r="R591" s="7" t="str">
        <f>IF(AllData[[#This Row],[Nitrate (PPM)]]&gt;2, "Very high", IF(AllData[[#This Row],[Nitrate (PPM)]]&gt;1, "High", IF(AllData[[#This Row],[Nitrate (PPM)]]&gt;0.5, "Some evidence", IF(AllData[[#This Row],[Nitrate (PPM)]]&gt;=0, "No evidence"))))</f>
        <v>Very high</v>
      </c>
      <c r="S591" s="4">
        <v>2.5</v>
      </c>
      <c r="T591" s="7" t="str">
        <f>IF(AllData[[#This Row],[Phosphate (PPM)]]&gt;0.5, "Very high", IF(AllData[[#This Row],[Phosphate (PPM)]]&gt;0.1, "High", IF(AllData[[#This Row],[Phosphate (PPM)]]&gt;0.05, "Some evidence", IF(AllData[[#This Row],[Phosphate (PPM)]]&lt;=0.05, "No Evidence", ""))))</f>
        <v>Very high</v>
      </c>
      <c r="U591">
        <v>0</v>
      </c>
      <c r="V591" t="s">
        <v>1907</v>
      </c>
    </row>
    <row r="592" spans="1:22" x14ac:dyDescent="0.25">
      <c r="A592" t="s">
        <v>1434</v>
      </c>
      <c r="B592" s="2">
        <v>45375</v>
      </c>
      <c r="C592" s="2" t="str" cm="1">
        <f t="array" ref="C5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2">
        <f>YEAR(AllData[[#This Row],[Date]])</f>
        <v>2024</v>
      </c>
      <c r="E592" s="1"/>
      <c r="F592" s="2" t="str">
        <f>IF(AND(AllData[[#This Row],[Time]]&lt;0.5, AllData[[#This Row],[Time]]&gt;0.17)=TRUE, "Morning", IF(AND(AllData[[#This Row],[Time]]&lt;0.75, AllData[[#This Row],[Time]]&gt;=0.5)=TRUE, "Afternoon", IF(AND(AllData[[#This Row],[Time]]&lt;1, AllData[[#This Row],[Time]]&gt;=0.75)=TRUE, "Evening", "Night")))</f>
        <v>Night</v>
      </c>
      <c r="G592" t="str">
        <f>_xlfn.XLOOKUP(AllData[[#This Row],[Location Name]], Locations[Location Name],Locations[Group As])</f>
        <v>Site 3  :  Severn Trent Water processing plant outflow</v>
      </c>
      <c r="H592" t="e" vm="2">
        <f>_xlfn.XLOOKUP(AllData[[#This Row],[Site Name]],LocationsKey[Site Name],LocationsKey[District])</f>
        <v>#VALUE!</v>
      </c>
      <c r="I592" t="e" vm="11">
        <f>_xlfn.XLOOKUP(AllData[[#This Row],[Site Name]],LocationsKey[Site Name],LocationsKey[Town])</f>
        <v>#VALUE!</v>
      </c>
      <c r="J592" t="str">
        <f>_xlfn.XLOOKUP(AllData[[#This Row],[Site Name]],LocationsKey[Site Name], LocationsKey[Waterway])</f>
        <v>Fosseway Brook</v>
      </c>
      <c r="K592" t="s">
        <v>1368</v>
      </c>
      <c r="L592">
        <v>52.094423999999997</v>
      </c>
      <c r="M592">
        <v>-1.6759090000000001</v>
      </c>
      <c r="N592" t="s">
        <v>29</v>
      </c>
      <c r="O592">
        <v>866</v>
      </c>
      <c r="P592">
        <v>13.3</v>
      </c>
      <c r="Q592">
        <v>10</v>
      </c>
      <c r="R592" s="7" t="str">
        <f>IF(AllData[[#This Row],[Nitrate (PPM)]]&gt;2, "Very high", IF(AllData[[#This Row],[Nitrate (PPM)]]&gt;1, "High", IF(AllData[[#This Row],[Nitrate (PPM)]]&gt;0.5, "Some evidence", IF(AllData[[#This Row],[Nitrate (PPM)]]&gt;=0, "No evidence"))))</f>
        <v>Very high</v>
      </c>
      <c r="S592" s="4">
        <v>2.5</v>
      </c>
      <c r="T592" s="7" t="str">
        <f>IF(AllData[[#This Row],[Phosphate (PPM)]]&gt;0.5, "Very high", IF(AllData[[#This Row],[Phosphate (PPM)]]&gt;0.1, "High", IF(AllData[[#This Row],[Phosphate (PPM)]]&gt;0.05, "Some evidence", IF(AllData[[#This Row],[Phosphate (PPM)]]&lt;=0.05, "No Evidence", ""))))</f>
        <v>Very high</v>
      </c>
      <c r="V592" t="s">
        <v>1435</v>
      </c>
    </row>
    <row r="593" spans="1:22" x14ac:dyDescent="0.25">
      <c r="A593" t="s">
        <v>875</v>
      </c>
      <c r="B593" s="2">
        <v>45376</v>
      </c>
      <c r="C593" s="2" t="str" cm="1">
        <f t="array" ref="C5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3">
        <f>YEAR(AllData[[#This Row],[Date]])</f>
        <v>2024</v>
      </c>
      <c r="E593" s="1">
        <v>0.37361111111111112</v>
      </c>
      <c r="F593" s="2" t="str">
        <f>IF(AND(AllData[[#This Row],[Time]]&lt;0.5, AllData[[#This Row],[Time]]&gt;0.17)=TRUE, "Morning", IF(AND(AllData[[#This Row],[Time]]&lt;0.75, AllData[[#This Row],[Time]]&gt;=0.5)=TRUE, "Afternoon", IF(AND(AllData[[#This Row],[Time]]&lt;1, AllData[[#This Row],[Time]]&gt;=0.75)=TRUE, "Evening", "Night")))</f>
        <v>Morning</v>
      </c>
      <c r="G593" t="str">
        <f>_xlfn.XLOOKUP(AllData[[#This Row],[Location Name]], Locations[Location Name],Locations[Group As])</f>
        <v>Stour Stretton-on-Fosse Village</v>
      </c>
      <c r="H593" t="e" vm="2">
        <f>_xlfn.XLOOKUP(AllData[[#This Row],[Site Name]],LocationsKey[Site Name],LocationsKey[District])</f>
        <v>#VALUE!</v>
      </c>
      <c r="I593" t="e" vm="14">
        <f>_xlfn.XLOOKUP(AllData[[#This Row],[Site Name]],LocationsKey[Site Name],LocationsKey[Town])</f>
        <v>#VALUE!</v>
      </c>
      <c r="J593" t="str">
        <f>_xlfn.XLOOKUP(AllData[[#This Row],[Site Name]],LocationsKey[Site Name], LocationsKey[Waterway])</f>
        <v>Stour</v>
      </c>
      <c r="K593" t="s">
        <v>544</v>
      </c>
      <c r="L593">
        <v>52.046520999999998</v>
      </c>
      <c r="M593">
        <v>-1.673325</v>
      </c>
      <c r="N593" t="s">
        <v>66</v>
      </c>
      <c r="O593">
        <v>702</v>
      </c>
      <c r="P593">
        <v>8.4</v>
      </c>
      <c r="Q593">
        <v>2</v>
      </c>
      <c r="R593" s="7" t="str">
        <f>IF(AllData[[#This Row],[Nitrate (PPM)]]&gt;2, "Very high", IF(AllData[[#This Row],[Nitrate (PPM)]]&gt;1, "High", IF(AllData[[#This Row],[Nitrate (PPM)]]&gt;0.5, "Some evidence", IF(AllData[[#This Row],[Nitrate (PPM)]]&gt;=0, "No evidence"))))</f>
        <v>High</v>
      </c>
      <c r="S593" s="4">
        <v>1.57</v>
      </c>
      <c r="T593" s="7" t="str">
        <f>IF(AllData[[#This Row],[Phosphate (PPM)]]&gt;0.5, "Very high", IF(AllData[[#This Row],[Phosphate (PPM)]]&gt;0.1, "High", IF(AllData[[#This Row],[Phosphate (PPM)]]&gt;0.05, "Some evidence", IF(AllData[[#This Row],[Phosphate (PPM)]]&lt;=0.05, "No Evidence", ""))))</f>
        <v>Very high</v>
      </c>
      <c r="U593">
        <v>0.2</v>
      </c>
    </row>
    <row r="594" spans="1:22" x14ac:dyDescent="0.25">
      <c r="A594" t="s">
        <v>876</v>
      </c>
      <c r="B594" s="2">
        <v>45376</v>
      </c>
      <c r="C594" s="2" t="str" cm="1">
        <f t="array" ref="C5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4">
        <f>YEAR(AllData[[#This Row],[Date]])</f>
        <v>2024</v>
      </c>
      <c r="E594" s="1">
        <v>0.37986111111111109</v>
      </c>
      <c r="F594" s="2" t="str">
        <f>IF(AND(AllData[[#This Row],[Time]]&lt;0.5, AllData[[#This Row],[Time]]&gt;0.17)=TRUE, "Morning", IF(AND(AllData[[#This Row],[Time]]&lt;0.75, AllData[[#This Row],[Time]]&gt;=0.5)=TRUE, "Afternoon", IF(AND(AllData[[#This Row],[Time]]&lt;1, AllData[[#This Row],[Time]]&gt;=0.75)=TRUE, "Evening", "Night")))</f>
        <v>Morning</v>
      </c>
      <c r="G594" t="str">
        <f>_xlfn.XLOOKUP(AllData[[#This Row],[Location Name]], Locations[Location Name],Locations[Group As])</f>
        <v>Stour Stretton-on-Fosse Sewage Works</v>
      </c>
      <c r="H594" t="e" vm="2">
        <f>_xlfn.XLOOKUP(AllData[[#This Row],[Site Name]],LocationsKey[Site Name],LocationsKey[District])</f>
        <v>#VALUE!</v>
      </c>
      <c r="I594" t="e" vm="14">
        <f>_xlfn.XLOOKUP(AllData[[#This Row],[Site Name]],LocationsKey[Site Name],LocationsKey[Town])</f>
        <v>#VALUE!</v>
      </c>
      <c r="J594" t="str">
        <f>_xlfn.XLOOKUP(AllData[[#This Row],[Site Name]],LocationsKey[Site Name], LocationsKey[Waterway])</f>
        <v>Stour</v>
      </c>
      <c r="K594" t="s">
        <v>335</v>
      </c>
      <c r="L594">
        <v>52.045610000000003</v>
      </c>
      <c r="M594">
        <v>-1.6719390000000001</v>
      </c>
      <c r="N594" t="s">
        <v>29</v>
      </c>
      <c r="O594">
        <v>760</v>
      </c>
      <c r="P594">
        <v>8.1</v>
      </c>
      <c r="Q594">
        <v>2</v>
      </c>
      <c r="R594" s="7" t="str">
        <f>IF(AllData[[#This Row],[Nitrate (PPM)]]&gt;2, "Very high", IF(AllData[[#This Row],[Nitrate (PPM)]]&gt;1, "High", IF(AllData[[#This Row],[Nitrate (PPM)]]&gt;0.5, "Some evidence", IF(AllData[[#This Row],[Nitrate (PPM)]]&gt;=0, "No evidence"))))</f>
        <v>High</v>
      </c>
      <c r="S594" s="4">
        <v>2.5</v>
      </c>
      <c r="T594" s="7" t="str">
        <f>IF(AllData[[#This Row],[Phosphate (PPM)]]&gt;0.5, "Very high", IF(AllData[[#This Row],[Phosphate (PPM)]]&gt;0.1, "High", IF(AllData[[#This Row],[Phosphate (PPM)]]&gt;0.05, "Some evidence", IF(AllData[[#This Row],[Phosphate (PPM)]]&lt;=0.05, "No Evidence", ""))))</f>
        <v>Very high</v>
      </c>
      <c r="U594">
        <v>0.3</v>
      </c>
      <c r="V594" t="s">
        <v>877</v>
      </c>
    </row>
    <row r="595" spans="1:22" x14ac:dyDescent="0.25">
      <c r="A595" t="s">
        <v>878</v>
      </c>
      <c r="B595" s="2">
        <v>45378</v>
      </c>
      <c r="C595" s="2" t="str" cm="1">
        <f t="array" ref="C5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5">
        <f>YEAR(AllData[[#This Row],[Date]])</f>
        <v>2024</v>
      </c>
      <c r="E595" s="1">
        <v>0.40069444444444446</v>
      </c>
      <c r="F595" s="2" t="str">
        <f>IF(AND(AllData[[#This Row],[Time]]&lt;0.5, AllData[[#This Row],[Time]]&gt;0.17)=TRUE, "Morning", IF(AND(AllData[[#This Row],[Time]]&lt;0.75, AllData[[#This Row],[Time]]&gt;=0.5)=TRUE, "Afternoon", IF(AND(AllData[[#This Row],[Time]]&lt;1, AllData[[#This Row],[Time]]&gt;=0.75)=TRUE, "Evening", "Night")))</f>
        <v>Morning</v>
      </c>
      <c r="G595" t="str">
        <f>_xlfn.XLOOKUP(AllData[[#This Row],[Location Name]], Locations[Location Name],Locations[Group As])</f>
        <v>Abbey Mill</v>
      </c>
      <c r="H595" t="e" vm="1">
        <f>_xlfn.XLOOKUP(AllData[[#This Row],[Site Name]],LocationsKey[Site Name],LocationsKey[District])</f>
        <v>#VALUE!</v>
      </c>
      <c r="I595" t="e" vm="1">
        <f>_xlfn.XLOOKUP(AllData[[#This Row],[Site Name]],LocationsKey[Site Name],LocationsKey[Town])</f>
        <v>#VALUE!</v>
      </c>
      <c r="J595" t="str">
        <f>_xlfn.XLOOKUP(AllData[[#This Row],[Site Name]],LocationsKey[Site Name], LocationsKey[Waterway])</f>
        <v>Avon</v>
      </c>
      <c r="K595" t="s">
        <v>25</v>
      </c>
      <c r="L595">
        <v>51.991314000000003</v>
      </c>
      <c r="M595">
        <v>-2.1626799999999999</v>
      </c>
      <c r="N595" t="s">
        <v>23</v>
      </c>
      <c r="O595">
        <v>810</v>
      </c>
      <c r="P595">
        <v>9.8000000000000007</v>
      </c>
      <c r="Q595">
        <v>5</v>
      </c>
      <c r="R595" s="7" t="str">
        <f>IF(AllData[[#This Row],[Nitrate (PPM)]]&gt;2, "Very high", IF(AllData[[#This Row],[Nitrate (PPM)]]&gt;1, "High", IF(AllData[[#This Row],[Nitrate (PPM)]]&gt;0.5, "Some evidence", IF(AllData[[#This Row],[Nitrate (PPM)]]&gt;=0, "No evidence"))))</f>
        <v>Very high</v>
      </c>
      <c r="S595" s="4">
        <v>0.98</v>
      </c>
      <c r="T595" s="7" t="str">
        <f>IF(AllData[[#This Row],[Phosphate (PPM)]]&gt;0.5, "Very high", IF(AllData[[#This Row],[Phosphate (PPM)]]&gt;0.1, "High", IF(AllData[[#This Row],[Phosphate (PPM)]]&gt;0.05, "Some evidence", IF(AllData[[#This Row],[Phosphate (PPM)]]&lt;=0.05, "No Evidence", ""))))</f>
        <v>Very high</v>
      </c>
      <c r="U595">
        <v>0.7</v>
      </c>
      <c r="V595" t="s">
        <v>879</v>
      </c>
    </row>
    <row r="596" spans="1:22" x14ac:dyDescent="0.25">
      <c r="A596" t="s">
        <v>880</v>
      </c>
      <c r="B596" s="2">
        <v>45378</v>
      </c>
      <c r="C596" s="2" t="str" cm="1">
        <f t="array" ref="C5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6">
        <f>YEAR(AllData[[#This Row],[Date]])</f>
        <v>2024</v>
      </c>
      <c r="E596" s="1">
        <v>0.57708333333333328</v>
      </c>
      <c r="F596" s="2" t="str">
        <f>IF(AND(AllData[[#This Row],[Time]]&lt;0.5, AllData[[#This Row],[Time]]&gt;0.17)=TRUE, "Morning", IF(AND(AllData[[#This Row],[Time]]&lt;0.75, AllData[[#This Row],[Time]]&gt;=0.5)=TRUE, "Afternoon", IF(AND(AllData[[#This Row],[Time]]&lt;1, AllData[[#This Row],[Time]]&gt;=0.75)=TRUE, "Evening", "Night")))</f>
        <v>Afternoon</v>
      </c>
      <c r="G596" t="str">
        <f>_xlfn.XLOOKUP(AllData[[#This Row],[Location Name]], Locations[Location Name],Locations[Group As])</f>
        <v>Swiffen Bank</v>
      </c>
      <c r="H596" t="e" vm="2">
        <f>_xlfn.XLOOKUP(AllData[[#This Row],[Site Name]],LocationsKey[Site Name],LocationsKey[District])</f>
        <v>#VALUE!</v>
      </c>
      <c r="I596" t="e" vm="13">
        <f>_xlfn.XLOOKUP(AllData[[#This Row],[Site Name]],LocationsKey[Site Name],LocationsKey[Town])</f>
        <v>#VALUE!</v>
      </c>
      <c r="J596" t="str">
        <f>_xlfn.XLOOKUP(AllData[[#This Row],[Site Name]],LocationsKey[Site Name], LocationsKey[Waterway])</f>
        <v>Avon</v>
      </c>
      <c r="K596" t="s">
        <v>284</v>
      </c>
      <c r="N596" t="s">
        <v>29</v>
      </c>
      <c r="O596" s="219">
        <v>542</v>
      </c>
      <c r="P596">
        <v>12.1</v>
      </c>
      <c r="Q596" s="219">
        <v>5</v>
      </c>
      <c r="R596" s="7" t="str">
        <f>IF(AllData[[#This Row],[Nitrate (PPM)]]&gt;2, "Very high", IF(AllData[[#This Row],[Nitrate (PPM)]]&gt;1, "High", IF(AllData[[#This Row],[Nitrate (PPM)]]&gt;0.5, "Some evidence", IF(AllData[[#This Row],[Nitrate (PPM)]]&gt;=0, "No evidence"))))</f>
        <v>Very high</v>
      </c>
      <c r="S596" s="221">
        <v>0.74</v>
      </c>
      <c r="T596" s="7" t="str">
        <f>IF(AllData[[#This Row],[Phosphate (PPM)]]&gt;0.5, "Very high", IF(AllData[[#This Row],[Phosphate (PPM)]]&gt;0.1, "High", IF(AllData[[#This Row],[Phosphate (PPM)]]&gt;0.05, "Some evidence", IF(AllData[[#This Row],[Phosphate (PPM)]]&lt;=0.05, "No Evidence", ""))))</f>
        <v>Very high</v>
      </c>
      <c r="U596">
        <v>1.75</v>
      </c>
      <c r="V596" t="s">
        <v>881</v>
      </c>
    </row>
    <row r="597" spans="1:22" x14ac:dyDescent="0.25">
      <c r="A597" t="s">
        <v>882</v>
      </c>
      <c r="B597" s="2">
        <v>45378</v>
      </c>
      <c r="C597" s="2" t="str" cm="1">
        <f t="array" ref="C5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7">
        <f>YEAR(AllData[[#This Row],[Date]])</f>
        <v>2024</v>
      </c>
      <c r="E597" s="1">
        <v>0.59375</v>
      </c>
      <c r="F597" s="2" t="str">
        <f>IF(AND(AllData[[#This Row],[Time]]&lt;0.5, AllData[[#This Row],[Time]]&gt;0.17)=TRUE, "Morning", IF(AND(AllData[[#This Row],[Time]]&lt;0.75, AllData[[#This Row],[Time]]&gt;=0.5)=TRUE, "Afternoon", IF(AND(AllData[[#This Row],[Time]]&lt;1, AllData[[#This Row],[Time]]&gt;=0.75)=TRUE, "Evening", "Night")))</f>
        <v>Afternoon</v>
      </c>
      <c r="G597" t="str">
        <f>_xlfn.XLOOKUP(AllData[[#This Row],[Location Name]], Locations[Location Name],Locations[Group As])</f>
        <v>Alveston Weir</v>
      </c>
      <c r="H597" t="e" vm="2">
        <f>_xlfn.XLOOKUP(AllData[[#This Row],[Site Name]],LocationsKey[Site Name],LocationsKey[District])</f>
        <v>#VALUE!</v>
      </c>
      <c r="I597" t="e" vm="13">
        <f>_xlfn.XLOOKUP(AllData[[#This Row],[Site Name]],LocationsKey[Site Name],LocationsKey[Town])</f>
        <v>#VALUE!</v>
      </c>
      <c r="J597" t="str">
        <f>_xlfn.XLOOKUP(AllData[[#This Row],[Site Name]],LocationsKey[Site Name], LocationsKey[Waterway])</f>
        <v>Avon</v>
      </c>
      <c r="K597" t="s">
        <v>286</v>
      </c>
      <c r="L597">
        <v>52.212288999999998</v>
      </c>
      <c r="M597">
        <v>-1.660452</v>
      </c>
      <c r="N597" t="s">
        <v>29</v>
      </c>
      <c r="O597" s="219">
        <v>545</v>
      </c>
      <c r="P597">
        <v>11</v>
      </c>
      <c r="Q597" s="219">
        <v>5</v>
      </c>
      <c r="R597" s="7" t="str">
        <f>IF(AllData[[#This Row],[Nitrate (PPM)]]&gt;2, "Very high", IF(AllData[[#This Row],[Nitrate (PPM)]]&gt;1, "High", IF(AllData[[#This Row],[Nitrate (PPM)]]&gt;0.5, "Some evidence", IF(AllData[[#This Row],[Nitrate (PPM)]]&gt;=0, "No evidence"))))</f>
        <v>Very high</v>
      </c>
      <c r="S597" s="221">
        <v>0.43</v>
      </c>
      <c r="T597" s="7" t="str">
        <f>IF(AllData[[#This Row],[Phosphate (PPM)]]&gt;0.5, "Very high", IF(AllData[[#This Row],[Phosphate (PPM)]]&gt;0.1, "High", IF(AllData[[#This Row],[Phosphate (PPM)]]&gt;0.05, "Some evidence", IF(AllData[[#This Row],[Phosphate (PPM)]]&lt;=0.05, "No Evidence", ""))))</f>
        <v>High</v>
      </c>
      <c r="U597">
        <v>1.75</v>
      </c>
      <c r="V597" t="s">
        <v>883</v>
      </c>
    </row>
    <row r="598" spans="1:22" x14ac:dyDescent="0.25">
      <c r="A598" t="s">
        <v>884</v>
      </c>
      <c r="B598" s="2">
        <v>45378</v>
      </c>
      <c r="C598" s="2" t="str" cm="1">
        <f t="array" ref="C5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8">
        <f>YEAR(AllData[[#This Row],[Date]])</f>
        <v>2024</v>
      </c>
      <c r="E598" s="1">
        <v>0.625</v>
      </c>
      <c r="F598" s="2" t="str">
        <f>IF(AND(AllData[[#This Row],[Time]]&lt;0.5, AllData[[#This Row],[Time]]&gt;0.17)=TRUE, "Morning", IF(AND(AllData[[#This Row],[Time]]&lt;0.75, AllData[[#This Row],[Time]]&gt;=0.5)=TRUE, "Afternoon", IF(AND(AllData[[#This Row],[Time]]&lt;1, AllData[[#This Row],[Time]]&gt;=0.75)=TRUE, "Evening", "Night")))</f>
        <v>Afternoon</v>
      </c>
      <c r="G598" t="str">
        <f>_xlfn.XLOOKUP(AllData[[#This Row],[Location Name]], Locations[Location Name],Locations[Group As])</f>
        <v>Stour Newbold Mill</v>
      </c>
      <c r="H598" t="e" vm="2">
        <f>_xlfn.XLOOKUP(AllData[[#This Row],[Site Name]],LocationsKey[Site Name],LocationsKey[District])</f>
        <v>#VALUE!</v>
      </c>
      <c r="I598" t="e" vm="8">
        <f>_xlfn.XLOOKUP(AllData[[#This Row],[Site Name]],LocationsKey[Site Name],LocationsKey[Town])</f>
        <v>#VALUE!</v>
      </c>
      <c r="J598" t="str">
        <f>_xlfn.XLOOKUP(AllData[[#This Row],[Site Name]],LocationsKey[Site Name], LocationsKey[Waterway])</f>
        <v>Stour</v>
      </c>
      <c r="K598" t="s">
        <v>140</v>
      </c>
      <c r="L598">
        <v>52.112907999999997</v>
      </c>
      <c r="M598">
        <v>-1.6332070000000001</v>
      </c>
      <c r="N598" t="s">
        <v>66</v>
      </c>
      <c r="O598">
        <v>460</v>
      </c>
      <c r="P598">
        <v>13.1</v>
      </c>
      <c r="Q598">
        <v>2</v>
      </c>
      <c r="R598" s="7" t="str">
        <f>IF(AllData[[#This Row],[Nitrate (PPM)]]&gt;2, "Very high", IF(AllData[[#This Row],[Nitrate (PPM)]]&gt;1, "High", IF(AllData[[#This Row],[Nitrate (PPM)]]&gt;0.5, "Some evidence", IF(AllData[[#This Row],[Nitrate (PPM)]]&gt;=0, "No evidence"))))</f>
        <v>High</v>
      </c>
      <c r="S598" s="4">
        <v>0.19</v>
      </c>
      <c r="T598" s="7" t="str">
        <f>IF(AllData[[#This Row],[Phosphate (PPM)]]&gt;0.5, "Very high", IF(AllData[[#This Row],[Phosphate (PPM)]]&gt;0.1, "High", IF(AllData[[#This Row],[Phosphate (PPM)]]&gt;0.05, "Some evidence", IF(AllData[[#This Row],[Phosphate (PPM)]]&lt;=0.05, "No Evidence", ""))))</f>
        <v>High</v>
      </c>
      <c r="U598">
        <v>3.5</v>
      </c>
      <c r="V598" t="s">
        <v>840</v>
      </c>
    </row>
    <row r="599" spans="1:22" x14ac:dyDescent="0.25">
      <c r="A599" t="s">
        <v>885</v>
      </c>
      <c r="B599" s="2">
        <v>45379</v>
      </c>
      <c r="C599" s="2" t="str" cm="1">
        <f t="array" ref="C5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9">
        <f>YEAR(AllData[[#This Row],[Date]])</f>
        <v>2024</v>
      </c>
      <c r="E599" s="1">
        <v>0.44722222222222224</v>
      </c>
      <c r="F599" s="2" t="str">
        <f>IF(AND(AllData[[#This Row],[Time]]&lt;0.5, AllData[[#This Row],[Time]]&gt;0.17)=TRUE, "Morning", IF(AND(AllData[[#This Row],[Time]]&lt;0.75, AllData[[#This Row],[Time]]&gt;=0.5)=TRUE, "Afternoon", IF(AND(AllData[[#This Row],[Time]]&lt;1, AllData[[#This Row],[Time]]&gt;=0.75)=TRUE, "Evening", "Night")))</f>
        <v>Morning</v>
      </c>
      <c r="G599" t="str">
        <f>_xlfn.XLOOKUP(AllData[[#This Row],[Location Name]], Locations[Location Name],Locations[Group As])</f>
        <v>Stour Willington</v>
      </c>
      <c r="H599" t="e" vm="2">
        <f>_xlfn.XLOOKUP(AllData[[#This Row],[Site Name]],LocationsKey[Site Name],LocationsKey[District])</f>
        <v>#VALUE!</v>
      </c>
      <c r="I599" t="str">
        <f>_xlfn.XLOOKUP(AllData[[#This Row],[Site Name]],LocationsKey[Site Name],LocationsKey[Town])</f>
        <v>Willington</v>
      </c>
      <c r="J599" t="str">
        <f>_xlfn.XLOOKUP(AllData[[#This Row],[Site Name]],LocationsKey[Site Name], LocationsKey[Waterway])</f>
        <v>Stour</v>
      </c>
      <c r="K599" t="s">
        <v>517</v>
      </c>
      <c r="L599">
        <v>52.053576999999997</v>
      </c>
      <c r="M599">
        <v>-1.6201719999999999</v>
      </c>
      <c r="N599" t="s">
        <v>23</v>
      </c>
      <c r="O599" s="128">
        <v>353</v>
      </c>
      <c r="P599">
        <v>10.199999999999999</v>
      </c>
      <c r="Q599" s="128">
        <v>1.5</v>
      </c>
      <c r="R599" s="7" t="str">
        <f>IF(AllData[[#This Row],[Nitrate (PPM)]]&gt;2, "Very high", IF(AllData[[#This Row],[Nitrate (PPM)]]&gt;1, "High", IF(AllData[[#This Row],[Nitrate (PPM)]]&gt;0.5, "Some evidence", IF(AllData[[#This Row],[Nitrate (PPM)]]&gt;=0, "No evidence"))))</f>
        <v>High</v>
      </c>
      <c r="S599" s="134">
        <v>0.25</v>
      </c>
      <c r="T599" s="7" t="str">
        <f>IF(AllData[[#This Row],[Phosphate (PPM)]]&gt;0.5, "Very high", IF(AllData[[#This Row],[Phosphate (PPM)]]&gt;0.1, "High", IF(AllData[[#This Row],[Phosphate (PPM)]]&gt;0.05, "Some evidence", IF(AllData[[#This Row],[Phosphate (PPM)]]&lt;=0.05, "No Evidence", ""))))</f>
        <v>High</v>
      </c>
      <c r="U599">
        <v>0.5</v>
      </c>
    </row>
    <row r="600" spans="1:22" x14ac:dyDescent="0.25">
      <c r="A600" t="s">
        <v>886</v>
      </c>
      <c r="B600" s="2">
        <v>45379</v>
      </c>
      <c r="C600" s="2" t="str" cm="1">
        <f t="array" ref="C6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0">
        <f>YEAR(AllData[[#This Row],[Date]])</f>
        <v>2024</v>
      </c>
      <c r="E600" s="1">
        <v>0.44791666666666669</v>
      </c>
      <c r="F600" s="2" t="str">
        <f>IF(AND(AllData[[#This Row],[Time]]&lt;0.5, AllData[[#This Row],[Time]]&gt;0.17)=TRUE, "Morning", IF(AND(AllData[[#This Row],[Time]]&lt;0.75, AllData[[#This Row],[Time]]&gt;=0.5)=TRUE, "Afternoon", IF(AND(AllData[[#This Row],[Time]]&lt;1, AllData[[#This Row],[Time]]&gt;=0.75)=TRUE, "Evening", "Night")))</f>
        <v>Morning</v>
      </c>
      <c r="G600" t="str">
        <f>_xlfn.XLOOKUP(AllData[[#This Row],[Location Name]], Locations[Location Name],Locations[Group As])</f>
        <v>Swilgate</v>
      </c>
      <c r="H600" t="e" vm="1">
        <f>_xlfn.XLOOKUP(AllData[[#This Row],[Site Name]],LocationsKey[Site Name],LocationsKey[District])</f>
        <v>#VALUE!</v>
      </c>
      <c r="I600" t="e" vm="1">
        <f>_xlfn.XLOOKUP(AllData[[#This Row],[Site Name]],LocationsKey[Site Name],LocationsKey[Town])</f>
        <v>#VALUE!</v>
      </c>
      <c r="J600" t="str">
        <f>_xlfn.XLOOKUP(AllData[[#This Row],[Site Name]],LocationsKey[Site Name], LocationsKey[Waterway])</f>
        <v>Swilgate</v>
      </c>
      <c r="K600" t="s">
        <v>84</v>
      </c>
      <c r="N600" t="s">
        <v>23</v>
      </c>
      <c r="O600" s="128">
        <v>450</v>
      </c>
      <c r="P600">
        <v>8.8000000000000007</v>
      </c>
      <c r="Q600" s="128">
        <v>2</v>
      </c>
      <c r="R600" s="7" t="str">
        <f>IF(AllData[[#This Row],[Nitrate (PPM)]]&gt;2, "Very high", IF(AllData[[#This Row],[Nitrate (PPM)]]&gt;1, "High", IF(AllData[[#This Row],[Nitrate (PPM)]]&gt;0.5, "Some evidence", IF(AllData[[#This Row],[Nitrate (PPM)]]&gt;=0, "No evidence"))))</f>
        <v>High</v>
      </c>
      <c r="S600" s="134">
        <v>0.43</v>
      </c>
      <c r="T600" s="7" t="str">
        <f>IF(AllData[[#This Row],[Phosphate (PPM)]]&gt;0.5, "Very high", IF(AllData[[#This Row],[Phosphate (PPM)]]&gt;0.1, "High", IF(AllData[[#This Row],[Phosphate (PPM)]]&gt;0.05, "Some evidence", IF(AllData[[#This Row],[Phosphate (PPM)]]&lt;=0.05, "No Evidence", ""))))</f>
        <v>High</v>
      </c>
      <c r="U600">
        <v>1.5</v>
      </c>
    </row>
    <row r="601" spans="1:22" x14ac:dyDescent="0.25">
      <c r="A601" t="s">
        <v>887</v>
      </c>
      <c r="B601" s="2">
        <v>45381</v>
      </c>
      <c r="C601" s="2" t="str" cm="1">
        <f t="array" ref="C6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1">
        <f>YEAR(AllData[[#This Row],[Date]])</f>
        <v>2024</v>
      </c>
      <c r="E601" s="1">
        <v>0.45416666666666666</v>
      </c>
      <c r="F601" s="2" t="str">
        <f>IF(AND(AllData[[#This Row],[Time]]&lt;0.5, AllData[[#This Row],[Time]]&gt;0.17)=TRUE, "Morning", IF(AND(AllData[[#This Row],[Time]]&lt;0.75, AllData[[#This Row],[Time]]&gt;=0.5)=TRUE, "Afternoon", IF(AND(AllData[[#This Row],[Time]]&lt;1, AllData[[#This Row],[Time]]&gt;=0.75)=TRUE, "Evening", "Night")))</f>
        <v>Morning</v>
      </c>
      <c r="G601" t="str">
        <f>_xlfn.XLOOKUP(AllData[[#This Row],[Location Name]], Locations[Location Name],Locations[Group As])</f>
        <v>Avon Smiths Meadow Wyre Piddle</v>
      </c>
      <c r="H601" t="e" vm="17">
        <f>_xlfn.XLOOKUP(AllData[[#This Row],[Site Name]],LocationsKey[Site Name],LocationsKey[District])</f>
        <v>#VALUE!</v>
      </c>
      <c r="I601" t="e" vm="20">
        <f>_xlfn.XLOOKUP(AllData[[#This Row],[Site Name]],LocationsKey[Site Name],LocationsKey[Town])</f>
        <v>#VALUE!</v>
      </c>
      <c r="J601" t="str">
        <f>_xlfn.XLOOKUP(AllData[[#This Row],[Site Name]],LocationsKey[Site Name], LocationsKey[Waterway])</f>
        <v>Avon</v>
      </c>
      <c r="K601" t="s">
        <v>741</v>
      </c>
      <c r="L601">
        <v>52.124921000000001</v>
      </c>
      <c r="M601">
        <v>-2.053655</v>
      </c>
      <c r="N601" t="s">
        <v>23</v>
      </c>
      <c r="O601" s="128">
        <v>492</v>
      </c>
      <c r="P601">
        <v>10.5</v>
      </c>
      <c r="Q601" s="128">
        <v>5</v>
      </c>
      <c r="R601" s="7" t="str">
        <f>IF(AllData[[#This Row],[Nitrate (PPM)]]&gt;2, "Very high", IF(AllData[[#This Row],[Nitrate (PPM)]]&gt;1, "High", IF(AllData[[#This Row],[Nitrate (PPM)]]&gt;0.5, "Some evidence", IF(AllData[[#This Row],[Nitrate (PPM)]]&gt;=0, "No evidence"))))</f>
        <v>Very high</v>
      </c>
      <c r="S601" s="134">
        <v>0.47</v>
      </c>
      <c r="T601" s="7" t="str">
        <f>IF(AllData[[#This Row],[Phosphate (PPM)]]&gt;0.5, "Very high", IF(AllData[[#This Row],[Phosphate (PPM)]]&gt;0.1, "High", IF(AllData[[#This Row],[Phosphate (PPM)]]&gt;0.05, "Some evidence", IF(AllData[[#This Row],[Phosphate (PPM)]]&lt;=0.05, "No Evidence", ""))))</f>
        <v>High</v>
      </c>
      <c r="U601">
        <v>1.88</v>
      </c>
      <c r="V601" t="s">
        <v>888</v>
      </c>
    </row>
    <row r="602" spans="1:22" x14ac:dyDescent="0.25">
      <c r="A602" t="s">
        <v>889</v>
      </c>
      <c r="B602" s="2">
        <v>45381</v>
      </c>
      <c r="C602" s="2" t="str" cm="1">
        <f t="array" ref="C6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2">
        <f>YEAR(AllData[[#This Row],[Date]])</f>
        <v>2024</v>
      </c>
      <c r="E602" s="1">
        <v>0.50347222222222221</v>
      </c>
      <c r="F602" s="2" t="str">
        <f>IF(AND(AllData[[#This Row],[Time]]&lt;0.5, AllData[[#This Row],[Time]]&gt;0.17)=TRUE, "Morning", IF(AND(AllData[[#This Row],[Time]]&lt;0.75, AllData[[#This Row],[Time]]&gt;=0.5)=TRUE, "Afternoon", IF(AND(AllData[[#This Row],[Time]]&lt;1, AllData[[#This Row],[Time]]&gt;=0.75)=TRUE, "Evening", "Night")))</f>
        <v>Afternoon</v>
      </c>
      <c r="G602" t="str">
        <f>_xlfn.XLOOKUP(AllData[[#This Row],[Location Name]], Locations[Location Name],Locations[Group As])</f>
        <v>Pershore Bridges</v>
      </c>
      <c r="H602" t="e" vm="17">
        <f>_xlfn.XLOOKUP(AllData[[#This Row],[Site Name]],LocationsKey[Site Name],LocationsKey[District])</f>
        <v>#VALUE!</v>
      </c>
      <c r="I602" t="e" vm="18">
        <f>_xlfn.XLOOKUP(AllData[[#This Row],[Site Name]],LocationsKey[Site Name],LocationsKey[Town])</f>
        <v>#VALUE!</v>
      </c>
      <c r="J602" t="str">
        <f>_xlfn.XLOOKUP(AllData[[#This Row],[Site Name]],LocationsKey[Site Name], LocationsKey[Waterway])</f>
        <v>Avon</v>
      </c>
      <c r="K602" t="s">
        <v>865</v>
      </c>
      <c r="L602">
        <v>52.104187000000003</v>
      </c>
      <c r="M602">
        <v>-2.0709179999999998</v>
      </c>
      <c r="O602" s="128">
        <v>520</v>
      </c>
      <c r="P602">
        <v>13.4</v>
      </c>
      <c r="Q602" s="128">
        <v>10</v>
      </c>
      <c r="R602" s="7" t="str">
        <f>IF(AllData[[#This Row],[Nitrate (PPM)]]&gt;2, "Very high", IF(AllData[[#This Row],[Nitrate (PPM)]]&gt;1, "High", IF(AllData[[#This Row],[Nitrate (PPM)]]&gt;0.5, "Some evidence", IF(AllData[[#This Row],[Nitrate (PPM)]]&gt;=0, "No evidence"))))</f>
        <v>Very high</v>
      </c>
      <c r="S602" s="134">
        <v>0.53</v>
      </c>
      <c r="T602" s="7" t="str">
        <f>IF(AllData[[#This Row],[Phosphate (PPM)]]&gt;0.5, "Very high", IF(AllData[[#This Row],[Phosphate (PPM)]]&gt;0.1, "High", IF(AllData[[#This Row],[Phosphate (PPM)]]&gt;0.05, "Some evidence", IF(AllData[[#This Row],[Phosphate (PPM)]]&lt;=0.05, "No Evidence", ""))))</f>
        <v>Very high</v>
      </c>
      <c r="U602">
        <v>3.41</v>
      </c>
    </row>
    <row r="603" spans="1:22" x14ac:dyDescent="0.25">
      <c r="A603" t="s">
        <v>890</v>
      </c>
      <c r="B603" s="2">
        <v>45381</v>
      </c>
      <c r="C603" s="2" t="str" cm="1">
        <f t="array" ref="C6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3">
        <f>YEAR(AllData[[#This Row],[Date]])</f>
        <v>2024</v>
      </c>
      <c r="E603" s="1">
        <v>0.50486111111111109</v>
      </c>
      <c r="F603" s="2" t="str">
        <f>IF(AND(AllData[[#This Row],[Time]]&lt;0.5, AllData[[#This Row],[Time]]&gt;0.17)=TRUE, "Morning", IF(AND(AllData[[#This Row],[Time]]&lt;0.75, AllData[[#This Row],[Time]]&gt;=0.5)=TRUE, "Afternoon", IF(AND(AllData[[#This Row],[Time]]&lt;1, AllData[[#This Row],[Time]]&gt;=0.75)=TRUE, "Evening", "Night")))</f>
        <v>Afternoon</v>
      </c>
      <c r="G603" t="str">
        <f>_xlfn.XLOOKUP(AllData[[#This Row],[Location Name]], Locations[Location Name],Locations[Group As])</f>
        <v>Piddle Brook Wyre Piddle Bridge</v>
      </c>
      <c r="H603" t="e" vm="17">
        <f>_xlfn.XLOOKUP(AllData[[#This Row],[Site Name]],LocationsKey[Site Name],LocationsKey[District])</f>
        <v>#VALUE!</v>
      </c>
      <c r="I603" t="e" vm="20">
        <f>_xlfn.XLOOKUP(AllData[[#This Row],[Site Name]],LocationsKey[Site Name],LocationsKey[Town])</f>
        <v>#VALUE!</v>
      </c>
      <c r="J603" t="str">
        <f>_xlfn.XLOOKUP(AllData[[#This Row],[Site Name]],LocationsKey[Site Name], LocationsKey[Waterway])</f>
        <v>Piddle Brook</v>
      </c>
      <c r="K603" t="s">
        <v>744</v>
      </c>
      <c r="L603">
        <v>52.126382999999997</v>
      </c>
      <c r="M603">
        <v>-2.0565329999999999</v>
      </c>
      <c r="N603" t="s">
        <v>23</v>
      </c>
      <c r="O603" s="128">
        <v>650</v>
      </c>
      <c r="P603">
        <v>10.8</v>
      </c>
      <c r="Q603" s="128">
        <v>4</v>
      </c>
      <c r="R603" s="7" t="str">
        <f>IF(AllData[[#This Row],[Nitrate (PPM)]]&gt;2, "Very high", IF(AllData[[#This Row],[Nitrate (PPM)]]&gt;1, "High", IF(AllData[[#This Row],[Nitrate (PPM)]]&gt;0.5, "Some evidence", IF(AllData[[#This Row],[Nitrate (PPM)]]&gt;=0, "No evidence"))))</f>
        <v>Very high</v>
      </c>
      <c r="S603" s="134">
        <v>0.37</v>
      </c>
      <c r="T603" s="7" t="str">
        <f>IF(AllData[[#This Row],[Phosphate (PPM)]]&gt;0.5, "Very high", IF(AllData[[#This Row],[Phosphate (PPM)]]&gt;0.1, "High", IF(AllData[[#This Row],[Phosphate (PPM)]]&gt;0.05, "Some evidence", IF(AllData[[#This Row],[Phosphate (PPM)]]&lt;=0.05, "No Evidence", ""))))</f>
        <v>High</v>
      </c>
      <c r="U603">
        <v>0.72</v>
      </c>
      <c r="V603" t="s">
        <v>891</v>
      </c>
    </row>
    <row r="604" spans="1:22" x14ac:dyDescent="0.25">
      <c r="A604" t="s">
        <v>892</v>
      </c>
      <c r="B604" s="2">
        <v>45381</v>
      </c>
      <c r="C604" s="2" t="str" cm="1">
        <f t="array" ref="C6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4">
        <f>YEAR(AllData[[#This Row],[Date]])</f>
        <v>2024</v>
      </c>
      <c r="E604" s="1">
        <v>0.53611111111111109</v>
      </c>
      <c r="F604" s="2" t="str">
        <f>IF(AND(AllData[[#This Row],[Time]]&lt;0.5, AllData[[#This Row],[Time]]&gt;0.17)=TRUE, "Morning", IF(AND(AllData[[#This Row],[Time]]&lt;0.75, AllData[[#This Row],[Time]]&gt;=0.5)=TRUE, "Afternoon", IF(AND(AllData[[#This Row],[Time]]&lt;1, AllData[[#This Row],[Time]]&gt;=0.75)=TRUE, "Evening", "Night")))</f>
        <v>Afternoon</v>
      </c>
      <c r="G604" t="str">
        <f>_xlfn.XLOOKUP(AllData[[#This Row],[Location Name]], Locations[Location Name],Locations[Group As])</f>
        <v>Preston-on-Stour River Bridge</v>
      </c>
      <c r="H604" t="e" vm="2">
        <f>_xlfn.XLOOKUP(AllData[[#This Row],[Site Name]],LocationsKey[Site Name],LocationsKey[District])</f>
        <v>#VALUE!</v>
      </c>
      <c r="I604" t="e" vm="9">
        <f>_xlfn.XLOOKUP(AllData[[#This Row],[Site Name]],LocationsKey[Site Name],LocationsKey[Town])</f>
        <v>#VALUE!</v>
      </c>
      <c r="J604" t="str">
        <f>_xlfn.XLOOKUP(AllData[[#This Row],[Site Name]],LocationsKey[Site Name], LocationsKey[Waterway])</f>
        <v>Stour</v>
      </c>
      <c r="K604" t="s">
        <v>163</v>
      </c>
      <c r="L604">
        <v>52.146521999999997</v>
      </c>
      <c r="M604">
        <v>-1.6998</v>
      </c>
      <c r="N604" t="s">
        <v>29</v>
      </c>
      <c r="O604" s="128">
        <v>541</v>
      </c>
      <c r="P604">
        <v>10.8</v>
      </c>
      <c r="Q604" s="128">
        <v>6</v>
      </c>
      <c r="R604" s="7" t="str">
        <f>IF(AllData[[#This Row],[Nitrate (PPM)]]&gt;2, "Very high", IF(AllData[[#This Row],[Nitrate (PPM)]]&gt;1, "High", IF(AllData[[#This Row],[Nitrate (PPM)]]&gt;0.5, "Some evidence", IF(AllData[[#This Row],[Nitrate (PPM)]]&gt;=0, "No evidence"))))</f>
        <v>Very high</v>
      </c>
      <c r="S604" s="134">
        <v>0.21</v>
      </c>
      <c r="T604" s="7" t="str">
        <f>IF(AllData[[#This Row],[Phosphate (PPM)]]&gt;0.5, "Very high", IF(AllData[[#This Row],[Phosphate (PPM)]]&gt;0.1, "High", IF(AllData[[#This Row],[Phosphate (PPM)]]&gt;0.05, "Some evidence", IF(AllData[[#This Row],[Phosphate (PPM)]]&lt;=0.05, "No Evidence", ""))))</f>
        <v>High</v>
      </c>
      <c r="U604">
        <v>2</v>
      </c>
    </row>
    <row r="605" spans="1:22" x14ac:dyDescent="0.25">
      <c r="A605" t="s">
        <v>893</v>
      </c>
      <c r="B605" s="2">
        <v>45381</v>
      </c>
      <c r="C605" s="2" t="str" cm="1">
        <f t="array" ref="C6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5">
        <f>YEAR(AllData[[#This Row],[Date]])</f>
        <v>2024</v>
      </c>
      <c r="E605" s="1">
        <v>0.65277777777777779</v>
      </c>
      <c r="F605" s="2" t="str">
        <f>IF(AND(AllData[[#This Row],[Time]]&lt;0.5, AllData[[#This Row],[Time]]&gt;0.17)=TRUE, "Morning", IF(AND(AllData[[#This Row],[Time]]&lt;0.75, AllData[[#This Row],[Time]]&gt;=0.5)=TRUE, "Afternoon", IF(AND(AllData[[#This Row],[Time]]&lt;1, AllData[[#This Row],[Time]]&gt;=0.75)=TRUE, "Evening", "Night")))</f>
        <v>Afternoon</v>
      </c>
      <c r="G605" t="str">
        <f>_xlfn.XLOOKUP(AllData[[#This Row],[Location Name]], Locations[Location Name],Locations[Group As])</f>
        <v>Stour Ascott Village</v>
      </c>
      <c r="H605" t="e" vm="2">
        <f>_xlfn.XLOOKUP(AllData[[#This Row],[Site Name]],LocationsKey[Site Name],LocationsKey[District])</f>
        <v>#VALUE!</v>
      </c>
      <c r="I605" t="e" vm="22">
        <f>_xlfn.XLOOKUP(AllData[[#This Row],[Site Name]],LocationsKey[Site Name],LocationsKey[Town])</f>
        <v>#VALUE!</v>
      </c>
      <c r="J605" t="str">
        <f>_xlfn.XLOOKUP(AllData[[#This Row],[Site Name]],LocationsKey[Site Name], LocationsKey[Waterway])</f>
        <v>Stour</v>
      </c>
      <c r="K605" t="s">
        <v>855</v>
      </c>
      <c r="N605" t="s">
        <v>66</v>
      </c>
      <c r="O605" s="128">
        <v>50.06</v>
      </c>
      <c r="P605">
        <v>13.7</v>
      </c>
      <c r="Q605" s="128">
        <v>2</v>
      </c>
      <c r="R605" s="7" t="str">
        <f>IF(AllData[[#This Row],[Nitrate (PPM)]]&gt;2, "Very high", IF(AllData[[#This Row],[Nitrate (PPM)]]&gt;1, "High", IF(AllData[[#This Row],[Nitrate (PPM)]]&gt;0.5, "Some evidence", IF(AllData[[#This Row],[Nitrate (PPM)]]&gt;=0, "No evidence"))))</f>
        <v>High</v>
      </c>
      <c r="S605" s="134">
        <v>0.73</v>
      </c>
      <c r="T605" s="7" t="str">
        <f>IF(AllData[[#This Row],[Phosphate (PPM)]]&gt;0.5, "Very high", IF(AllData[[#This Row],[Phosphate (PPM)]]&gt;0.1, "High", IF(AllData[[#This Row],[Phosphate (PPM)]]&gt;0.05, "Some evidence", IF(AllData[[#This Row],[Phosphate (PPM)]]&lt;=0.05, "No Evidence", ""))))</f>
        <v>Very high</v>
      </c>
      <c r="U605">
        <v>17</v>
      </c>
    </row>
    <row r="606" spans="1:22" x14ac:dyDescent="0.25">
      <c r="A606" t="s">
        <v>894</v>
      </c>
      <c r="B606" s="2">
        <v>45381</v>
      </c>
      <c r="C606" s="2" t="str" cm="1">
        <f t="array" ref="C6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6">
        <f>YEAR(AllData[[#This Row],[Date]])</f>
        <v>2024</v>
      </c>
      <c r="E606" s="1">
        <v>0.67708333333333337</v>
      </c>
      <c r="F606" s="2" t="str">
        <f>IF(AND(AllData[[#This Row],[Time]]&lt;0.5, AllData[[#This Row],[Time]]&gt;0.17)=TRUE, "Morning", IF(AND(AllData[[#This Row],[Time]]&lt;0.75, AllData[[#This Row],[Time]]&gt;=0.5)=TRUE, "Afternoon", IF(AND(AllData[[#This Row],[Time]]&lt;1, AllData[[#This Row],[Time]]&gt;=0.75)=TRUE, "Evening", "Night")))</f>
        <v>Afternoon</v>
      </c>
      <c r="G606" t="str">
        <f>_xlfn.XLOOKUP(AllData[[#This Row],[Location Name]], Locations[Location Name],Locations[Group As])</f>
        <v>Stour Whichford</v>
      </c>
      <c r="H606" t="e" vm="2">
        <f>_xlfn.XLOOKUP(AllData[[#This Row],[Site Name]],LocationsKey[Site Name],LocationsKey[District])</f>
        <v>#VALUE!</v>
      </c>
      <c r="I606" t="e" vm="21">
        <f>_xlfn.XLOOKUP(AllData[[#This Row],[Site Name]],LocationsKey[Site Name],LocationsKey[Town])</f>
        <v>#VALUE!</v>
      </c>
      <c r="J606" t="str">
        <f>_xlfn.XLOOKUP(AllData[[#This Row],[Site Name]],LocationsKey[Site Name], LocationsKey[Waterway])</f>
        <v>Stour</v>
      </c>
      <c r="K606" t="s">
        <v>895</v>
      </c>
      <c r="N606" t="s">
        <v>29</v>
      </c>
      <c r="O606" s="128">
        <v>53.7</v>
      </c>
      <c r="P606">
        <v>12.5</v>
      </c>
      <c r="Q606" s="128">
        <v>2</v>
      </c>
      <c r="R606" s="7" t="str">
        <f>IF(AllData[[#This Row],[Nitrate (PPM)]]&gt;2, "Very high", IF(AllData[[#This Row],[Nitrate (PPM)]]&gt;1, "High", IF(AllData[[#This Row],[Nitrate (PPM)]]&gt;0.5, "Some evidence", IF(AllData[[#This Row],[Nitrate (PPM)]]&gt;=0, "No evidence"))))</f>
        <v>High</v>
      </c>
      <c r="S606" s="134">
        <v>0.31</v>
      </c>
      <c r="T606" s="7" t="str">
        <f>IF(AllData[[#This Row],[Phosphate (PPM)]]&gt;0.5, "Very high", IF(AllData[[#This Row],[Phosphate (PPM)]]&gt;0.1, "High", IF(AllData[[#This Row],[Phosphate (PPM)]]&gt;0.05, "Some evidence", IF(AllData[[#This Row],[Phosphate (PPM)]]&lt;=0.05, "No Evidence", ""))))</f>
        <v>High</v>
      </c>
      <c r="U606">
        <v>29</v>
      </c>
    </row>
    <row r="607" spans="1:22" x14ac:dyDescent="0.25">
      <c r="A607" t="s">
        <v>896</v>
      </c>
      <c r="B607" s="2">
        <v>45382</v>
      </c>
      <c r="C607" s="2" t="str" cm="1">
        <f t="array" ref="C6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7">
        <f>YEAR(AllData[[#This Row],[Date]])</f>
        <v>2024</v>
      </c>
      <c r="E607" s="1">
        <v>5.2777777777777778E-2</v>
      </c>
      <c r="F607" s="2" t="str">
        <f>IF(AND(AllData[[#This Row],[Time]]&lt;0.5, AllData[[#This Row],[Time]]&gt;0.17)=TRUE, "Morning", IF(AND(AllData[[#This Row],[Time]]&lt;0.75, AllData[[#This Row],[Time]]&gt;=0.5)=TRUE, "Afternoon", IF(AND(AllData[[#This Row],[Time]]&lt;1, AllData[[#This Row],[Time]]&gt;=0.75)=TRUE, "Evening", "Night")))</f>
        <v>Night</v>
      </c>
      <c r="G607" t="str">
        <f>_xlfn.XLOOKUP(AllData[[#This Row],[Location Name]], Locations[Location Name],Locations[Group As])</f>
        <v>The Ford, Langley</v>
      </c>
      <c r="H607" t="e" vm="2">
        <f>_xlfn.XLOOKUP(AllData[[#This Row],[Site Name]],LocationsKey[Site Name],LocationsKey[District])</f>
        <v>#VALUE!</v>
      </c>
      <c r="I607" t="str">
        <f>_xlfn.XLOOKUP(AllData[[#This Row],[Site Name]],LocationsKey[Site Name],LocationsKey[Town])</f>
        <v>Langley</v>
      </c>
      <c r="J607" t="str">
        <f>_xlfn.XLOOKUP(AllData[[#This Row],[Site Name]],LocationsKey[Site Name], LocationsKey[Waterway])</f>
        <v>Langley Ford</v>
      </c>
      <c r="K607" t="s">
        <v>557</v>
      </c>
      <c r="L607">
        <v>52.259639</v>
      </c>
      <c r="M607">
        <v>-1.7181999999999999</v>
      </c>
      <c r="N607" t="s">
        <v>29</v>
      </c>
      <c r="O607" s="128">
        <v>522</v>
      </c>
      <c r="P607">
        <v>8.8000000000000007</v>
      </c>
      <c r="Q607" s="128">
        <v>2</v>
      </c>
      <c r="R607" s="7" t="str">
        <f>IF(AllData[[#This Row],[Nitrate (PPM)]]&gt;2, "Very high", IF(AllData[[#This Row],[Nitrate (PPM)]]&gt;1, "High", IF(AllData[[#This Row],[Nitrate (PPM)]]&gt;0.5, "Some evidence", IF(AllData[[#This Row],[Nitrate (PPM)]]&gt;=0, "No evidence"))))</f>
        <v>High</v>
      </c>
      <c r="S607" s="134">
        <v>0.6</v>
      </c>
      <c r="T607" s="7" t="str">
        <f>IF(AllData[[#This Row],[Phosphate (PPM)]]&gt;0.5, "Very high", IF(AllData[[#This Row],[Phosphate (PPM)]]&gt;0.1, "High", IF(AllData[[#This Row],[Phosphate (PPM)]]&gt;0.05, "Some evidence", IF(AllData[[#This Row],[Phosphate (PPM)]]&lt;=0.05, "No Evidence", ""))))</f>
        <v>Very high</v>
      </c>
      <c r="U607">
        <v>0.5</v>
      </c>
      <c r="V607" t="s">
        <v>897</v>
      </c>
    </row>
    <row r="608" spans="1:22" x14ac:dyDescent="0.25">
      <c r="A608" t="s">
        <v>906</v>
      </c>
      <c r="B608" s="2">
        <v>45382</v>
      </c>
      <c r="C608" s="2" t="str" cm="1">
        <f t="array" ref="C6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8">
        <f>YEAR(AllData[[#This Row],[Date]])</f>
        <v>2024</v>
      </c>
      <c r="E608" s="1">
        <v>0.4375</v>
      </c>
      <c r="F608" s="2" t="str">
        <f>IF(AND(AllData[[#This Row],[Time]]&lt;0.5, AllData[[#This Row],[Time]]&gt;0.17)=TRUE, "Morning", IF(AND(AllData[[#This Row],[Time]]&lt;0.75, AllData[[#This Row],[Time]]&gt;=0.5)=TRUE, "Afternoon", IF(AND(AllData[[#This Row],[Time]]&lt;1, AllData[[#This Row],[Time]]&gt;=0.75)=TRUE, "Evening", "Night")))</f>
        <v>Morning</v>
      </c>
      <c r="G608" t="str">
        <f>_xlfn.XLOOKUP(AllData[[#This Row],[Location Name]], Locations[Location Name],Locations[Group As])</f>
        <v>Lucy's Mill Bridge</v>
      </c>
      <c r="H608" t="e" vm="2">
        <f>_xlfn.XLOOKUP(AllData[[#This Row],[Site Name]],LocationsKey[Site Name],LocationsKey[District])</f>
        <v>#VALUE!</v>
      </c>
      <c r="I608" t="e" vm="7">
        <f>_xlfn.XLOOKUP(AllData[[#This Row],[Site Name]],LocationsKey[Site Name],LocationsKey[Town])</f>
        <v>#VALUE!</v>
      </c>
      <c r="J608" t="str">
        <f>_xlfn.XLOOKUP(AllData[[#This Row],[Site Name]],LocationsKey[Site Name], LocationsKey[Waterway])</f>
        <v>Avon</v>
      </c>
      <c r="K608" t="s">
        <v>216</v>
      </c>
      <c r="L608">
        <v>52.183698999999997</v>
      </c>
      <c r="M608">
        <v>-1.707816</v>
      </c>
      <c r="N608" t="s">
        <v>29</v>
      </c>
      <c r="O608" s="128"/>
      <c r="P608">
        <v>11</v>
      </c>
      <c r="Q608" s="128">
        <v>0</v>
      </c>
      <c r="R608" s="7" t="str">
        <f>IF(AllData[[#This Row],[Nitrate (PPM)]]&gt;2, "Very high", IF(AllData[[#This Row],[Nitrate (PPM)]]&gt;1, "High", IF(AllData[[#This Row],[Nitrate (PPM)]]&gt;0.5, "Some evidence", IF(AllData[[#This Row],[Nitrate (PPM)]]&gt;=0, "No evidence"))))</f>
        <v>No evidence</v>
      </c>
      <c r="S608" s="134">
        <v>0.28000000000000003</v>
      </c>
      <c r="T608" s="7" t="str">
        <f>IF(AllData[[#This Row],[Phosphate (PPM)]]&gt;0.5, "Very high", IF(AllData[[#This Row],[Phosphate (PPM)]]&gt;0.1, "High", IF(AllData[[#This Row],[Phosphate (PPM)]]&gt;0.05, "Some evidence", IF(AllData[[#This Row],[Phosphate (PPM)]]&lt;=0.05, "No Evidence", ""))))</f>
        <v>High</v>
      </c>
      <c r="U608">
        <v>0.7</v>
      </c>
    </row>
    <row r="609" spans="1:22" x14ac:dyDescent="0.25">
      <c r="A609" t="s">
        <v>898</v>
      </c>
      <c r="B609" s="2">
        <v>45382</v>
      </c>
      <c r="C609" s="2" t="str" cm="1">
        <f t="array" ref="C6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9">
        <f>YEAR(AllData[[#This Row],[Date]])</f>
        <v>2024</v>
      </c>
      <c r="E609" s="1">
        <v>0.44444444444444442</v>
      </c>
      <c r="F609" s="2" t="str">
        <f>IF(AND(AllData[[#This Row],[Time]]&lt;0.5, AllData[[#This Row],[Time]]&gt;0.17)=TRUE, "Morning", IF(AND(AllData[[#This Row],[Time]]&lt;0.75, AllData[[#This Row],[Time]]&gt;=0.5)=TRUE, "Afternoon", IF(AND(AllData[[#This Row],[Time]]&lt;1, AllData[[#This Row],[Time]]&gt;=0.75)=TRUE, "Evening", "Night")))</f>
        <v>Morning</v>
      </c>
      <c r="G609" t="str">
        <f>_xlfn.XLOOKUP(AllData[[#This Row],[Location Name]], Locations[Location Name],Locations[Group As])</f>
        <v>Pitch 16</v>
      </c>
      <c r="H609" t="e" vm="2">
        <f>_xlfn.XLOOKUP(AllData[[#This Row],[Site Name]],LocationsKey[Site Name],LocationsKey[District])</f>
        <v>#VALUE!</v>
      </c>
      <c r="I609" t="e" vm="7">
        <f>_xlfn.XLOOKUP(AllData[[#This Row],[Site Name]],LocationsKey[Site Name],LocationsKey[Town])</f>
        <v>#VALUE!</v>
      </c>
      <c r="J609" t="str">
        <f>_xlfn.XLOOKUP(AllData[[#This Row],[Site Name]],LocationsKey[Site Name], LocationsKey[Waterway])</f>
        <v>Avon</v>
      </c>
      <c r="K609" t="s">
        <v>69</v>
      </c>
      <c r="L609">
        <v>52.172958999999999</v>
      </c>
      <c r="M609">
        <v>-1.745298</v>
      </c>
      <c r="N609" t="s">
        <v>29</v>
      </c>
      <c r="O609" s="128">
        <v>586</v>
      </c>
      <c r="P609">
        <v>11.1</v>
      </c>
      <c r="Q609" s="128">
        <v>3</v>
      </c>
      <c r="R609" s="7" t="str">
        <f>IF(AllData[[#This Row],[Nitrate (PPM)]]&gt;2, "Very high", IF(AllData[[#This Row],[Nitrate (PPM)]]&gt;1, "High", IF(AllData[[#This Row],[Nitrate (PPM)]]&gt;0.5, "Some evidence", IF(AllData[[#This Row],[Nitrate (PPM)]]&gt;=0, "No evidence"))))</f>
        <v>Very high</v>
      </c>
      <c r="S609" s="134">
        <v>0.46</v>
      </c>
      <c r="T609" s="7" t="str">
        <f>IF(AllData[[#This Row],[Phosphate (PPM)]]&gt;0.5, "Very high", IF(AllData[[#This Row],[Phosphate (PPM)]]&gt;0.1, "High", IF(AllData[[#This Row],[Phosphate (PPM)]]&gt;0.05, "Some evidence", IF(AllData[[#This Row],[Phosphate (PPM)]]&lt;=0.05, "No Evidence", ""))))</f>
        <v>High</v>
      </c>
      <c r="U609">
        <v>0.84</v>
      </c>
      <c r="V609" t="s">
        <v>899</v>
      </c>
    </row>
    <row r="610" spans="1:22" x14ac:dyDescent="0.25">
      <c r="A610" t="s">
        <v>900</v>
      </c>
      <c r="B610" s="2">
        <v>45382</v>
      </c>
      <c r="C610" s="2" t="str" cm="1">
        <f t="array" ref="C6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0">
        <f>YEAR(AllData[[#This Row],[Date]])</f>
        <v>2024</v>
      </c>
      <c r="E610" s="1">
        <v>0.45833333333333331</v>
      </c>
      <c r="F610" s="2" t="str">
        <f>IF(AND(AllData[[#This Row],[Time]]&lt;0.5, AllData[[#This Row],[Time]]&gt;0.17)=TRUE, "Morning", IF(AND(AllData[[#This Row],[Time]]&lt;0.75, AllData[[#This Row],[Time]]&gt;=0.5)=TRUE, "Afternoon", IF(AND(AllData[[#This Row],[Time]]&lt;1, AllData[[#This Row],[Time]]&gt;=0.75)=TRUE, "Evening", "Night")))</f>
        <v>Morning</v>
      </c>
      <c r="G610" t="str">
        <f>_xlfn.XLOOKUP(AllData[[#This Row],[Location Name]], Locations[Location Name],Locations[Group As])</f>
        <v>Avonbank Drive</v>
      </c>
      <c r="H610" t="e" vm="2">
        <f>_xlfn.XLOOKUP(AllData[[#This Row],[Site Name]],LocationsKey[Site Name],LocationsKey[District])</f>
        <v>#VALUE!</v>
      </c>
      <c r="I610" t="e" vm="7">
        <f>_xlfn.XLOOKUP(AllData[[#This Row],[Site Name]],LocationsKey[Site Name],LocationsKey[Town])</f>
        <v>#VALUE!</v>
      </c>
      <c r="J610" t="str">
        <f>_xlfn.XLOOKUP(AllData[[#This Row],[Site Name]],LocationsKey[Site Name], LocationsKey[Waterway])</f>
        <v>Avon</v>
      </c>
      <c r="K610" t="s">
        <v>65</v>
      </c>
      <c r="L610">
        <v>52.177044000000002</v>
      </c>
      <c r="M610">
        <v>-1.7356940000000001</v>
      </c>
      <c r="N610" t="s">
        <v>66</v>
      </c>
      <c r="O610" s="128">
        <v>594</v>
      </c>
      <c r="P610">
        <v>10.1</v>
      </c>
      <c r="Q610" s="128">
        <v>3</v>
      </c>
      <c r="R610" s="7" t="str">
        <f>IF(AllData[[#This Row],[Nitrate (PPM)]]&gt;2, "Very high", IF(AllData[[#This Row],[Nitrate (PPM)]]&gt;1, "High", IF(AllData[[#This Row],[Nitrate (PPM)]]&gt;0.5, "Some evidence", IF(AllData[[#This Row],[Nitrate (PPM)]]&gt;=0, "No evidence"))))</f>
        <v>Very high</v>
      </c>
      <c r="S610" s="134">
        <v>0.31</v>
      </c>
      <c r="T610" s="7" t="str">
        <f>IF(AllData[[#This Row],[Phosphate (PPM)]]&gt;0.5, "Very high", IF(AllData[[#This Row],[Phosphate (PPM)]]&gt;0.1, "High", IF(AllData[[#This Row],[Phosphate (PPM)]]&gt;0.05, "Some evidence", IF(AllData[[#This Row],[Phosphate (PPM)]]&lt;=0.05, "No Evidence", ""))))</f>
        <v>High</v>
      </c>
      <c r="U610">
        <v>0.84</v>
      </c>
    </row>
    <row r="611" spans="1:22" x14ac:dyDescent="0.25">
      <c r="A611" t="s">
        <v>901</v>
      </c>
      <c r="B611" s="2">
        <v>45382</v>
      </c>
      <c r="C611" s="2" t="str" cm="1">
        <f t="array" ref="C6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1">
        <f>YEAR(AllData[[#This Row],[Date]])</f>
        <v>2024</v>
      </c>
      <c r="E611" s="1">
        <v>0.52083333333333337</v>
      </c>
      <c r="F611" s="2" t="str">
        <f>IF(AND(AllData[[#This Row],[Time]]&lt;0.5, AllData[[#This Row],[Time]]&gt;0.17)=TRUE, "Morning", IF(AND(AllData[[#This Row],[Time]]&lt;0.75, AllData[[#This Row],[Time]]&gt;=0.5)=TRUE, "Afternoon", IF(AND(AllData[[#This Row],[Time]]&lt;1, AllData[[#This Row],[Time]]&gt;=0.75)=TRUE, "Evening", "Night")))</f>
        <v>Afternoon</v>
      </c>
      <c r="G611" t="str">
        <f>_xlfn.XLOOKUP(AllData[[#This Row],[Location Name]], Locations[Location Name],Locations[Group As])</f>
        <v>Carrant Bredon Rd</v>
      </c>
      <c r="H611" t="e" vm="1">
        <f>_xlfn.XLOOKUP(AllData[[#This Row],[Site Name]],LocationsKey[Site Name],LocationsKey[District])</f>
        <v>#VALUE!</v>
      </c>
      <c r="I611" t="e" vm="1">
        <f>_xlfn.XLOOKUP(AllData[[#This Row],[Site Name]],LocationsKey[Site Name],LocationsKey[Town])</f>
        <v>#VALUE!</v>
      </c>
      <c r="J611" t="str">
        <f>_xlfn.XLOOKUP(AllData[[#This Row],[Site Name]],LocationsKey[Site Name], LocationsKey[Waterway])</f>
        <v>Carrant</v>
      </c>
      <c r="K611" t="s">
        <v>600</v>
      </c>
      <c r="L611">
        <v>51.996478000000003</v>
      </c>
      <c r="M611">
        <v>-2.155986</v>
      </c>
      <c r="N611" t="s">
        <v>23</v>
      </c>
      <c r="O611" s="128">
        <v>539</v>
      </c>
      <c r="P611">
        <v>10.6</v>
      </c>
      <c r="Q611" s="128">
        <v>4</v>
      </c>
      <c r="R611" s="7" t="str">
        <f>IF(AllData[[#This Row],[Nitrate (PPM)]]&gt;2, "Very high", IF(AllData[[#This Row],[Nitrate (PPM)]]&gt;1, "High", IF(AllData[[#This Row],[Nitrate (PPM)]]&gt;0.5, "Some evidence", IF(AllData[[#This Row],[Nitrate (PPM)]]&gt;=0, "No evidence"))))</f>
        <v>Very high</v>
      </c>
      <c r="S611" s="134">
        <v>0.45</v>
      </c>
      <c r="T611" s="7" t="str">
        <f>IF(AllData[[#This Row],[Phosphate (PPM)]]&gt;0.5, "Very high", IF(AllData[[#This Row],[Phosphate (PPM)]]&gt;0.1, "High", IF(AllData[[#This Row],[Phosphate (PPM)]]&gt;0.05, "Some evidence", IF(AllData[[#This Row],[Phosphate (PPM)]]&lt;=0.05, "No Evidence", ""))))</f>
        <v>High</v>
      </c>
      <c r="U611">
        <v>1.7</v>
      </c>
      <c r="V611" t="s">
        <v>902</v>
      </c>
    </row>
    <row r="612" spans="1:22" x14ac:dyDescent="0.25">
      <c r="A612" t="s">
        <v>903</v>
      </c>
      <c r="B612" s="2">
        <v>45382</v>
      </c>
      <c r="C612" s="2" t="str" cm="1">
        <f t="array" ref="C6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2">
        <f>YEAR(AllData[[#This Row],[Date]])</f>
        <v>2024</v>
      </c>
      <c r="E612" s="1">
        <v>0.53125</v>
      </c>
      <c r="F612" s="2" t="str">
        <f>IF(AND(AllData[[#This Row],[Time]]&lt;0.5, AllData[[#This Row],[Time]]&gt;0.17)=TRUE, "Morning", IF(AND(AllData[[#This Row],[Time]]&lt;0.75, AllData[[#This Row],[Time]]&gt;=0.5)=TRUE, "Afternoon", IF(AND(AllData[[#This Row],[Time]]&lt;1, AllData[[#This Row],[Time]]&gt;=0.75)=TRUE, "Evening", "Night")))</f>
        <v>Afternoon</v>
      </c>
      <c r="G612" t="str">
        <f>_xlfn.XLOOKUP(AllData[[#This Row],[Location Name]], Locations[Location Name],Locations[Group As])</f>
        <v>Black Bear</v>
      </c>
      <c r="H612" t="e" vm="1">
        <f>_xlfn.XLOOKUP(AllData[[#This Row],[Site Name]],LocationsKey[Site Name],LocationsKey[District])</f>
        <v>#VALUE!</v>
      </c>
      <c r="I612" t="e" vm="1">
        <f>_xlfn.XLOOKUP(AllData[[#This Row],[Site Name]],LocationsKey[Site Name],LocationsKey[Town])</f>
        <v>#VALUE!</v>
      </c>
      <c r="J612" t="str">
        <f>_xlfn.XLOOKUP(AllData[[#This Row],[Site Name]],LocationsKey[Site Name], LocationsKey[Waterway])</f>
        <v>Avon</v>
      </c>
      <c r="K612" t="s">
        <v>567</v>
      </c>
      <c r="N612" t="s">
        <v>23</v>
      </c>
      <c r="O612" s="128">
        <v>571</v>
      </c>
      <c r="P612">
        <v>10.4</v>
      </c>
      <c r="Q612" s="128">
        <v>4</v>
      </c>
      <c r="R612" s="7" t="str">
        <f>IF(AllData[[#This Row],[Nitrate (PPM)]]&gt;2, "Very high", IF(AllData[[#This Row],[Nitrate (PPM)]]&gt;1, "High", IF(AllData[[#This Row],[Nitrate (PPM)]]&gt;0.5, "Some evidence", IF(AllData[[#This Row],[Nitrate (PPM)]]&gt;=0, "No evidence"))))</f>
        <v>Very high</v>
      </c>
      <c r="S612" s="134">
        <v>0.36</v>
      </c>
      <c r="T612" s="7" t="str">
        <f>IF(AllData[[#This Row],[Phosphate (PPM)]]&gt;0.5, "Very high", IF(AllData[[#This Row],[Phosphate (PPM)]]&gt;0.1, "High", IF(AllData[[#This Row],[Phosphate (PPM)]]&gt;0.05, "Some evidence", IF(AllData[[#This Row],[Phosphate (PPM)]]&lt;=0.05, "No Evidence", ""))))</f>
        <v>High</v>
      </c>
      <c r="U612">
        <v>0</v>
      </c>
      <c r="V612" t="s">
        <v>904</v>
      </c>
    </row>
    <row r="613" spans="1:22" x14ac:dyDescent="0.25">
      <c r="A613" t="s">
        <v>905</v>
      </c>
      <c r="B613" s="2">
        <v>45382</v>
      </c>
      <c r="C613" s="2" t="str" cm="1">
        <f t="array" ref="C6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3">
        <f>YEAR(AllData[[#This Row],[Date]])</f>
        <v>2024</v>
      </c>
      <c r="E613" s="1">
        <v>0.5625</v>
      </c>
      <c r="F613" s="2" t="str">
        <f>IF(AND(AllData[[#This Row],[Time]]&lt;0.5, AllData[[#This Row],[Time]]&gt;0.17)=TRUE, "Morning", IF(AND(AllData[[#This Row],[Time]]&lt;0.75, AllData[[#This Row],[Time]]&gt;=0.5)=TRUE, "Afternoon", IF(AND(AllData[[#This Row],[Time]]&lt;1, AllData[[#This Row],[Time]]&gt;=0.75)=TRUE, "Evening", "Night")))</f>
        <v>Afternoon</v>
      </c>
      <c r="G613" t="str">
        <f>_xlfn.XLOOKUP(AllData[[#This Row],[Location Name]], Locations[Location Name],Locations[Group As])</f>
        <v>Clifford Chambers Mill Bridge</v>
      </c>
      <c r="H613" t="e" vm="2">
        <f>_xlfn.XLOOKUP(AllData[[#This Row],[Site Name]],LocationsKey[Site Name],LocationsKey[District])</f>
        <v>#VALUE!</v>
      </c>
      <c r="I613" t="e" vm="12">
        <f>_xlfn.XLOOKUP(AllData[[#This Row],[Site Name]],LocationsKey[Site Name],LocationsKey[Town])</f>
        <v>#VALUE!</v>
      </c>
      <c r="J613" t="str">
        <f>_xlfn.XLOOKUP(AllData[[#This Row],[Site Name]],LocationsKey[Site Name], LocationsKey[Waterway])</f>
        <v>Stour</v>
      </c>
      <c r="K613" t="s">
        <v>263</v>
      </c>
      <c r="L613">
        <v>52.166370000000001</v>
      </c>
      <c r="M613">
        <v>-1.708032</v>
      </c>
      <c r="N613" t="s">
        <v>66</v>
      </c>
      <c r="O613" s="128">
        <v>610</v>
      </c>
      <c r="P613">
        <v>10.1</v>
      </c>
      <c r="Q613" s="128">
        <v>10</v>
      </c>
      <c r="R613" s="7" t="str">
        <f>IF(AllData[[#This Row],[Nitrate (PPM)]]&gt;2, "Very high", IF(AllData[[#This Row],[Nitrate (PPM)]]&gt;1, "High", IF(AllData[[#This Row],[Nitrate (PPM)]]&gt;0.5, "Some evidence", IF(AllData[[#This Row],[Nitrate (PPM)]]&gt;=0, "No evidence"))))</f>
        <v>Very high</v>
      </c>
      <c r="S613" s="134">
        <v>0.28000000000000003</v>
      </c>
      <c r="T613" s="7" t="str">
        <f>IF(AllData[[#This Row],[Phosphate (PPM)]]&gt;0.5, "Very high", IF(AllData[[#This Row],[Phosphate (PPM)]]&gt;0.1, "High", IF(AllData[[#This Row],[Phosphate (PPM)]]&gt;0.05, "Some evidence", IF(AllData[[#This Row],[Phosphate (PPM)]]&lt;=0.05, "No Evidence", ""))))</f>
        <v>High</v>
      </c>
      <c r="U613">
        <v>1.25</v>
      </c>
    </row>
    <row r="614" spans="1:22" x14ac:dyDescent="0.25">
      <c r="A614" t="s">
        <v>1779</v>
      </c>
      <c r="B614" s="2">
        <v>45383</v>
      </c>
      <c r="C614" s="2" t="str" cm="1">
        <f t="array" ref="C6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4">
        <f>YEAR(AllData[[#This Row],[Date]])</f>
        <v>2024</v>
      </c>
      <c r="F614" s="2" t="str">
        <f>IF(AND(AllData[[#This Row],[Time]]&lt;0.5, AllData[[#This Row],[Time]]&gt;0.17)=TRUE, "Morning", IF(AND(AllData[[#This Row],[Time]]&lt;0.75, AllData[[#This Row],[Time]]&gt;=0.5)=TRUE, "Afternoon", IF(AND(AllData[[#This Row],[Time]]&lt;1, AllData[[#This Row],[Time]]&gt;=0.75)=TRUE, "Evening", "Night")))</f>
        <v>Night</v>
      </c>
      <c r="G614" t="str">
        <f>_xlfn.XLOOKUP(AllData[[#This Row],[Location Name]], Locations[Location Name],Locations[Group As])</f>
        <v>Site 1  :  Middle Street</v>
      </c>
      <c r="H614" t="e" vm="2">
        <f>_xlfn.XLOOKUP(AllData[[#This Row],[Site Name]],LocationsKey[Site Name],LocationsKey[District])</f>
        <v>#VALUE!</v>
      </c>
      <c r="I614" t="e" vm="11">
        <f>_xlfn.XLOOKUP(AllData[[#This Row],[Site Name]],LocationsKey[Site Name],LocationsKey[Town])</f>
        <v>#VALUE!</v>
      </c>
      <c r="J614" t="str">
        <f>_xlfn.XLOOKUP(AllData[[#This Row],[Site Name]],LocationsKey[Site Name], LocationsKey[Waterway])</f>
        <v>Fosseway Brook</v>
      </c>
      <c r="K614" t="s">
        <v>1859</v>
      </c>
      <c r="N614" t="s">
        <v>66</v>
      </c>
      <c r="O614" s="128">
        <v>525</v>
      </c>
      <c r="P614">
        <v>14.2</v>
      </c>
      <c r="Q614" s="128">
        <v>3.5</v>
      </c>
      <c r="R614" s="7" t="str">
        <f>IF(AllData[[#This Row],[Nitrate (PPM)]]&gt;2, "Very high", IF(AllData[[#This Row],[Nitrate (PPM)]]&gt;1, "High", IF(AllData[[#This Row],[Nitrate (PPM)]]&gt;0.5, "Some evidence", IF(AllData[[#This Row],[Nitrate (PPM)]]&gt;=0, "No evidence"))))</f>
        <v>Very high</v>
      </c>
      <c r="S614" s="134">
        <v>0.24</v>
      </c>
      <c r="T614" s="7" t="str">
        <f>IF(AllData[[#This Row],[Phosphate (PPM)]]&gt;0.5, "Very high", IF(AllData[[#This Row],[Phosphate (PPM)]]&gt;0.1, "High", IF(AllData[[#This Row],[Phosphate (PPM)]]&gt;0.05, "Some evidence", IF(AllData[[#This Row],[Phosphate (PPM)]]&lt;=0.05, "No Evidence", ""))))</f>
        <v>High</v>
      </c>
      <c r="U614">
        <v>0</v>
      </c>
      <c r="V614" t="s">
        <v>1909</v>
      </c>
    </row>
    <row r="615" spans="1:22" x14ac:dyDescent="0.25">
      <c r="A615" t="s">
        <v>1414</v>
      </c>
      <c r="B615" s="2">
        <v>45383</v>
      </c>
      <c r="C615" s="2" t="str" cm="1">
        <f t="array" ref="C6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5">
        <f>YEAR(AllData[[#This Row],[Date]])</f>
        <v>2024</v>
      </c>
      <c r="E615" s="1"/>
      <c r="F615" s="2" t="str">
        <f>IF(AND(AllData[[#This Row],[Time]]&lt;0.5, AllData[[#This Row],[Time]]&gt;0.17)=TRUE, "Morning", IF(AND(AllData[[#This Row],[Time]]&lt;0.75, AllData[[#This Row],[Time]]&gt;=0.5)=TRUE, "Afternoon", IF(AND(AllData[[#This Row],[Time]]&lt;1, AllData[[#This Row],[Time]]&gt;=0.75)=TRUE, "Evening", "Night")))</f>
        <v>Night</v>
      </c>
      <c r="G615" t="str">
        <f>_xlfn.XLOOKUP(AllData[[#This Row],[Location Name]], Locations[Location Name],Locations[Group As])</f>
        <v>Site 1  :  Middle Street</v>
      </c>
      <c r="H615" t="e" vm="2">
        <f>_xlfn.XLOOKUP(AllData[[#This Row],[Site Name]],LocationsKey[Site Name],LocationsKey[District])</f>
        <v>#VALUE!</v>
      </c>
      <c r="I615" t="e" vm="11">
        <f>_xlfn.XLOOKUP(AllData[[#This Row],[Site Name]],LocationsKey[Site Name],LocationsKey[Town])</f>
        <v>#VALUE!</v>
      </c>
      <c r="J615" t="str">
        <f>_xlfn.XLOOKUP(AllData[[#This Row],[Site Name]],LocationsKey[Site Name], LocationsKey[Waterway])</f>
        <v>Fosseway Brook</v>
      </c>
      <c r="K615" t="s">
        <v>1373</v>
      </c>
      <c r="N615" t="s">
        <v>66</v>
      </c>
      <c r="O615" s="128">
        <v>525</v>
      </c>
      <c r="P615">
        <v>14.2</v>
      </c>
      <c r="Q615" s="128">
        <v>3.5</v>
      </c>
      <c r="R615" s="7" t="str">
        <f>IF(AllData[[#This Row],[Nitrate (PPM)]]&gt;2, "Very high", IF(AllData[[#This Row],[Nitrate (PPM)]]&gt;1, "High", IF(AllData[[#This Row],[Nitrate (PPM)]]&gt;0.5, "Some evidence", IF(AllData[[#This Row],[Nitrate (PPM)]]&gt;=0, "No evidence"))))</f>
        <v>Very high</v>
      </c>
      <c r="S615" s="134">
        <v>0.24</v>
      </c>
      <c r="T615" s="7" t="str">
        <f>IF(AllData[[#This Row],[Phosphate (PPM)]]&gt;0.5, "Very high", IF(AllData[[#This Row],[Phosphate (PPM)]]&gt;0.1, "High", IF(AllData[[#This Row],[Phosphate (PPM)]]&gt;0.05, "Some evidence", IF(AllData[[#This Row],[Phosphate (PPM)]]&lt;=0.05, "No Evidence", ""))))</f>
        <v>High</v>
      </c>
    </row>
    <row r="616" spans="1:22" x14ac:dyDescent="0.25">
      <c r="A616" t="s">
        <v>1781</v>
      </c>
      <c r="B616" s="2">
        <v>45383</v>
      </c>
      <c r="C616" s="2" t="str" cm="1">
        <f t="array" ref="C6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6">
        <f>YEAR(AllData[[#This Row],[Date]])</f>
        <v>2024</v>
      </c>
      <c r="F616" s="2" t="str">
        <f>IF(AND(AllData[[#This Row],[Time]]&lt;0.5, AllData[[#This Row],[Time]]&gt;0.17)=TRUE, "Morning", IF(AND(AllData[[#This Row],[Time]]&lt;0.75, AllData[[#This Row],[Time]]&gt;=0.5)=TRUE, "Afternoon", IF(AND(AllData[[#This Row],[Time]]&lt;1, AllData[[#This Row],[Time]]&gt;=0.75)=TRUE, "Evening", "Night")))</f>
        <v>Night</v>
      </c>
      <c r="G616" t="str">
        <f>_xlfn.XLOOKUP(AllData[[#This Row],[Location Name]], Locations[Location Name],Locations[Group As])</f>
        <v>Site 2  :  Cross Leys culvert</v>
      </c>
      <c r="H616" t="e" vm="2">
        <f>_xlfn.XLOOKUP(AllData[[#This Row],[Site Name]],LocationsKey[Site Name],LocationsKey[District])</f>
        <v>#VALUE!</v>
      </c>
      <c r="I616" t="e" vm="11">
        <f>_xlfn.XLOOKUP(AllData[[#This Row],[Site Name]],LocationsKey[Site Name],LocationsKey[Town])</f>
        <v>#VALUE!</v>
      </c>
      <c r="J616" t="str">
        <f>_xlfn.XLOOKUP(AllData[[#This Row],[Site Name]],LocationsKey[Site Name], LocationsKey[Waterway])</f>
        <v>Fosseway Brook</v>
      </c>
      <c r="K616" t="s">
        <v>1860</v>
      </c>
      <c r="N616" t="s">
        <v>66</v>
      </c>
      <c r="O616" s="128">
        <v>580</v>
      </c>
      <c r="P616">
        <v>13.3</v>
      </c>
      <c r="Q616" s="128">
        <v>2</v>
      </c>
      <c r="R616" s="7" t="str">
        <f>IF(AllData[[#This Row],[Nitrate (PPM)]]&gt;2, "Very high", IF(AllData[[#This Row],[Nitrate (PPM)]]&gt;1, "High", IF(AllData[[#This Row],[Nitrate (PPM)]]&gt;0.5, "Some evidence", IF(AllData[[#This Row],[Nitrate (PPM)]]&gt;=0, "No evidence"))))</f>
        <v>High</v>
      </c>
      <c r="S616" s="134">
        <v>0.25</v>
      </c>
      <c r="T616" s="7" t="str">
        <f>IF(AllData[[#This Row],[Phosphate (PPM)]]&gt;0.5, "Very high", IF(AllData[[#This Row],[Phosphate (PPM)]]&gt;0.1, "High", IF(AllData[[#This Row],[Phosphate (PPM)]]&gt;0.05, "Some evidence", IF(AllData[[#This Row],[Phosphate (PPM)]]&lt;=0.05, "No Evidence", ""))))</f>
        <v>High</v>
      </c>
      <c r="U616">
        <v>0</v>
      </c>
      <c r="V616" t="s">
        <v>1917</v>
      </c>
    </row>
    <row r="617" spans="1:22" x14ac:dyDescent="0.25">
      <c r="A617" t="s">
        <v>1411</v>
      </c>
      <c r="B617" s="2">
        <v>45383</v>
      </c>
      <c r="C617" s="2" t="str" cm="1">
        <f t="array" ref="C6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7">
        <f>YEAR(AllData[[#This Row],[Date]])</f>
        <v>2024</v>
      </c>
      <c r="E617" s="1"/>
      <c r="F617" s="2" t="str">
        <f>IF(AND(AllData[[#This Row],[Time]]&lt;0.5, AllData[[#This Row],[Time]]&gt;0.17)=TRUE, "Morning", IF(AND(AllData[[#This Row],[Time]]&lt;0.75, AllData[[#This Row],[Time]]&gt;=0.5)=TRUE, "Afternoon", IF(AND(AllData[[#This Row],[Time]]&lt;1, AllData[[#This Row],[Time]]&gt;=0.75)=TRUE, "Evening", "Night")))</f>
        <v>Night</v>
      </c>
      <c r="G617" t="str">
        <f>_xlfn.XLOOKUP(AllData[[#This Row],[Location Name]], Locations[Location Name],Locations[Group As])</f>
        <v>Site 2  :  Cross Leys culvert</v>
      </c>
      <c r="H617" t="e" vm="2">
        <f>_xlfn.XLOOKUP(AllData[[#This Row],[Site Name]],LocationsKey[Site Name],LocationsKey[District])</f>
        <v>#VALUE!</v>
      </c>
      <c r="I617" t="e" vm="11">
        <f>_xlfn.XLOOKUP(AllData[[#This Row],[Site Name]],LocationsKey[Site Name],LocationsKey[Town])</f>
        <v>#VALUE!</v>
      </c>
      <c r="J617" t="str">
        <f>_xlfn.XLOOKUP(AllData[[#This Row],[Site Name]],LocationsKey[Site Name], LocationsKey[Waterway])</f>
        <v>Fosseway Brook</v>
      </c>
      <c r="K617" t="s">
        <v>1371</v>
      </c>
      <c r="N617" t="s">
        <v>66</v>
      </c>
      <c r="O617" s="128">
        <v>580</v>
      </c>
      <c r="P617">
        <v>13.3</v>
      </c>
      <c r="Q617" s="128">
        <v>2</v>
      </c>
      <c r="R617" s="7" t="str">
        <f>IF(AllData[[#This Row],[Nitrate (PPM)]]&gt;2, "Very high", IF(AllData[[#This Row],[Nitrate (PPM)]]&gt;1, "High", IF(AllData[[#This Row],[Nitrate (PPM)]]&gt;0.5, "Some evidence", IF(AllData[[#This Row],[Nitrate (PPM)]]&gt;=0, "No evidence"))))</f>
        <v>High</v>
      </c>
      <c r="S617" s="134">
        <v>0.25</v>
      </c>
      <c r="T617" s="7" t="str">
        <f>IF(AllData[[#This Row],[Phosphate (PPM)]]&gt;0.5, "Very high", IF(AllData[[#This Row],[Phosphate (PPM)]]&gt;0.1, "High", IF(AllData[[#This Row],[Phosphate (PPM)]]&gt;0.05, "Some evidence", IF(AllData[[#This Row],[Phosphate (PPM)]]&lt;=0.05, "No Evidence", ""))))</f>
        <v>High</v>
      </c>
      <c r="V617" t="s">
        <v>1412</v>
      </c>
    </row>
    <row r="618" spans="1:22" x14ac:dyDescent="0.25">
      <c r="A618" t="s">
        <v>1782</v>
      </c>
      <c r="B618" s="2">
        <v>45383</v>
      </c>
      <c r="C618" s="2" t="str" cm="1">
        <f t="array" ref="C6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8">
        <f>YEAR(AllData[[#This Row],[Date]])</f>
        <v>2024</v>
      </c>
      <c r="F618" s="2" t="str">
        <f>IF(AND(AllData[[#This Row],[Time]]&lt;0.5, AllData[[#This Row],[Time]]&gt;0.17)=TRUE, "Morning", IF(AND(AllData[[#This Row],[Time]]&lt;0.75, AllData[[#This Row],[Time]]&gt;=0.5)=TRUE, "Afternoon", IF(AND(AllData[[#This Row],[Time]]&lt;1, AllData[[#This Row],[Time]]&gt;=0.75)=TRUE, "Evening", "Night")))</f>
        <v>Night</v>
      </c>
      <c r="G618" t="str">
        <f>_xlfn.XLOOKUP(AllData[[#This Row],[Location Name]], Locations[Location Name],Locations[Group As])</f>
        <v>Site 3  :  Severn Trent Water processing plant outflow</v>
      </c>
      <c r="H618" t="e" vm="2">
        <f>_xlfn.XLOOKUP(AllData[[#This Row],[Site Name]],LocationsKey[Site Name],LocationsKey[District])</f>
        <v>#VALUE!</v>
      </c>
      <c r="I618" t="e" vm="11">
        <f>_xlfn.XLOOKUP(AllData[[#This Row],[Site Name]],LocationsKey[Site Name],LocationsKey[Town])</f>
        <v>#VALUE!</v>
      </c>
      <c r="J618" t="str">
        <f>_xlfn.XLOOKUP(AllData[[#This Row],[Site Name]],LocationsKey[Site Name], LocationsKey[Waterway])</f>
        <v>Fosseway Brook</v>
      </c>
      <c r="K618" t="s">
        <v>1861</v>
      </c>
      <c r="N618" t="s">
        <v>29</v>
      </c>
      <c r="O618" s="128">
        <v>718</v>
      </c>
      <c r="P618">
        <v>13.9</v>
      </c>
      <c r="Q618" s="128">
        <v>7.5</v>
      </c>
      <c r="R618" s="7" t="str">
        <f>IF(AllData[[#This Row],[Nitrate (PPM)]]&gt;2, "Very high", IF(AllData[[#This Row],[Nitrate (PPM)]]&gt;1, "High", IF(AllData[[#This Row],[Nitrate (PPM)]]&gt;0.5, "Some evidence", IF(AllData[[#This Row],[Nitrate (PPM)]]&gt;=0, "No evidence"))))</f>
        <v>Very high</v>
      </c>
      <c r="S618" s="134">
        <v>0.87</v>
      </c>
      <c r="T618" s="7" t="str">
        <f>IF(AllData[[#This Row],[Phosphate (PPM)]]&gt;0.5, "Very high", IF(AllData[[#This Row],[Phosphate (PPM)]]&gt;0.1, "High", IF(AllData[[#This Row],[Phosphate (PPM)]]&gt;0.05, "Some evidence", IF(AllData[[#This Row],[Phosphate (PPM)]]&lt;=0.05, "No Evidence", ""))))</f>
        <v>Very high</v>
      </c>
      <c r="U618">
        <v>0</v>
      </c>
      <c r="V618" t="s">
        <v>1910</v>
      </c>
    </row>
    <row r="619" spans="1:22" x14ac:dyDescent="0.25">
      <c r="A619" t="s">
        <v>1410</v>
      </c>
      <c r="B619" s="2">
        <v>45383</v>
      </c>
      <c r="C619" s="2" t="str" cm="1">
        <f t="array" ref="C6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9">
        <f>YEAR(AllData[[#This Row],[Date]])</f>
        <v>2024</v>
      </c>
      <c r="E619" s="1"/>
      <c r="F619" s="2" t="str">
        <f>IF(AND(AllData[[#This Row],[Time]]&lt;0.5, AllData[[#This Row],[Time]]&gt;0.17)=TRUE, "Morning", IF(AND(AllData[[#This Row],[Time]]&lt;0.75, AllData[[#This Row],[Time]]&gt;=0.5)=TRUE, "Afternoon", IF(AND(AllData[[#This Row],[Time]]&lt;1, AllData[[#This Row],[Time]]&gt;=0.75)=TRUE, "Evening", "Night")))</f>
        <v>Night</v>
      </c>
      <c r="G619" t="str">
        <f>_xlfn.XLOOKUP(AllData[[#This Row],[Location Name]], Locations[Location Name],Locations[Group As])</f>
        <v>Site 3  :  Severn Trent Water processing plant outflow</v>
      </c>
      <c r="H619" t="e" vm="2">
        <f>_xlfn.XLOOKUP(AllData[[#This Row],[Site Name]],LocationsKey[Site Name],LocationsKey[District])</f>
        <v>#VALUE!</v>
      </c>
      <c r="I619" t="e" vm="11">
        <f>_xlfn.XLOOKUP(AllData[[#This Row],[Site Name]],LocationsKey[Site Name],LocationsKey[Town])</f>
        <v>#VALUE!</v>
      </c>
      <c r="J619" t="str">
        <f>_xlfn.XLOOKUP(AllData[[#This Row],[Site Name]],LocationsKey[Site Name], LocationsKey[Waterway])</f>
        <v>Fosseway Brook</v>
      </c>
      <c r="K619" t="s">
        <v>1368</v>
      </c>
      <c r="N619" t="s">
        <v>29</v>
      </c>
      <c r="O619" s="128">
        <v>718</v>
      </c>
      <c r="P619">
        <v>13.9</v>
      </c>
      <c r="Q619" s="128">
        <v>7.5</v>
      </c>
      <c r="R619" s="7" t="str">
        <f>IF(AllData[[#This Row],[Nitrate (PPM)]]&gt;2, "Very high", IF(AllData[[#This Row],[Nitrate (PPM)]]&gt;1, "High", IF(AllData[[#This Row],[Nitrate (PPM)]]&gt;0.5, "Some evidence", IF(AllData[[#This Row],[Nitrate (PPM)]]&gt;=0, "No evidence"))))</f>
        <v>Very high</v>
      </c>
      <c r="S619" s="134">
        <v>0.87</v>
      </c>
      <c r="T619" s="7" t="str">
        <f>IF(AllData[[#This Row],[Phosphate (PPM)]]&gt;0.5, "Very high", IF(AllData[[#This Row],[Phosphate (PPM)]]&gt;0.1, "High", IF(AllData[[#This Row],[Phosphate (PPM)]]&gt;0.05, "Some evidence", IF(AllData[[#This Row],[Phosphate (PPM)]]&lt;=0.05, "No Evidence", ""))))</f>
        <v>Very high</v>
      </c>
    </row>
    <row r="620" spans="1:22" x14ac:dyDescent="0.25">
      <c r="A620" t="s">
        <v>907</v>
      </c>
      <c r="B620" s="2">
        <v>45384</v>
      </c>
      <c r="C620" s="2" t="str" cm="1">
        <f t="array" ref="C6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0">
        <f>YEAR(AllData[[#This Row],[Date]])</f>
        <v>2024</v>
      </c>
      <c r="E620" s="1">
        <v>0.40277777777777779</v>
      </c>
      <c r="F620" s="2" t="str">
        <f>IF(AND(AllData[[#This Row],[Time]]&lt;0.5, AllData[[#This Row],[Time]]&gt;0.17)=TRUE, "Morning", IF(AND(AllData[[#This Row],[Time]]&lt;0.75, AllData[[#This Row],[Time]]&gt;=0.5)=TRUE, "Afternoon", IF(AND(AllData[[#This Row],[Time]]&lt;1, AllData[[#This Row],[Time]]&gt;=0.75)=TRUE, "Evening", "Night")))</f>
        <v>Morning</v>
      </c>
      <c r="G620" t="str">
        <f>_xlfn.XLOOKUP(AllData[[#This Row],[Location Name]], Locations[Location Name],Locations[Group As])</f>
        <v>Stour Stretton-on-Fosse Village</v>
      </c>
      <c r="H620" t="e" vm="2">
        <f>_xlfn.XLOOKUP(AllData[[#This Row],[Site Name]],LocationsKey[Site Name],LocationsKey[District])</f>
        <v>#VALUE!</v>
      </c>
      <c r="I620" t="e" vm="14">
        <f>_xlfn.XLOOKUP(AllData[[#This Row],[Site Name]],LocationsKey[Site Name],LocationsKey[Town])</f>
        <v>#VALUE!</v>
      </c>
      <c r="J620" t="str">
        <f>_xlfn.XLOOKUP(AllData[[#This Row],[Site Name]],LocationsKey[Site Name], LocationsKey[Waterway])</f>
        <v>Stour</v>
      </c>
      <c r="K620" t="s">
        <v>544</v>
      </c>
      <c r="L620">
        <v>52.046517000000001</v>
      </c>
      <c r="M620">
        <v>-1.6733910000000001</v>
      </c>
      <c r="N620" t="s">
        <v>66</v>
      </c>
      <c r="O620" s="128">
        <v>418</v>
      </c>
      <c r="P620">
        <v>9.6</v>
      </c>
      <c r="Q620" s="128">
        <v>0.5</v>
      </c>
      <c r="R620" s="7" t="str">
        <f>IF(AllData[[#This Row],[Nitrate (PPM)]]&gt;2, "Very high", IF(AllData[[#This Row],[Nitrate (PPM)]]&gt;1, "High", IF(AllData[[#This Row],[Nitrate (PPM)]]&gt;0.5, "Some evidence", IF(AllData[[#This Row],[Nitrate (PPM)]]&gt;=0, "No evidence"))))</f>
        <v>No evidence</v>
      </c>
      <c r="S620" s="134">
        <v>0.42</v>
      </c>
      <c r="T620" s="7" t="str">
        <f>IF(AllData[[#This Row],[Phosphate (PPM)]]&gt;0.5, "Very high", IF(AllData[[#This Row],[Phosphate (PPM)]]&gt;0.1, "High", IF(AllData[[#This Row],[Phosphate (PPM)]]&gt;0.05, "Some evidence", IF(AllData[[#This Row],[Phosphate (PPM)]]&lt;=0.05, "No Evidence", ""))))</f>
        <v>High</v>
      </c>
      <c r="U620">
        <v>0.3</v>
      </c>
    </row>
    <row r="621" spans="1:22" x14ac:dyDescent="0.25">
      <c r="A621" t="s">
        <v>908</v>
      </c>
      <c r="B621" s="2">
        <v>45384</v>
      </c>
      <c r="C621" s="2" t="str" cm="1">
        <f t="array" ref="C6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1">
        <f>YEAR(AllData[[#This Row],[Date]])</f>
        <v>2024</v>
      </c>
      <c r="E621" s="1">
        <v>0.41597222222222224</v>
      </c>
      <c r="F621" s="2" t="str">
        <f>IF(AND(AllData[[#This Row],[Time]]&lt;0.5, AllData[[#This Row],[Time]]&gt;0.17)=TRUE, "Morning", IF(AND(AllData[[#This Row],[Time]]&lt;0.75, AllData[[#This Row],[Time]]&gt;=0.5)=TRUE, "Afternoon", IF(AND(AllData[[#This Row],[Time]]&lt;1, AllData[[#This Row],[Time]]&gt;=0.75)=TRUE, "Evening", "Night")))</f>
        <v>Morning</v>
      </c>
      <c r="G621" t="str">
        <f>_xlfn.XLOOKUP(AllData[[#This Row],[Location Name]], Locations[Location Name],Locations[Group As])</f>
        <v>Stour Stretton-on-Fosse Sewage Works</v>
      </c>
      <c r="H621" t="e" vm="2">
        <f>_xlfn.XLOOKUP(AllData[[#This Row],[Site Name]],LocationsKey[Site Name],LocationsKey[District])</f>
        <v>#VALUE!</v>
      </c>
      <c r="I621" t="e" vm="14">
        <f>_xlfn.XLOOKUP(AllData[[#This Row],[Site Name]],LocationsKey[Site Name],LocationsKey[Town])</f>
        <v>#VALUE!</v>
      </c>
      <c r="J621" t="str">
        <f>_xlfn.XLOOKUP(AllData[[#This Row],[Site Name]],LocationsKey[Site Name], LocationsKey[Waterway])</f>
        <v>Stour</v>
      </c>
      <c r="K621" t="s">
        <v>335</v>
      </c>
      <c r="L621">
        <v>52.045686000000003</v>
      </c>
      <c r="M621">
        <v>-1.6719360000000001</v>
      </c>
      <c r="N621" t="s">
        <v>29</v>
      </c>
      <c r="O621" s="128">
        <v>452</v>
      </c>
      <c r="P621">
        <v>9.6999999999999993</v>
      </c>
      <c r="Q621" s="128">
        <v>0.5</v>
      </c>
      <c r="R621" s="7" t="str">
        <f>IF(AllData[[#This Row],[Nitrate (PPM)]]&gt;2, "Very high", IF(AllData[[#This Row],[Nitrate (PPM)]]&gt;1, "High", IF(AllData[[#This Row],[Nitrate (PPM)]]&gt;0.5, "Some evidence", IF(AllData[[#This Row],[Nitrate (PPM)]]&gt;=0, "No evidence"))))</f>
        <v>No evidence</v>
      </c>
      <c r="S621" s="134">
        <v>0.7</v>
      </c>
      <c r="T621" s="7" t="str">
        <f>IF(AllData[[#This Row],[Phosphate (PPM)]]&gt;0.5, "Very high", IF(AllData[[#This Row],[Phosphate (PPM)]]&gt;0.1, "High", IF(AllData[[#This Row],[Phosphate (PPM)]]&gt;0.05, "Some evidence", IF(AllData[[#This Row],[Phosphate (PPM)]]&lt;=0.05, "No Evidence", ""))))</f>
        <v>Very high</v>
      </c>
      <c r="U621">
        <v>0.35</v>
      </c>
    </row>
    <row r="622" spans="1:22" x14ac:dyDescent="0.25">
      <c r="A622" t="s">
        <v>909</v>
      </c>
      <c r="B622" s="2">
        <v>45385</v>
      </c>
      <c r="C622" s="2" t="str" cm="1">
        <f t="array" ref="C6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2">
        <f>YEAR(AllData[[#This Row],[Date]])</f>
        <v>2024</v>
      </c>
      <c r="E622" s="1">
        <v>0.625</v>
      </c>
      <c r="F622" s="2" t="str">
        <f>IF(AND(AllData[[#This Row],[Time]]&lt;0.5, AllData[[#This Row],[Time]]&gt;0.17)=TRUE, "Morning", IF(AND(AllData[[#This Row],[Time]]&lt;0.75, AllData[[#This Row],[Time]]&gt;=0.5)=TRUE, "Afternoon", IF(AND(AllData[[#This Row],[Time]]&lt;1, AllData[[#This Row],[Time]]&gt;=0.75)=TRUE, "Evening", "Night")))</f>
        <v>Afternoon</v>
      </c>
      <c r="G622" t="str">
        <f>_xlfn.XLOOKUP(AllData[[#This Row],[Location Name]], Locations[Location Name],Locations[Group As])</f>
        <v>Sherbourne Brook 1</v>
      </c>
      <c r="H622" t="e" vm="2">
        <f>_xlfn.XLOOKUP(AllData[[#This Row],[Site Name]],LocationsKey[Site Name],LocationsKey[District])</f>
        <v>#VALUE!</v>
      </c>
      <c r="I622" t="e" vm="16">
        <f>_xlfn.XLOOKUP(AllData[[#This Row],[Site Name]],LocationsKey[Site Name],LocationsKey[Town])</f>
        <v>#VALUE!</v>
      </c>
      <c r="J622" t="str">
        <f>_xlfn.XLOOKUP(AllData[[#This Row],[Site Name]],LocationsKey[Site Name], LocationsKey[Waterway])</f>
        <v>Sherbourne Brook</v>
      </c>
      <c r="K622" t="s">
        <v>570</v>
      </c>
      <c r="L622">
        <v>52.252499999999998</v>
      </c>
      <c r="M622">
        <v>-1.6685000000000001</v>
      </c>
      <c r="N622" t="s">
        <v>23</v>
      </c>
      <c r="O622" s="128">
        <v>685</v>
      </c>
      <c r="P622">
        <v>11.4</v>
      </c>
      <c r="Q622" s="128">
        <v>5</v>
      </c>
      <c r="R622" s="7" t="str">
        <f>IF(AllData[[#This Row],[Nitrate (PPM)]]&gt;2, "Very high", IF(AllData[[#This Row],[Nitrate (PPM)]]&gt;1, "High", IF(AllData[[#This Row],[Nitrate (PPM)]]&gt;0.5, "Some evidence", IF(AllData[[#This Row],[Nitrate (PPM)]]&gt;=0, "No evidence"))))</f>
        <v>Very high</v>
      </c>
      <c r="S622" s="134">
        <v>0.8</v>
      </c>
      <c r="T622" s="7" t="str">
        <f>IF(AllData[[#This Row],[Phosphate (PPM)]]&gt;0.5, "Very high", IF(AllData[[#This Row],[Phosphate (PPM)]]&gt;0.1, "High", IF(AllData[[#This Row],[Phosphate (PPM)]]&gt;0.05, "Some evidence", IF(AllData[[#This Row],[Phosphate (PPM)]]&lt;=0.05, "No Evidence", ""))))</f>
        <v>Very high</v>
      </c>
      <c r="U622">
        <v>0.5</v>
      </c>
      <c r="V622" t="s">
        <v>910</v>
      </c>
    </row>
    <row r="623" spans="1:22" x14ac:dyDescent="0.25">
      <c r="A623" t="s">
        <v>912</v>
      </c>
      <c r="B623" s="2">
        <v>45385</v>
      </c>
      <c r="C623" s="2" t="str" cm="1">
        <f t="array" ref="C6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3">
        <f>YEAR(AllData[[#This Row],[Date]])</f>
        <v>2024</v>
      </c>
      <c r="E623" s="1">
        <v>0.63541666666666663</v>
      </c>
      <c r="F623" s="2" t="str">
        <f>IF(AND(AllData[[#This Row],[Time]]&lt;0.5, AllData[[#This Row],[Time]]&gt;0.17)=TRUE, "Morning", IF(AND(AllData[[#This Row],[Time]]&lt;0.75, AllData[[#This Row],[Time]]&gt;=0.5)=TRUE, "Afternoon", IF(AND(AllData[[#This Row],[Time]]&lt;1, AllData[[#This Row],[Time]]&gt;=0.75)=TRUE, "Evening", "Night")))</f>
        <v>Afternoon</v>
      </c>
      <c r="G623" t="str">
        <f>_xlfn.XLOOKUP(AllData[[#This Row],[Location Name]], Locations[Location Name],Locations[Group As])</f>
        <v>Stour Newbold Mill</v>
      </c>
      <c r="H623" t="e" vm="2">
        <f>_xlfn.XLOOKUP(AllData[[#This Row],[Site Name]],LocationsKey[Site Name],LocationsKey[District])</f>
        <v>#VALUE!</v>
      </c>
      <c r="I623" t="e" vm="8">
        <f>_xlfn.XLOOKUP(AllData[[#This Row],[Site Name]],LocationsKey[Site Name],LocationsKey[Town])</f>
        <v>#VALUE!</v>
      </c>
      <c r="J623" t="str">
        <f>_xlfn.XLOOKUP(AllData[[#This Row],[Site Name]],LocationsKey[Site Name], LocationsKey[Waterway])</f>
        <v>Stour</v>
      </c>
      <c r="K623" t="s">
        <v>140</v>
      </c>
      <c r="N623" t="s">
        <v>29</v>
      </c>
      <c r="O623" s="128">
        <v>571</v>
      </c>
      <c r="P623">
        <v>14.1</v>
      </c>
      <c r="Q623" s="128">
        <v>2</v>
      </c>
      <c r="R623" s="7" t="str">
        <f>IF(AllData[[#This Row],[Nitrate (PPM)]]&gt;2, "Very high", IF(AllData[[#This Row],[Nitrate (PPM)]]&gt;1, "High", IF(AllData[[#This Row],[Nitrate (PPM)]]&gt;0.5, "Some evidence", IF(AllData[[#This Row],[Nitrate (PPM)]]&gt;=0, "No evidence"))))</f>
        <v>High</v>
      </c>
      <c r="S623" s="134">
        <v>0.23</v>
      </c>
      <c r="T623" s="7" t="str">
        <f>IF(AllData[[#This Row],[Phosphate (PPM)]]&gt;0.5, "Very high", IF(AllData[[#This Row],[Phosphate (PPM)]]&gt;0.1, "High", IF(AllData[[#This Row],[Phosphate (PPM)]]&gt;0.05, "Some evidence", IF(AllData[[#This Row],[Phosphate (PPM)]]&lt;=0.05, "No Evidence", ""))))</f>
        <v>High</v>
      </c>
      <c r="U623">
        <v>3</v>
      </c>
      <c r="V623" t="s">
        <v>840</v>
      </c>
    </row>
    <row r="624" spans="1:22" x14ac:dyDescent="0.25">
      <c r="A624" t="s">
        <v>911</v>
      </c>
      <c r="B624" s="2">
        <v>45385</v>
      </c>
      <c r="C624" s="2" t="str" cm="1">
        <f t="array" ref="C6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4">
        <f>YEAR(AllData[[#This Row],[Date]])</f>
        <v>2024</v>
      </c>
      <c r="E624" s="1">
        <v>0.63888888888888884</v>
      </c>
      <c r="F624" s="2" t="str">
        <f>IF(AND(AllData[[#This Row],[Time]]&lt;0.5, AllData[[#This Row],[Time]]&gt;0.17)=TRUE, "Morning", IF(AND(AllData[[#This Row],[Time]]&lt;0.75, AllData[[#This Row],[Time]]&gt;=0.5)=TRUE, "Afternoon", IF(AND(AllData[[#This Row],[Time]]&lt;1, AllData[[#This Row],[Time]]&gt;=0.75)=TRUE, "Evening", "Night")))</f>
        <v>Afternoon</v>
      </c>
      <c r="G624" t="str">
        <f>_xlfn.XLOOKUP(AllData[[#This Row],[Location Name]], Locations[Location Name],Locations[Group As])</f>
        <v>Bell Brook 1</v>
      </c>
      <c r="H624" t="e" vm="2">
        <f>_xlfn.XLOOKUP(AllData[[#This Row],[Site Name]],LocationsKey[Site Name],LocationsKey[District])</f>
        <v>#VALUE!</v>
      </c>
      <c r="I624" t="e" vm="15">
        <f>_xlfn.XLOOKUP(AllData[[#This Row],[Site Name]],LocationsKey[Site Name],LocationsKey[Town])</f>
        <v>#VALUE!</v>
      </c>
      <c r="J624" t="str">
        <f>_xlfn.XLOOKUP(AllData[[#This Row],[Site Name]],LocationsKey[Site Name], LocationsKey[Waterway])</f>
        <v>Bell Brook</v>
      </c>
      <c r="K624" t="s">
        <v>534</v>
      </c>
      <c r="L624">
        <v>52.244900000000001</v>
      </c>
      <c r="M624">
        <v>-1.6617</v>
      </c>
      <c r="N624" t="s">
        <v>23</v>
      </c>
      <c r="O624" s="128">
        <v>531</v>
      </c>
      <c r="P624">
        <v>10.7</v>
      </c>
      <c r="Q624" s="128">
        <v>3</v>
      </c>
      <c r="R624" s="7" t="str">
        <f>IF(AllData[[#This Row],[Nitrate (PPM)]]&gt;2, "Very high", IF(AllData[[#This Row],[Nitrate (PPM)]]&gt;1, "High", IF(AllData[[#This Row],[Nitrate (PPM)]]&gt;0.5, "Some evidence", IF(AllData[[#This Row],[Nitrate (PPM)]]&gt;=0, "No evidence"))))</f>
        <v>Very high</v>
      </c>
      <c r="S624" s="134">
        <v>0.28999999999999998</v>
      </c>
      <c r="T624" s="7" t="str">
        <f>IF(AllData[[#This Row],[Phosphate (PPM)]]&gt;0.5, "Very high", IF(AllData[[#This Row],[Phosphate (PPM)]]&gt;0.1, "High", IF(AllData[[#This Row],[Phosphate (PPM)]]&gt;0.05, "Some evidence", IF(AllData[[#This Row],[Phosphate (PPM)]]&lt;=0.05, "No Evidence", ""))))</f>
        <v>High</v>
      </c>
      <c r="U624">
        <v>0.3</v>
      </c>
      <c r="V624" t="s">
        <v>756</v>
      </c>
    </row>
    <row r="625" spans="1:22" x14ac:dyDescent="0.25">
      <c r="A625" t="s">
        <v>913</v>
      </c>
      <c r="B625" s="2">
        <v>45386</v>
      </c>
      <c r="C625" s="2" t="str" cm="1">
        <f t="array" ref="C6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5">
        <f>YEAR(AllData[[#This Row],[Date]])</f>
        <v>2024</v>
      </c>
      <c r="E625" s="1">
        <v>0.41666666666666669</v>
      </c>
      <c r="F625" s="2" t="str">
        <f>IF(AND(AllData[[#This Row],[Time]]&lt;0.5, AllData[[#This Row],[Time]]&gt;0.17)=TRUE, "Morning", IF(AND(AllData[[#This Row],[Time]]&lt;0.75, AllData[[#This Row],[Time]]&gt;=0.5)=TRUE, "Afternoon", IF(AND(AllData[[#This Row],[Time]]&lt;1, AllData[[#This Row],[Time]]&gt;=0.75)=TRUE, "Evening", "Night")))</f>
        <v>Morning</v>
      </c>
      <c r="G625" t="str">
        <f>_xlfn.XLOOKUP(AllData[[#This Row],[Location Name]], Locations[Location Name],Locations[Group As])</f>
        <v>Swilgate</v>
      </c>
      <c r="H625" t="e" vm="1">
        <f>_xlfn.XLOOKUP(AllData[[#This Row],[Site Name]],LocationsKey[Site Name],LocationsKey[District])</f>
        <v>#VALUE!</v>
      </c>
      <c r="I625" t="e" vm="1">
        <f>_xlfn.XLOOKUP(AllData[[#This Row],[Site Name]],LocationsKey[Site Name],LocationsKey[Town])</f>
        <v>#VALUE!</v>
      </c>
      <c r="J625" t="str">
        <f>_xlfn.XLOOKUP(AllData[[#This Row],[Site Name]],LocationsKey[Site Name], LocationsKey[Waterway])</f>
        <v>Swilgate</v>
      </c>
      <c r="K625" t="s">
        <v>84</v>
      </c>
      <c r="N625" t="s">
        <v>23</v>
      </c>
      <c r="O625" s="128">
        <v>416</v>
      </c>
      <c r="P625">
        <v>11.1</v>
      </c>
      <c r="Q625" s="128">
        <v>2</v>
      </c>
      <c r="R625" s="7" t="str">
        <f>IF(AllData[[#This Row],[Nitrate (PPM)]]&gt;2, "Very high", IF(AllData[[#This Row],[Nitrate (PPM)]]&gt;1, "High", IF(AllData[[#This Row],[Nitrate (PPM)]]&gt;0.5, "Some evidence", IF(AllData[[#This Row],[Nitrate (PPM)]]&gt;=0, "No evidence"))))</f>
        <v>High</v>
      </c>
      <c r="S625" s="134">
        <v>0.2</v>
      </c>
      <c r="T625" s="7" t="str">
        <f>IF(AllData[[#This Row],[Phosphate (PPM)]]&gt;0.5, "Very high", IF(AllData[[#This Row],[Phosphate (PPM)]]&gt;0.1, "High", IF(AllData[[#This Row],[Phosphate (PPM)]]&gt;0.05, "Some evidence", IF(AllData[[#This Row],[Phosphate (PPM)]]&lt;=0.05, "No Evidence", ""))))</f>
        <v>High</v>
      </c>
      <c r="U625">
        <v>1</v>
      </c>
    </row>
    <row r="626" spans="1:22" x14ac:dyDescent="0.25">
      <c r="A626" t="s">
        <v>914</v>
      </c>
      <c r="B626" s="2">
        <v>45386</v>
      </c>
      <c r="C626" s="2" t="str" cm="1">
        <f t="array" ref="C6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6">
        <f>YEAR(AllData[[#This Row],[Date]])</f>
        <v>2024</v>
      </c>
      <c r="E626" s="1">
        <v>0.46875</v>
      </c>
      <c r="F626" s="2" t="str">
        <f>IF(AND(AllData[[#This Row],[Time]]&lt;0.5, AllData[[#This Row],[Time]]&gt;0.17)=TRUE, "Morning", IF(AND(AllData[[#This Row],[Time]]&lt;0.75, AllData[[#This Row],[Time]]&gt;=0.5)=TRUE, "Afternoon", IF(AND(AllData[[#This Row],[Time]]&lt;1, AllData[[#This Row],[Time]]&gt;=0.75)=TRUE, "Evening", "Night")))</f>
        <v>Morning</v>
      </c>
      <c r="G626" t="str">
        <f>_xlfn.XLOOKUP(AllData[[#This Row],[Location Name]], Locations[Location Name],Locations[Group As])</f>
        <v>Alveston Weir</v>
      </c>
      <c r="H626" t="e" vm="2">
        <f>_xlfn.XLOOKUP(AllData[[#This Row],[Site Name]],LocationsKey[Site Name],LocationsKey[District])</f>
        <v>#VALUE!</v>
      </c>
      <c r="I626" t="e" vm="13">
        <f>_xlfn.XLOOKUP(AllData[[#This Row],[Site Name]],LocationsKey[Site Name],LocationsKey[Town])</f>
        <v>#VALUE!</v>
      </c>
      <c r="J626" t="str">
        <f>_xlfn.XLOOKUP(AllData[[#This Row],[Site Name]],LocationsKey[Site Name], LocationsKey[Waterway])</f>
        <v>Avon</v>
      </c>
      <c r="K626" t="s">
        <v>286</v>
      </c>
      <c r="L626">
        <v>52.212288999999998</v>
      </c>
      <c r="M626">
        <v>-1.660452</v>
      </c>
      <c r="N626" t="s">
        <v>29</v>
      </c>
      <c r="O626" s="128">
        <v>493</v>
      </c>
      <c r="P626">
        <v>14.4</v>
      </c>
      <c r="Q626" s="128">
        <v>5</v>
      </c>
      <c r="R626" s="7" t="str">
        <f>IF(AllData[[#This Row],[Nitrate (PPM)]]&gt;2, "Very high", IF(AllData[[#This Row],[Nitrate (PPM)]]&gt;1, "High", IF(AllData[[#This Row],[Nitrate (PPM)]]&gt;0.5, "Some evidence", IF(AllData[[#This Row],[Nitrate (PPM)]]&gt;=0, "No evidence"))))</f>
        <v>Very high</v>
      </c>
      <c r="S626" s="134">
        <v>0.35</v>
      </c>
      <c r="T626" s="7" t="str">
        <f>IF(AllData[[#This Row],[Phosphate (PPM)]]&gt;0.5, "Very high", IF(AllData[[#This Row],[Phosphate (PPM)]]&gt;0.1, "High", IF(AllData[[#This Row],[Phosphate (PPM)]]&gt;0.05, "Some evidence", IF(AllData[[#This Row],[Phosphate (PPM)]]&lt;=0.05, "No Evidence", ""))))</f>
        <v>High</v>
      </c>
      <c r="U626">
        <v>1.5</v>
      </c>
      <c r="V626" t="s">
        <v>915</v>
      </c>
    </row>
    <row r="627" spans="1:22" x14ac:dyDescent="0.25">
      <c r="A627" t="s">
        <v>916</v>
      </c>
      <c r="B627" s="2">
        <v>45386</v>
      </c>
      <c r="C627" s="2" t="str" cm="1">
        <f t="array" ref="C6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7">
        <f>YEAR(AllData[[#This Row],[Date]])</f>
        <v>2024</v>
      </c>
      <c r="E627" s="1">
        <v>0.47222222222222221</v>
      </c>
      <c r="F627" s="2" t="str">
        <f>IF(AND(AllData[[#This Row],[Time]]&lt;0.5, AllData[[#This Row],[Time]]&gt;0.17)=TRUE, "Morning", IF(AND(AllData[[#This Row],[Time]]&lt;0.75, AllData[[#This Row],[Time]]&gt;=0.5)=TRUE, "Afternoon", IF(AND(AllData[[#This Row],[Time]]&lt;1, AllData[[#This Row],[Time]]&gt;=0.75)=TRUE, "Evening", "Night")))</f>
        <v>Morning</v>
      </c>
      <c r="G627" t="str">
        <f>_xlfn.XLOOKUP(AllData[[#This Row],[Location Name]], Locations[Location Name],Locations[Group As])</f>
        <v>Swiffen Bank</v>
      </c>
      <c r="H627" t="e" vm="2">
        <f>_xlfn.XLOOKUP(AllData[[#This Row],[Site Name]],LocationsKey[Site Name],LocationsKey[District])</f>
        <v>#VALUE!</v>
      </c>
      <c r="I627" t="e" vm="13">
        <f>_xlfn.XLOOKUP(AllData[[#This Row],[Site Name]],LocationsKey[Site Name],LocationsKey[Town])</f>
        <v>#VALUE!</v>
      </c>
      <c r="J627" t="str">
        <f>_xlfn.XLOOKUP(AllData[[#This Row],[Site Name]],LocationsKey[Site Name], LocationsKey[Waterway])</f>
        <v>Avon</v>
      </c>
      <c r="K627" t="s">
        <v>284</v>
      </c>
      <c r="L627">
        <v>52.206477999999997</v>
      </c>
      <c r="M627">
        <v>-1.653894</v>
      </c>
      <c r="N627" t="s">
        <v>29</v>
      </c>
      <c r="O627" s="128">
        <v>519</v>
      </c>
      <c r="P627">
        <v>13.8</v>
      </c>
      <c r="Q627" s="128">
        <v>5</v>
      </c>
      <c r="R627" s="7" t="str">
        <f>IF(AllData[[#This Row],[Nitrate (PPM)]]&gt;2, "Very high", IF(AllData[[#This Row],[Nitrate (PPM)]]&gt;1, "High", IF(AllData[[#This Row],[Nitrate (PPM)]]&gt;0.5, "Some evidence", IF(AllData[[#This Row],[Nitrate (PPM)]]&gt;=0, "No evidence"))))</f>
        <v>Very high</v>
      </c>
      <c r="S627" s="134">
        <v>0.51</v>
      </c>
      <c r="T627" s="7" t="str">
        <f>IF(AllData[[#This Row],[Phosphate (PPM)]]&gt;0.5, "Very high", IF(AllData[[#This Row],[Phosphate (PPM)]]&gt;0.1, "High", IF(AllData[[#This Row],[Phosphate (PPM)]]&gt;0.05, "Some evidence", IF(AllData[[#This Row],[Phosphate (PPM)]]&lt;=0.05, "No Evidence", ""))))</f>
        <v>Very high</v>
      </c>
      <c r="U627">
        <v>2</v>
      </c>
      <c r="V627" t="s">
        <v>917</v>
      </c>
    </row>
    <row r="628" spans="1:22" x14ac:dyDescent="0.25">
      <c r="A628" t="s">
        <v>918</v>
      </c>
      <c r="B628" s="2">
        <v>45386</v>
      </c>
      <c r="C628" s="2" t="str" cm="1">
        <f t="array" ref="C6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8">
        <f>YEAR(AllData[[#This Row],[Date]])</f>
        <v>2024</v>
      </c>
      <c r="E628" s="1">
        <v>0.47916666666666669</v>
      </c>
      <c r="F628" s="2" t="str">
        <f>IF(AND(AllData[[#This Row],[Time]]&lt;0.5, AllData[[#This Row],[Time]]&gt;0.17)=TRUE, "Morning", IF(AND(AllData[[#This Row],[Time]]&lt;0.75, AllData[[#This Row],[Time]]&gt;=0.5)=TRUE, "Afternoon", IF(AND(AllData[[#This Row],[Time]]&lt;1, AllData[[#This Row],[Time]]&gt;=0.75)=TRUE, "Evening", "Night")))</f>
        <v>Morning</v>
      </c>
      <c r="G628" t="str">
        <f>_xlfn.XLOOKUP(AllData[[#This Row],[Location Name]], Locations[Location Name],Locations[Group As])</f>
        <v>Stour Willington</v>
      </c>
      <c r="H628" t="e" vm="2">
        <f>_xlfn.XLOOKUP(AllData[[#This Row],[Site Name]],LocationsKey[Site Name],LocationsKey[District])</f>
        <v>#VALUE!</v>
      </c>
      <c r="I628" t="str">
        <f>_xlfn.XLOOKUP(AllData[[#This Row],[Site Name]],LocationsKey[Site Name],LocationsKey[Town])</f>
        <v>Willington</v>
      </c>
      <c r="J628" t="str">
        <f>_xlfn.XLOOKUP(AllData[[#This Row],[Site Name]],LocationsKey[Site Name], LocationsKey[Waterway])</f>
        <v>Stour</v>
      </c>
      <c r="K628" t="s">
        <v>517</v>
      </c>
      <c r="L628">
        <v>52.053564999999999</v>
      </c>
      <c r="M628">
        <v>-1.620147</v>
      </c>
      <c r="N628" t="s">
        <v>23</v>
      </c>
      <c r="O628" s="128">
        <v>325</v>
      </c>
      <c r="P628">
        <v>12.9</v>
      </c>
      <c r="Q628" s="128">
        <v>0.5</v>
      </c>
      <c r="R628" s="7" t="str">
        <f>IF(AllData[[#This Row],[Nitrate (PPM)]]&gt;2, "Very high", IF(AllData[[#This Row],[Nitrate (PPM)]]&gt;1, "High", IF(AllData[[#This Row],[Nitrate (PPM)]]&gt;0.5, "Some evidence", IF(AllData[[#This Row],[Nitrate (PPM)]]&gt;=0, "No evidence"))))</f>
        <v>No evidence</v>
      </c>
      <c r="S628" s="134">
        <v>0.06</v>
      </c>
      <c r="T628" s="7" t="str">
        <f>IF(AllData[[#This Row],[Phosphate (PPM)]]&gt;0.5, "Very high", IF(AllData[[#This Row],[Phosphate (PPM)]]&gt;0.1, "High", IF(AllData[[#This Row],[Phosphate (PPM)]]&gt;0.05, "Some evidence", IF(AllData[[#This Row],[Phosphate (PPM)]]&lt;=0.05, "No Evidence", ""))))</f>
        <v>Some evidence</v>
      </c>
      <c r="U628">
        <v>1.5</v>
      </c>
      <c r="V628" t="s">
        <v>919</v>
      </c>
    </row>
    <row r="629" spans="1:22" x14ac:dyDescent="0.25">
      <c r="A629" t="s">
        <v>920</v>
      </c>
      <c r="B629" s="2">
        <v>45387</v>
      </c>
      <c r="C629" s="2" t="str" cm="1">
        <f t="array" ref="C6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9">
        <f>YEAR(AllData[[#This Row],[Date]])</f>
        <v>2024</v>
      </c>
      <c r="E629" s="1">
        <v>0.3923611111111111</v>
      </c>
      <c r="F629" s="2" t="str">
        <f>IF(AND(AllData[[#This Row],[Time]]&lt;0.5, AllData[[#This Row],[Time]]&gt;0.17)=TRUE, "Morning", IF(AND(AllData[[#This Row],[Time]]&lt;0.75, AllData[[#This Row],[Time]]&gt;=0.5)=TRUE, "Afternoon", IF(AND(AllData[[#This Row],[Time]]&lt;1, AllData[[#This Row],[Time]]&gt;=0.75)=TRUE, "Evening", "Night")))</f>
        <v>Morning</v>
      </c>
      <c r="G629" t="str">
        <f>_xlfn.XLOOKUP(AllData[[#This Row],[Location Name]], Locations[Location Name],Locations[Group As])</f>
        <v>Mill Bridge Peopleton</v>
      </c>
      <c r="H629" t="e" vm="17">
        <f>_xlfn.XLOOKUP(AllData[[#This Row],[Site Name]],LocationsKey[Site Name],LocationsKey[District])</f>
        <v>#VALUE!</v>
      </c>
      <c r="I629" t="str">
        <f>_xlfn.XLOOKUP(AllData[[#This Row],[Site Name]],LocationsKey[Site Name],LocationsKey[Town])</f>
        <v>Peopleton</v>
      </c>
      <c r="J629" t="str">
        <f>_xlfn.XLOOKUP(AllData[[#This Row],[Site Name]],LocationsKey[Site Name], LocationsKey[Waterway])</f>
        <v>Bow Brook</v>
      </c>
      <c r="K629" t="s">
        <v>921</v>
      </c>
      <c r="L629">
        <v>52.151646</v>
      </c>
      <c r="M629">
        <v>-2.096368</v>
      </c>
      <c r="N629" t="s">
        <v>29</v>
      </c>
      <c r="O629" s="128">
        <v>523</v>
      </c>
      <c r="P629">
        <v>12.6</v>
      </c>
      <c r="Q629" s="128">
        <v>5</v>
      </c>
      <c r="R629" s="7" t="str">
        <f>IF(AllData[[#This Row],[Nitrate (PPM)]]&gt;2, "Very high", IF(AllData[[#This Row],[Nitrate (PPM)]]&gt;1, "High", IF(AllData[[#This Row],[Nitrate (PPM)]]&gt;0.5, "Some evidence", IF(AllData[[#This Row],[Nitrate (PPM)]]&gt;=0, "No evidence"))))</f>
        <v>Very high</v>
      </c>
      <c r="S629" s="134">
        <v>0.46</v>
      </c>
      <c r="T629" s="7" t="str">
        <f>IF(AllData[[#This Row],[Phosphate (PPM)]]&gt;0.5, "Very high", IF(AllData[[#This Row],[Phosphate (PPM)]]&gt;0.1, "High", IF(AllData[[#This Row],[Phosphate (PPM)]]&gt;0.05, "Some evidence", IF(AllData[[#This Row],[Phosphate (PPM)]]&lt;=0.05, "No Evidence", ""))))</f>
        <v>High</v>
      </c>
      <c r="U629">
        <v>1.4</v>
      </c>
      <c r="V629" t="s">
        <v>922</v>
      </c>
    </row>
    <row r="630" spans="1:22" x14ac:dyDescent="0.25">
      <c r="A630" t="s">
        <v>923</v>
      </c>
      <c r="B630" s="2">
        <v>45388</v>
      </c>
      <c r="C630" s="2" t="str" cm="1">
        <f t="array" ref="C6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0">
        <f>YEAR(AllData[[#This Row],[Date]])</f>
        <v>2024</v>
      </c>
      <c r="E630" s="1">
        <v>0.36666666666666664</v>
      </c>
      <c r="F630" s="2" t="str">
        <f>IF(AND(AllData[[#This Row],[Time]]&lt;0.5, AllData[[#This Row],[Time]]&gt;0.17)=TRUE, "Morning", IF(AND(AllData[[#This Row],[Time]]&lt;0.75, AllData[[#This Row],[Time]]&gt;=0.5)=TRUE, "Afternoon", IF(AND(AllData[[#This Row],[Time]]&lt;1, AllData[[#This Row],[Time]]&gt;=0.75)=TRUE, "Evening", "Night")))</f>
        <v>Morning</v>
      </c>
      <c r="G630" t="str">
        <f>_xlfn.XLOOKUP(AllData[[#This Row],[Location Name]], Locations[Location Name],Locations[Group As])</f>
        <v>Stour Whichford</v>
      </c>
      <c r="H630" t="e" vm="2">
        <f>_xlfn.XLOOKUP(AllData[[#This Row],[Site Name]],LocationsKey[Site Name],LocationsKey[District])</f>
        <v>#VALUE!</v>
      </c>
      <c r="I630" t="e" vm="21">
        <f>_xlfn.XLOOKUP(AllData[[#This Row],[Site Name]],LocationsKey[Site Name],LocationsKey[Town])</f>
        <v>#VALUE!</v>
      </c>
      <c r="J630" t="str">
        <f>_xlfn.XLOOKUP(AllData[[#This Row],[Site Name]],LocationsKey[Site Name], LocationsKey[Waterway])</f>
        <v>Stour</v>
      </c>
      <c r="K630" t="s">
        <v>895</v>
      </c>
      <c r="N630" t="s">
        <v>29</v>
      </c>
      <c r="O630" s="128">
        <v>50.9</v>
      </c>
      <c r="P630">
        <v>12.09</v>
      </c>
      <c r="Q630" s="128">
        <v>1.08</v>
      </c>
      <c r="R630" s="7" t="str">
        <f>IF(AllData[[#This Row],[Nitrate (PPM)]]&gt;2, "Very high", IF(AllData[[#This Row],[Nitrate (PPM)]]&gt;1, "High", IF(AllData[[#This Row],[Nitrate (PPM)]]&gt;0.5, "Some evidence", IF(AllData[[#This Row],[Nitrate (PPM)]]&gt;=0, "No evidence"))))</f>
        <v>High</v>
      </c>
      <c r="S630" s="134">
        <v>0.54</v>
      </c>
      <c r="T630" s="7" t="str">
        <f>IF(AllData[[#This Row],[Phosphate (PPM)]]&gt;0.5, "Very high", IF(AllData[[#This Row],[Phosphate (PPM)]]&gt;0.1, "High", IF(AllData[[#This Row],[Phosphate (PPM)]]&gt;0.05, "Some evidence", IF(AllData[[#This Row],[Phosphate (PPM)]]&lt;=0.05, "No Evidence", ""))))</f>
        <v>Very high</v>
      </c>
      <c r="U630">
        <v>25</v>
      </c>
    </row>
    <row r="631" spans="1:22" x14ac:dyDescent="0.25">
      <c r="A631" t="s">
        <v>924</v>
      </c>
      <c r="B631" s="2">
        <v>45388</v>
      </c>
      <c r="C631" s="2" t="str" cm="1">
        <f t="array" ref="C6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1">
        <f>YEAR(AllData[[#This Row],[Date]])</f>
        <v>2024</v>
      </c>
      <c r="E631" s="1">
        <v>0.38750000000000001</v>
      </c>
      <c r="F631" s="2" t="str">
        <f>IF(AND(AllData[[#This Row],[Time]]&lt;0.5, AllData[[#This Row],[Time]]&gt;0.17)=TRUE, "Morning", IF(AND(AllData[[#This Row],[Time]]&lt;0.75, AllData[[#This Row],[Time]]&gt;=0.5)=TRUE, "Afternoon", IF(AND(AllData[[#This Row],[Time]]&lt;1, AllData[[#This Row],[Time]]&gt;=0.75)=TRUE, "Evening", "Night")))</f>
        <v>Morning</v>
      </c>
      <c r="G631" t="str">
        <f>_xlfn.XLOOKUP(AllData[[#This Row],[Location Name]], Locations[Location Name],Locations[Group As])</f>
        <v>Stour Ascott Village</v>
      </c>
      <c r="H631" t="e" vm="2">
        <f>_xlfn.XLOOKUP(AllData[[#This Row],[Site Name]],LocationsKey[Site Name],LocationsKey[District])</f>
        <v>#VALUE!</v>
      </c>
      <c r="I631" t="e" vm="22">
        <f>_xlfn.XLOOKUP(AllData[[#This Row],[Site Name]],LocationsKey[Site Name],LocationsKey[Town])</f>
        <v>#VALUE!</v>
      </c>
      <c r="J631" t="str">
        <f>_xlfn.XLOOKUP(AllData[[#This Row],[Site Name]],LocationsKey[Site Name], LocationsKey[Waterway])</f>
        <v>Stour</v>
      </c>
      <c r="K631" t="s">
        <v>855</v>
      </c>
      <c r="N631" t="s">
        <v>66</v>
      </c>
      <c r="O631" s="128">
        <v>51.04</v>
      </c>
      <c r="P631">
        <v>12.9</v>
      </c>
      <c r="Q631" s="128">
        <v>2</v>
      </c>
      <c r="R631" s="7" t="str">
        <f>IF(AllData[[#This Row],[Nitrate (PPM)]]&gt;2, "Very high", IF(AllData[[#This Row],[Nitrate (PPM)]]&gt;1, "High", IF(AllData[[#This Row],[Nitrate (PPM)]]&gt;0.5, "Some evidence", IF(AllData[[#This Row],[Nitrate (PPM)]]&gt;=0, "No evidence"))))</f>
        <v>High</v>
      </c>
      <c r="S631" s="134">
        <v>0.1</v>
      </c>
      <c r="T631" s="7" t="str">
        <f>IF(AllData[[#This Row],[Phosphate (PPM)]]&gt;0.5, "Very high", IF(AllData[[#This Row],[Phosphate (PPM)]]&gt;0.1, "High", IF(AllData[[#This Row],[Phosphate (PPM)]]&gt;0.05, "Some evidence", IF(AllData[[#This Row],[Phosphate (PPM)]]&lt;=0.05, "No Evidence", ""))))</f>
        <v>Some evidence</v>
      </c>
      <c r="U631">
        <v>18</v>
      </c>
    </row>
    <row r="632" spans="1:22" x14ac:dyDescent="0.25">
      <c r="A632" t="s">
        <v>925</v>
      </c>
      <c r="B632" s="2">
        <v>45388</v>
      </c>
      <c r="C632" s="2" t="str" cm="1">
        <f t="array" ref="C6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2">
        <f>YEAR(AllData[[#This Row],[Date]])</f>
        <v>2024</v>
      </c>
      <c r="E632" s="1">
        <v>0.41666666666666669</v>
      </c>
      <c r="F632" s="2" t="str">
        <f>IF(AND(AllData[[#This Row],[Time]]&lt;0.5, AllData[[#This Row],[Time]]&gt;0.17)=TRUE, "Morning", IF(AND(AllData[[#This Row],[Time]]&lt;0.75, AllData[[#This Row],[Time]]&gt;=0.5)=TRUE, "Afternoon", IF(AND(AllData[[#This Row],[Time]]&lt;1, AllData[[#This Row],[Time]]&gt;=0.75)=TRUE, "Evening", "Night")))</f>
        <v>Morning</v>
      </c>
      <c r="G632" t="str">
        <f>_xlfn.XLOOKUP(AllData[[#This Row],[Location Name]], Locations[Location Name],Locations[Group As])</f>
        <v>Avonbank Drive</v>
      </c>
      <c r="H632" t="e" vm="2">
        <f>_xlfn.XLOOKUP(AllData[[#This Row],[Site Name]],LocationsKey[Site Name],LocationsKey[District])</f>
        <v>#VALUE!</v>
      </c>
      <c r="I632" t="e" vm="7">
        <f>_xlfn.XLOOKUP(AllData[[#This Row],[Site Name]],LocationsKey[Site Name],LocationsKey[Town])</f>
        <v>#VALUE!</v>
      </c>
      <c r="J632" t="str">
        <f>_xlfn.XLOOKUP(AllData[[#This Row],[Site Name]],LocationsKey[Site Name], LocationsKey[Waterway])</f>
        <v>Avon</v>
      </c>
      <c r="K632" t="s">
        <v>103</v>
      </c>
      <c r="L632">
        <v>52.177</v>
      </c>
      <c r="M632">
        <v>-1.736</v>
      </c>
      <c r="N632" t="s">
        <v>66</v>
      </c>
      <c r="O632" s="7">
        <v>642</v>
      </c>
      <c r="P632">
        <v>17.5</v>
      </c>
      <c r="Q632" s="7">
        <v>10</v>
      </c>
      <c r="R632" s="7" t="str">
        <f>IF(AllData[[#This Row],[Nitrate (PPM)]]&gt;2, "Very high", IF(AllData[[#This Row],[Nitrate (PPM)]]&gt;1, "High", IF(AllData[[#This Row],[Nitrate (PPM)]]&gt;0.5, "Some evidence", IF(AllData[[#This Row],[Nitrate (PPM)]]&gt;=0, "No evidence"))))</f>
        <v>Very high</v>
      </c>
      <c r="S632" s="135">
        <v>0.38</v>
      </c>
      <c r="T632" s="7" t="str">
        <f>IF(AllData[[#This Row],[Phosphate (PPM)]]&gt;0.5, "Very high", IF(AllData[[#This Row],[Phosphate (PPM)]]&gt;0.1, "High", IF(AllData[[#This Row],[Phosphate (PPM)]]&gt;0.05, "Some evidence", IF(AllData[[#This Row],[Phosphate (PPM)]]&lt;=0.05, "No Evidence", ""))))</f>
        <v>High</v>
      </c>
      <c r="U632">
        <v>1</v>
      </c>
    </row>
    <row r="633" spans="1:22" x14ac:dyDescent="0.25">
      <c r="A633" t="s">
        <v>926</v>
      </c>
      <c r="B633" s="2">
        <v>45388</v>
      </c>
      <c r="C633" s="2" t="str" cm="1">
        <f t="array" ref="C6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3">
        <f>YEAR(AllData[[#This Row],[Date]])</f>
        <v>2024</v>
      </c>
      <c r="E633" s="1">
        <v>0.41666666666666669</v>
      </c>
      <c r="F633" s="2" t="str">
        <f>IF(AND(AllData[[#This Row],[Time]]&lt;0.5, AllData[[#This Row],[Time]]&gt;0.17)=TRUE, "Morning", IF(AND(AllData[[#This Row],[Time]]&lt;0.75, AllData[[#This Row],[Time]]&gt;=0.5)=TRUE, "Afternoon", IF(AND(AllData[[#This Row],[Time]]&lt;1, AllData[[#This Row],[Time]]&gt;=0.75)=TRUE, "Evening", "Night")))</f>
        <v>Morning</v>
      </c>
      <c r="G633" t="str">
        <f>_xlfn.XLOOKUP(AllData[[#This Row],[Location Name]], Locations[Location Name],Locations[Group As])</f>
        <v>Pitch 16</v>
      </c>
      <c r="H633" t="e" vm="2">
        <f>_xlfn.XLOOKUP(AllData[[#This Row],[Site Name]],LocationsKey[Site Name],LocationsKey[District])</f>
        <v>#VALUE!</v>
      </c>
      <c r="I633" t="e" vm="7">
        <f>_xlfn.XLOOKUP(AllData[[#This Row],[Site Name]],LocationsKey[Site Name],LocationsKey[Town])</f>
        <v>#VALUE!</v>
      </c>
      <c r="J633" t="str">
        <f>_xlfn.XLOOKUP(AllData[[#This Row],[Site Name]],LocationsKey[Site Name], LocationsKey[Waterway])</f>
        <v>Avon</v>
      </c>
      <c r="K633" t="s">
        <v>69</v>
      </c>
      <c r="N633" t="s">
        <v>29</v>
      </c>
      <c r="O633" s="7">
        <v>641</v>
      </c>
      <c r="P633">
        <v>17.5</v>
      </c>
      <c r="Q633" s="7">
        <v>10</v>
      </c>
      <c r="R633" s="7" t="str">
        <f>IF(AllData[[#This Row],[Nitrate (PPM)]]&gt;2, "Very high", IF(AllData[[#This Row],[Nitrate (PPM)]]&gt;1, "High", IF(AllData[[#This Row],[Nitrate (PPM)]]&gt;0.5, "Some evidence", IF(AllData[[#This Row],[Nitrate (PPM)]]&gt;=0, "No evidence"))))</f>
        <v>Very high</v>
      </c>
      <c r="S633" s="135">
        <v>0.36</v>
      </c>
      <c r="T633" s="7" t="str">
        <f>IF(AllData[[#This Row],[Phosphate (PPM)]]&gt;0.5, "Very high", IF(AllData[[#This Row],[Phosphate (PPM)]]&gt;0.1, "High", IF(AllData[[#This Row],[Phosphate (PPM)]]&gt;0.05, "Some evidence", IF(AllData[[#This Row],[Phosphate (PPM)]]&lt;=0.05, "No Evidence", ""))))</f>
        <v>High</v>
      </c>
      <c r="U633">
        <v>1</v>
      </c>
    </row>
    <row r="634" spans="1:22" x14ac:dyDescent="0.25">
      <c r="A634" t="s">
        <v>927</v>
      </c>
      <c r="B634" s="2">
        <v>45388</v>
      </c>
      <c r="C634" s="2" t="str" cm="1">
        <f t="array" ref="C6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4">
        <f>YEAR(AllData[[#This Row],[Date]])</f>
        <v>2024</v>
      </c>
      <c r="E634" s="1">
        <v>0.47430555555555554</v>
      </c>
      <c r="F634" s="2" t="str">
        <f>IF(AND(AllData[[#This Row],[Time]]&lt;0.5, AllData[[#This Row],[Time]]&gt;0.17)=TRUE, "Morning", IF(AND(AllData[[#This Row],[Time]]&lt;0.75, AllData[[#This Row],[Time]]&gt;=0.5)=TRUE, "Afternoon", IF(AND(AllData[[#This Row],[Time]]&lt;1, AllData[[#This Row],[Time]]&gt;=0.75)=TRUE, "Evening", "Night")))</f>
        <v>Morning</v>
      </c>
      <c r="G634" t="str">
        <f>_xlfn.XLOOKUP(AllData[[#This Row],[Location Name]], Locations[Location Name],Locations[Group As])</f>
        <v>Avon Smiths Meadow Wyre Piddle</v>
      </c>
      <c r="H634" t="e" vm="17">
        <f>_xlfn.XLOOKUP(AllData[[#This Row],[Site Name]],LocationsKey[Site Name],LocationsKey[District])</f>
        <v>#VALUE!</v>
      </c>
      <c r="I634" t="e" vm="20">
        <f>_xlfn.XLOOKUP(AllData[[#This Row],[Site Name]],LocationsKey[Site Name],LocationsKey[Town])</f>
        <v>#VALUE!</v>
      </c>
      <c r="J634" t="str">
        <f>_xlfn.XLOOKUP(AllData[[#This Row],[Site Name]],LocationsKey[Site Name], LocationsKey[Waterway])</f>
        <v>Avon</v>
      </c>
      <c r="K634" t="s">
        <v>741</v>
      </c>
      <c r="L634">
        <v>52.125045</v>
      </c>
      <c r="M634">
        <v>-2.0538820000000002</v>
      </c>
      <c r="N634" t="s">
        <v>23</v>
      </c>
      <c r="O634" s="128">
        <v>495</v>
      </c>
      <c r="P634">
        <v>13</v>
      </c>
      <c r="Q634" s="128">
        <v>4</v>
      </c>
      <c r="R634" s="7" t="str">
        <f>IF(AllData[[#This Row],[Nitrate (PPM)]]&gt;2, "Very high", IF(AllData[[#This Row],[Nitrate (PPM)]]&gt;1, "High", IF(AllData[[#This Row],[Nitrate (PPM)]]&gt;0.5, "Some evidence", IF(AllData[[#This Row],[Nitrate (PPM)]]&gt;=0, "No evidence"))))</f>
        <v>Very high</v>
      </c>
      <c r="S634" s="134">
        <v>0.37</v>
      </c>
      <c r="T634" s="7" t="str">
        <f>IF(AllData[[#This Row],[Phosphate (PPM)]]&gt;0.5, "Very high", IF(AllData[[#This Row],[Phosphate (PPM)]]&gt;0.1, "High", IF(AllData[[#This Row],[Phosphate (PPM)]]&gt;0.05, "Some evidence", IF(AllData[[#This Row],[Phosphate (PPM)]]&lt;=0.05, "No Evidence", ""))))</f>
        <v>High</v>
      </c>
      <c r="U634">
        <v>2.0299999999999998</v>
      </c>
      <c r="V634" t="s">
        <v>928</v>
      </c>
    </row>
    <row r="635" spans="1:22" x14ac:dyDescent="0.25">
      <c r="A635" t="s">
        <v>929</v>
      </c>
      <c r="B635" s="2">
        <v>45388</v>
      </c>
      <c r="C635" s="2" t="str" cm="1">
        <f t="array" ref="C6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5">
        <f>YEAR(AllData[[#This Row],[Date]])</f>
        <v>2024</v>
      </c>
      <c r="E635" s="1">
        <v>0.51041666666666663</v>
      </c>
      <c r="F635" s="2" t="str">
        <f>IF(AND(AllData[[#This Row],[Time]]&lt;0.5, AllData[[#This Row],[Time]]&gt;0.17)=TRUE, "Morning", IF(AND(AllData[[#This Row],[Time]]&lt;0.75, AllData[[#This Row],[Time]]&gt;=0.5)=TRUE, "Afternoon", IF(AND(AllData[[#This Row],[Time]]&lt;1, AllData[[#This Row],[Time]]&gt;=0.75)=TRUE, "Evening", "Night")))</f>
        <v>Afternoon</v>
      </c>
      <c r="G635" t="str">
        <f>_xlfn.XLOOKUP(AllData[[#This Row],[Location Name]], Locations[Location Name],Locations[Group As])</f>
        <v>Piddle Brook Wyre Piddle Bridge</v>
      </c>
      <c r="H635" t="e" vm="17">
        <f>_xlfn.XLOOKUP(AllData[[#This Row],[Site Name]],LocationsKey[Site Name],LocationsKey[District])</f>
        <v>#VALUE!</v>
      </c>
      <c r="I635" t="e" vm="20">
        <f>_xlfn.XLOOKUP(AllData[[#This Row],[Site Name]],LocationsKey[Site Name],LocationsKey[Town])</f>
        <v>#VALUE!</v>
      </c>
      <c r="J635" t="str">
        <f>_xlfn.XLOOKUP(AllData[[#This Row],[Site Name]],LocationsKey[Site Name], LocationsKey[Waterway])</f>
        <v>Piddle Brook</v>
      </c>
      <c r="K635" t="s">
        <v>744</v>
      </c>
      <c r="L635">
        <v>52.126424</v>
      </c>
      <c r="M635">
        <v>-2.0565760000000002</v>
      </c>
      <c r="N635" t="s">
        <v>23</v>
      </c>
      <c r="O635" s="128">
        <v>639</v>
      </c>
      <c r="P635">
        <v>13.3</v>
      </c>
      <c r="Q635" s="128">
        <v>4</v>
      </c>
      <c r="R635" s="7" t="str">
        <f>IF(AllData[[#This Row],[Nitrate (PPM)]]&gt;2, "Very high", IF(AllData[[#This Row],[Nitrate (PPM)]]&gt;1, "High", IF(AllData[[#This Row],[Nitrate (PPM)]]&gt;0.5, "Some evidence", IF(AllData[[#This Row],[Nitrate (PPM)]]&gt;=0, "No evidence"))))</f>
        <v>Very high</v>
      </c>
      <c r="S635" s="134">
        <v>0.32</v>
      </c>
      <c r="T635" s="7" t="str">
        <f>IF(AllData[[#This Row],[Phosphate (PPM)]]&gt;0.5, "Very high", IF(AllData[[#This Row],[Phosphate (PPM)]]&gt;0.1, "High", IF(AllData[[#This Row],[Phosphate (PPM)]]&gt;0.05, "Some evidence", IF(AllData[[#This Row],[Phosphate (PPM)]]&lt;=0.05, "No Evidence", ""))))</f>
        <v>High</v>
      </c>
      <c r="U635">
        <v>0.96</v>
      </c>
      <c r="V635" t="s">
        <v>930</v>
      </c>
    </row>
    <row r="636" spans="1:22" x14ac:dyDescent="0.25">
      <c r="A636" t="s">
        <v>931</v>
      </c>
      <c r="B636" s="2">
        <v>45388</v>
      </c>
      <c r="C636" s="2" t="str" cm="1">
        <f t="array" ref="C6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6">
        <f>YEAR(AllData[[#This Row],[Date]])</f>
        <v>2024</v>
      </c>
      <c r="E636" s="1">
        <v>0.59027777777777779</v>
      </c>
      <c r="F636" s="2" t="str">
        <f>IF(AND(AllData[[#This Row],[Time]]&lt;0.5, AllData[[#This Row],[Time]]&gt;0.17)=TRUE, "Morning", IF(AND(AllData[[#This Row],[Time]]&lt;0.75, AllData[[#This Row],[Time]]&gt;=0.5)=TRUE, "Afternoon", IF(AND(AllData[[#This Row],[Time]]&lt;1, AllData[[#This Row],[Time]]&gt;=0.75)=TRUE, "Evening", "Night")))</f>
        <v>Afternoon</v>
      </c>
      <c r="G636" t="str">
        <f>_xlfn.XLOOKUP(AllData[[#This Row],[Location Name]], Locations[Location Name],Locations[Group As])</f>
        <v>Preston-on-Stour River Bridge</v>
      </c>
      <c r="H636" t="e" vm="2">
        <f>_xlfn.XLOOKUP(AllData[[#This Row],[Site Name]],LocationsKey[Site Name],LocationsKey[District])</f>
        <v>#VALUE!</v>
      </c>
      <c r="I636" t="e" vm="9">
        <f>_xlfn.XLOOKUP(AllData[[#This Row],[Site Name]],LocationsKey[Site Name],LocationsKey[Town])</f>
        <v>#VALUE!</v>
      </c>
      <c r="J636" t="str">
        <f>_xlfn.XLOOKUP(AllData[[#This Row],[Site Name]],LocationsKey[Site Name], LocationsKey[Waterway])</f>
        <v>Stour</v>
      </c>
      <c r="K636" t="s">
        <v>163</v>
      </c>
      <c r="L636">
        <v>52.146602000000001</v>
      </c>
      <c r="M636">
        <v>-1.70031</v>
      </c>
      <c r="N636" t="s">
        <v>29</v>
      </c>
      <c r="O636" s="128">
        <v>544</v>
      </c>
      <c r="P636">
        <v>14.4</v>
      </c>
      <c r="Q636" s="128">
        <v>6</v>
      </c>
      <c r="R636" s="7" t="str">
        <f>IF(AllData[[#This Row],[Nitrate (PPM)]]&gt;2, "Very high", IF(AllData[[#This Row],[Nitrate (PPM)]]&gt;1, "High", IF(AllData[[#This Row],[Nitrate (PPM)]]&gt;0.5, "Some evidence", IF(AllData[[#This Row],[Nitrate (PPM)]]&gt;=0, "No evidence"))))</f>
        <v>Very high</v>
      </c>
      <c r="S636" s="134">
        <v>0.26</v>
      </c>
      <c r="T636" s="7" t="str">
        <f>IF(AllData[[#This Row],[Phosphate (PPM)]]&gt;0.5, "Very high", IF(AllData[[#This Row],[Phosphate (PPM)]]&gt;0.1, "High", IF(AllData[[#This Row],[Phosphate (PPM)]]&gt;0.05, "Some evidence", IF(AllData[[#This Row],[Phosphate (PPM)]]&lt;=0.05, "No Evidence", ""))))</f>
        <v>High</v>
      </c>
      <c r="U636">
        <v>2</v>
      </c>
      <c r="V636" t="s">
        <v>932</v>
      </c>
    </row>
    <row r="637" spans="1:22" x14ac:dyDescent="0.25">
      <c r="A637" t="s">
        <v>933</v>
      </c>
      <c r="B637" s="2">
        <v>45388</v>
      </c>
      <c r="C637" s="2" t="str" cm="1">
        <f t="array" ref="C6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7">
        <f>YEAR(AllData[[#This Row],[Date]])</f>
        <v>2024</v>
      </c>
      <c r="E637" s="1">
        <v>0.625</v>
      </c>
      <c r="F637" s="2" t="str">
        <f>IF(AND(AllData[[#This Row],[Time]]&lt;0.5, AllData[[#This Row],[Time]]&gt;0.17)=TRUE, "Morning", IF(AND(AllData[[#This Row],[Time]]&lt;0.75, AllData[[#This Row],[Time]]&gt;=0.5)=TRUE, "Afternoon", IF(AND(AllData[[#This Row],[Time]]&lt;1, AllData[[#This Row],[Time]]&gt;=0.75)=TRUE, "Evening", "Night")))</f>
        <v>Afternoon</v>
      </c>
      <c r="G637" t="str">
        <f>_xlfn.XLOOKUP(AllData[[#This Row],[Location Name]], Locations[Location Name],Locations[Group As])</f>
        <v>Carrant Bredon Rd</v>
      </c>
      <c r="H637" t="e" vm="1">
        <f>_xlfn.XLOOKUP(AllData[[#This Row],[Site Name]],LocationsKey[Site Name],LocationsKey[District])</f>
        <v>#VALUE!</v>
      </c>
      <c r="I637" t="e" vm="1">
        <f>_xlfn.XLOOKUP(AllData[[#This Row],[Site Name]],LocationsKey[Site Name],LocationsKey[Town])</f>
        <v>#VALUE!</v>
      </c>
      <c r="J637" t="str">
        <f>_xlfn.XLOOKUP(AllData[[#This Row],[Site Name]],LocationsKey[Site Name], LocationsKey[Waterway])</f>
        <v>Carrant</v>
      </c>
      <c r="K637" t="s">
        <v>600</v>
      </c>
      <c r="L637">
        <v>51.996315000000003</v>
      </c>
      <c r="M637">
        <v>-2.1561300000000001</v>
      </c>
      <c r="N637" t="s">
        <v>23</v>
      </c>
      <c r="O637" s="128">
        <v>652</v>
      </c>
      <c r="P637">
        <v>15.1</v>
      </c>
      <c r="Q637" s="128">
        <v>5</v>
      </c>
      <c r="R637" s="7" t="str">
        <f>IF(AllData[[#This Row],[Nitrate (PPM)]]&gt;2, "Very high", IF(AllData[[#This Row],[Nitrate (PPM)]]&gt;1, "High", IF(AllData[[#This Row],[Nitrate (PPM)]]&gt;0.5, "Some evidence", IF(AllData[[#This Row],[Nitrate (PPM)]]&gt;=0, "No evidence"))))</f>
        <v>Very high</v>
      </c>
      <c r="S637" s="134">
        <v>0.3</v>
      </c>
      <c r="T637" s="7" t="str">
        <f>IF(AllData[[#This Row],[Phosphate (PPM)]]&gt;0.5, "Very high", IF(AllData[[#This Row],[Phosphate (PPM)]]&gt;0.1, "High", IF(AllData[[#This Row],[Phosphate (PPM)]]&gt;0.05, "Some evidence", IF(AllData[[#This Row],[Phosphate (PPM)]]&lt;=0.05, "No Evidence", ""))))</f>
        <v>High</v>
      </c>
      <c r="U637">
        <v>1.28</v>
      </c>
      <c r="V637" t="s">
        <v>934</v>
      </c>
    </row>
    <row r="638" spans="1:22" x14ac:dyDescent="0.25">
      <c r="A638" t="s">
        <v>935</v>
      </c>
      <c r="B638" s="2">
        <v>45388</v>
      </c>
      <c r="C638" s="2" t="str" cm="1">
        <f t="array" ref="C6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8">
        <f>YEAR(AllData[[#This Row],[Date]])</f>
        <v>2024</v>
      </c>
      <c r="E638" s="1">
        <v>0.64583333333333337</v>
      </c>
      <c r="F638" s="2" t="str">
        <f>IF(AND(AllData[[#This Row],[Time]]&lt;0.5, AllData[[#This Row],[Time]]&gt;0.17)=TRUE, "Morning", IF(AND(AllData[[#This Row],[Time]]&lt;0.75, AllData[[#This Row],[Time]]&gt;=0.5)=TRUE, "Afternoon", IF(AND(AllData[[#This Row],[Time]]&lt;1, AllData[[#This Row],[Time]]&gt;=0.75)=TRUE, "Evening", "Night")))</f>
        <v>Afternoon</v>
      </c>
      <c r="G638" t="str">
        <f>_xlfn.XLOOKUP(AllData[[#This Row],[Location Name]], Locations[Location Name],Locations[Group As])</f>
        <v>Black Bear</v>
      </c>
      <c r="H638" t="e" vm="1">
        <f>_xlfn.XLOOKUP(AllData[[#This Row],[Site Name]],LocationsKey[Site Name],LocationsKey[District])</f>
        <v>#VALUE!</v>
      </c>
      <c r="I638" t="e" vm="1">
        <f>_xlfn.XLOOKUP(AllData[[#This Row],[Site Name]],LocationsKey[Site Name],LocationsKey[Town])</f>
        <v>#VALUE!</v>
      </c>
      <c r="J638" t="str">
        <f>_xlfn.XLOOKUP(AllData[[#This Row],[Site Name]],LocationsKey[Site Name], LocationsKey[Waterway])</f>
        <v>Avon</v>
      </c>
      <c r="K638" t="s">
        <v>567</v>
      </c>
      <c r="N638" t="s">
        <v>23</v>
      </c>
      <c r="O638" s="128">
        <v>631</v>
      </c>
      <c r="P638">
        <v>14.6</v>
      </c>
      <c r="Q638" s="128">
        <v>5</v>
      </c>
      <c r="R638" s="7" t="str">
        <f>IF(AllData[[#This Row],[Nitrate (PPM)]]&gt;2, "Very high", IF(AllData[[#This Row],[Nitrate (PPM)]]&gt;1, "High", IF(AllData[[#This Row],[Nitrate (PPM)]]&gt;0.5, "Some evidence", IF(AllData[[#This Row],[Nitrate (PPM)]]&gt;=0, "No evidence"))))</f>
        <v>Very high</v>
      </c>
      <c r="S638" s="134">
        <v>0.4</v>
      </c>
      <c r="T638" s="7" t="str">
        <f>IF(AllData[[#This Row],[Phosphate (PPM)]]&gt;0.5, "Very high", IF(AllData[[#This Row],[Phosphate (PPM)]]&gt;0.1, "High", IF(AllData[[#This Row],[Phosphate (PPM)]]&gt;0.05, "Some evidence", IF(AllData[[#This Row],[Phosphate (PPM)]]&lt;=0.05, "No Evidence", ""))))</f>
        <v>High</v>
      </c>
      <c r="U638">
        <v>0</v>
      </c>
      <c r="V638" t="s">
        <v>936</v>
      </c>
    </row>
    <row r="639" spans="1:22" x14ac:dyDescent="0.25">
      <c r="A639" t="s">
        <v>1758</v>
      </c>
      <c r="B639" s="2">
        <v>45388</v>
      </c>
      <c r="C639" s="2" t="str" cm="1">
        <f t="array" ref="C6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9">
        <f>YEAR(AllData[[#This Row],[Date]])</f>
        <v>2024</v>
      </c>
      <c r="F639" s="2" t="str">
        <f>IF(AND(AllData[[#This Row],[Time]]&lt;0.5, AllData[[#This Row],[Time]]&gt;0.17)=TRUE, "Morning", IF(AND(AllData[[#This Row],[Time]]&lt;0.75, AllData[[#This Row],[Time]]&gt;=0.5)=TRUE, "Afternoon", IF(AND(AllData[[#This Row],[Time]]&lt;1, AllData[[#This Row],[Time]]&gt;=0.75)=TRUE, "Evening", "Night")))</f>
        <v>Night</v>
      </c>
      <c r="G639" t="str">
        <f>_xlfn.XLOOKUP(AllData[[#This Row],[Location Name]], Locations[Location Name],Locations[Group As])</f>
        <v>Site 1  :  Middle Street</v>
      </c>
      <c r="H639" t="e" vm="2">
        <f>_xlfn.XLOOKUP(AllData[[#This Row],[Site Name]],LocationsKey[Site Name],LocationsKey[District])</f>
        <v>#VALUE!</v>
      </c>
      <c r="I639" t="e" vm="11">
        <f>_xlfn.XLOOKUP(AllData[[#This Row],[Site Name]],LocationsKey[Site Name],LocationsKey[Town])</f>
        <v>#VALUE!</v>
      </c>
      <c r="J639" t="str">
        <f>_xlfn.XLOOKUP(AllData[[#This Row],[Site Name]],LocationsKey[Site Name], LocationsKey[Waterway])</f>
        <v>Fosseway Brook</v>
      </c>
      <c r="K639" t="s">
        <v>1859</v>
      </c>
      <c r="L639">
        <v>52.090085000000002</v>
      </c>
      <c r="M639">
        <v>-1.692593</v>
      </c>
      <c r="N639" t="s">
        <v>66</v>
      </c>
      <c r="O639" s="128">
        <v>519</v>
      </c>
      <c r="P639">
        <v>14.8</v>
      </c>
      <c r="Q639" s="128">
        <v>2</v>
      </c>
      <c r="R639" s="7" t="str">
        <f>IF(AllData[[#This Row],[Nitrate (PPM)]]&gt;2, "Very high", IF(AllData[[#This Row],[Nitrate (PPM)]]&gt;1, "High", IF(AllData[[#This Row],[Nitrate (PPM)]]&gt;0.5, "Some evidence", IF(AllData[[#This Row],[Nitrate (PPM)]]&gt;=0, "No evidence"))))</f>
        <v>High</v>
      </c>
      <c r="S639" s="134">
        <v>0.06</v>
      </c>
      <c r="T639" s="7" t="str">
        <f>IF(AllData[[#This Row],[Phosphate (PPM)]]&gt;0.5, "Very high", IF(AllData[[#This Row],[Phosphate (PPM)]]&gt;0.1, "High", IF(AllData[[#This Row],[Phosphate (PPM)]]&gt;0.05, "Some evidence", IF(AllData[[#This Row],[Phosphate (PPM)]]&lt;=0.05, "No Evidence", ""))))</f>
        <v>Some evidence</v>
      </c>
      <c r="U639">
        <v>0</v>
      </c>
      <c r="V639" t="s">
        <v>1904</v>
      </c>
    </row>
    <row r="640" spans="1:22" x14ac:dyDescent="0.25">
      <c r="A640" t="s">
        <v>1440</v>
      </c>
      <c r="B640" s="2">
        <v>45388</v>
      </c>
      <c r="C640" s="2" t="str" cm="1">
        <f t="array" ref="C6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0">
        <f>YEAR(AllData[[#This Row],[Date]])</f>
        <v>2024</v>
      </c>
      <c r="E640" s="1"/>
      <c r="F640" s="2" t="str">
        <f>IF(AND(AllData[[#This Row],[Time]]&lt;0.5, AllData[[#This Row],[Time]]&gt;0.17)=TRUE, "Morning", IF(AND(AllData[[#This Row],[Time]]&lt;0.75, AllData[[#This Row],[Time]]&gt;=0.5)=TRUE, "Afternoon", IF(AND(AllData[[#This Row],[Time]]&lt;1, AllData[[#This Row],[Time]]&gt;=0.75)=TRUE, "Evening", "Night")))</f>
        <v>Night</v>
      </c>
      <c r="G640" t="str">
        <f>_xlfn.XLOOKUP(AllData[[#This Row],[Location Name]], Locations[Location Name],Locations[Group As])</f>
        <v>Site 1  :  Middle Street</v>
      </c>
      <c r="H640" t="e" vm="2">
        <f>_xlfn.XLOOKUP(AllData[[#This Row],[Site Name]],LocationsKey[Site Name],LocationsKey[District])</f>
        <v>#VALUE!</v>
      </c>
      <c r="I640" t="e" vm="11">
        <f>_xlfn.XLOOKUP(AllData[[#This Row],[Site Name]],LocationsKey[Site Name],LocationsKey[Town])</f>
        <v>#VALUE!</v>
      </c>
      <c r="J640" t="str">
        <f>_xlfn.XLOOKUP(AllData[[#This Row],[Site Name]],LocationsKey[Site Name], LocationsKey[Waterway])</f>
        <v>Fosseway Brook</v>
      </c>
      <c r="K640" t="s">
        <v>1373</v>
      </c>
      <c r="L640">
        <v>52.090085000000002</v>
      </c>
      <c r="M640">
        <v>-1.692593</v>
      </c>
      <c r="N640" t="s">
        <v>66</v>
      </c>
      <c r="O640" s="128">
        <v>519</v>
      </c>
      <c r="P640">
        <v>14.8</v>
      </c>
      <c r="Q640" s="128">
        <v>2</v>
      </c>
      <c r="R640" s="7" t="str">
        <f>IF(AllData[[#This Row],[Nitrate (PPM)]]&gt;2, "Very high", IF(AllData[[#This Row],[Nitrate (PPM)]]&gt;1, "High", IF(AllData[[#This Row],[Nitrate (PPM)]]&gt;0.5, "Some evidence", IF(AllData[[#This Row],[Nitrate (PPM)]]&gt;=0, "No evidence"))))</f>
        <v>High</v>
      </c>
      <c r="S640" s="134">
        <v>0.06</v>
      </c>
      <c r="T640" s="7" t="str">
        <f>IF(AllData[[#This Row],[Phosphate (PPM)]]&gt;0.5, "Very high", IF(AllData[[#This Row],[Phosphate (PPM)]]&gt;0.1, "High", IF(AllData[[#This Row],[Phosphate (PPM)]]&gt;0.05, "Some evidence", IF(AllData[[#This Row],[Phosphate (PPM)]]&lt;=0.05, "No Evidence", ""))))</f>
        <v>Some evidence</v>
      </c>
      <c r="V640" t="s">
        <v>1441</v>
      </c>
    </row>
    <row r="641" spans="1:22" x14ac:dyDescent="0.25">
      <c r="A641" t="s">
        <v>1759</v>
      </c>
      <c r="B641" s="2">
        <v>45388</v>
      </c>
      <c r="C641" s="2" t="str" cm="1">
        <f t="array" ref="C6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1">
        <f>YEAR(AllData[[#This Row],[Date]])</f>
        <v>2024</v>
      </c>
      <c r="F641" s="2" t="str">
        <f>IF(AND(AllData[[#This Row],[Time]]&lt;0.5, AllData[[#This Row],[Time]]&gt;0.17)=TRUE, "Morning", IF(AND(AllData[[#This Row],[Time]]&lt;0.75, AllData[[#This Row],[Time]]&gt;=0.5)=TRUE, "Afternoon", IF(AND(AllData[[#This Row],[Time]]&lt;1, AllData[[#This Row],[Time]]&gt;=0.75)=TRUE, "Evening", "Night")))</f>
        <v>Night</v>
      </c>
      <c r="G641" t="str">
        <f>_xlfn.XLOOKUP(AllData[[#This Row],[Location Name]], Locations[Location Name],Locations[Group As])</f>
        <v>Site 2  :  Cross Leys culvert</v>
      </c>
      <c r="H641" t="e" vm="2">
        <f>_xlfn.XLOOKUP(AllData[[#This Row],[Site Name]],LocationsKey[Site Name],LocationsKey[District])</f>
        <v>#VALUE!</v>
      </c>
      <c r="I641" t="e" vm="11">
        <f>_xlfn.XLOOKUP(AllData[[#This Row],[Site Name]],LocationsKey[Site Name],LocationsKey[Town])</f>
        <v>#VALUE!</v>
      </c>
      <c r="J641" t="str">
        <f>_xlfn.XLOOKUP(AllData[[#This Row],[Site Name]],LocationsKey[Site Name], LocationsKey[Waterway])</f>
        <v>Fosseway Brook</v>
      </c>
      <c r="K641" t="s">
        <v>1860</v>
      </c>
      <c r="L641">
        <v>52.092967999999999</v>
      </c>
      <c r="M641">
        <v>-1.6862710000000001</v>
      </c>
      <c r="N641" t="s">
        <v>66</v>
      </c>
      <c r="O641" s="128">
        <v>588</v>
      </c>
      <c r="P641">
        <v>14.1</v>
      </c>
      <c r="Q641" s="128">
        <v>2</v>
      </c>
      <c r="R641" s="7" t="str">
        <f>IF(AllData[[#This Row],[Nitrate (PPM)]]&gt;2, "Very high", IF(AllData[[#This Row],[Nitrate (PPM)]]&gt;1, "High", IF(AllData[[#This Row],[Nitrate (PPM)]]&gt;0.5, "Some evidence", IF(AllData[[#This Row],[Nitrate (PPM)]]&gt;=0, "No evidence"))))</f>
        <v>High</v>
      </c>
      <c r="S641" s="134">
        <v>0.3</v>
      </c>
      <c r="T641" s="7" t="str">
        <f>IF(AllData[[#This Row],[Phosphate (PPM)]]&gt;0.5, "Very high", IF(AllData[[#This Row],[Phosphate (PPM)]]&gt;0.1, "High", IF(AllData[[#This Row],[Phosphate (PPM)]]&gt;0.05, "Some evidence", IF(AllData[[#This Row],[Phosphate (PPM)]]&lt;=0.05, "No Evidence", ""))))</f>
        <v>High</v>
      </c>
      <c r="U641">
        <v>0</v>
      </c>
      <c r="V641" t="s">
        <v>1905</v>
      </c>
    </row>
    <row r="642" spans="1:22" x14ac:dyDescent="0.25">
      <c r="A642" t="s">
        <v>1439</v>
      </c>
      <c r="B642" s="2">
        <v>45388</v>
      </c>
      <c r="C642" s="2" t="str" cm="1">
        <f t="array" ref="C6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2">
        <f>YEAR(AllData[[#This Row],[Date]])</f>
        <v>2024</v>
      </c>
      <c r="E642" s="1"/>
      <c r="F642" s="2" t="str">
        <f>IF(AND(AllData[[#This Row],[Time]]&lt;0.5, AllData[[#This Row],[Time]]&gt;0.17)=TRUE, "Morning", IF(AND(AllData[[#This Row],[Time]]&lt;0.75, AllData[[#This Row],[Time]]&gt;=0.5)=TRUE, "Afternoon", IF(AND(AllData[[#This Row],[Time]]&lt;1, AllData[[#This Row],[Time]]&gt;=0.75)=TRUE, "Evening", "Night")))</f>
        <v>Night</v>
      </c>
      <c r="G642" t="str">
        <f>_xlfn.XLOOKUP(AllData[[#This Row],[Location Name]], Locations[Location Name],Locations[Group As])</f>
        <v>Site 2  :  Cross Leys culvert</v>
      </c>
      <c r="H642" t="e" vm="2">
        <f>_xlfn.XLOOKUP(AllData[[#This Row],[Site Name]],LocationsKey[Site Name],LocationsKey[District])</f>
        <v>#VALUE!</v>
      </c>
      <c r="I642" t="e" vm="11">
        <f>_xlfn.XLOOKUP(AllData[[#This Row],[Site Name]],LocationsKey[Site Name],LocationsKey[Town])</f>
        <v>#VALUE!</v>
      </c>
      <c r="J642" t="str">
        <f>_xlfn.XLOOKUP(AllData[[#This Row],[Site Name]],LocationsKey[Site Name], LocationsKey[Waterway])</f>
        <v>Fosseway Brook</v>
      </c>
      <c r="K642" t="s">
        <v>1371</v>
      </c>
      <c r="L642">
        <v>52.092967999999999</v>
      </c>
      <c r="M642">
        <v>-1.6862710000000001</v>
      </c>
      <c r="N642" t="s">
        <v>66</v>
      </c>
      <c r="O642" s="128">
        <v>588</v>
      </c>
      <c r="P642">
        <v>14.1</v>
      </c>
      <c r="Q642" s="128">
        <v>2</v>
      </c>
      <c r="R642" s="7" t="str">
        <f>IF(AllData[[#This Row],[Nitrate (PPM)]]&gt;2, "Very high", IF(AllData[[#This Row],[Nitrate (PPM)]]&gt;1, "High", IF(AllData[[#This Row],[Nitrate (PPM)]]&gt;0.5, "Some evidence", IF(AllData[[#This Row],[Nitrate (PPM)]]&gt;=0, "No evidence"))))</f>
        <v>High</v>
      </c>
      <c r="S642" s="134">
        <v>0.3</v>
      </c>
      <c r="T642" s="7" t="str">
        <f>IF(AllData[[#This Row],[Phosphate (PPM)]]&gt;0.5, "Very high", IF(AllData[[#This Row],[Phosphate (PPM)]]&gt;0.1, "High", IF(AllData[[#This Row],[Phosphate (PPM)]]&gt;0.05, "Some evidence", IF(AllData[[#This Row],[Phosphate (PPM)]]&lt;=0.05, "No Evidence", ""))))</f>
        <v>High</v>
      </c>
      <c r="V642" t="s">
        <v>1435</v>
      </c>
    </row>
    <row r="643" spans="1:22" x14ac:dyDescent="0.25">
      <c r="A643" t="s">
        <v>1760</v>
      </c>
      <c r="B643" s="2">
        <v>45388</v>
      </c>
      <c r="C643" s="2" t="str" cm="1">
        <f t="array" ref="C6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3">
        <f>YEAR(AllData[[#This Row],[Date]])</f>
        <v>2024</v>
      </c>
      <c r="F643" s="2" t="str">
        <f>IF(AND(AllData[[#This Row],[Time]]&lt;0.5, AllData[[#This Row],[Time]]&gt;0.17)=TRUE, "Morning", IF(AND(AllData[[#This Row],[Time]]&lt;0.75, AllData[[#This Row],[Time]]&gt;=0.5)=TRUE, "Afternoon", IF(AND(AllData[[#This Row],[Time]]&lt;1, AllData[[#This Row],[Time]]&gt;=0.75)=TRUE, "Evening", "Night")))</f>
        <v>Night</v>
      </c>
      <c r="G643" t="str">
        <f>_xlfn.XLOOKUP(AllData[[#This Row],[Location Name]], Locations[Location Name],Locations[Group As])</f>
        <v>Site 3  :  Severn Trent Water processing plant outflow</v>
      </c>
      <c r="H643" t="e" vm="2">
        <f>_xlfn.XLOOKUP(AllData[[#This Row],[Site Name]],LocationsKey[Site Name],LocationsKey[District])</f>
        <v>#VALUE!</v>
      </c>
      <c r="I643" t="e" vm="11">
        <f>_xlfn.XLOOKUP(AllData[[#This Row],[Site Name]],LocationsKey[Site Name],LocationsKey[Town])</f>
        <v>#VALUE!</v>
      </c>
      <c r="J643" t="str">
        <f>_xlfn.XLOOKUP(AllData[[#This Row],[Site Name]],LocationsKey[Site Name], LocationsKey[Waterway])</f>
        <v>Fosseway Brook</v>
      </c>
      <c r="K643" t="s">
        <v>1861</v>
      </c>
      <c r="L643">
        <v>52.094423999999997</v>
      </c>
      <c r="M643">
        <v>-1.6759090000000001</v>
      </c>
      <c r="N643" t="s">
        <v>29</v>
      </c>
      <c r="O643" s="128">
        <v>712</v>
      </c>
      <c r="P643">
        <v>13.1</v>
      </c>
      <c r="Q643" s="128">
        <v>5</v>
      </c>
      <c r="R643" s="7" t="str">
        <f>IF(AllData[[#This Row],[Nitrate (PPM)]]&gt;2, "Very high", IF(AllData[[#This Row],[Nitrate (PPM)]]&gt;1, "High", IF(AllData[[#This Row],[Nitrate (PPM)]]&gt;0.5, "Some evidence", IF(AllData[[#This Row],[Nitrate (PPM)]]&gt;=0, "No evidence"))))</f>
        <v>Very high</v>
      </c>
      <c r="S643" s="134">
        <v>2.5</v>
      </c>
      <c r="T643" s="7" t="str">
        <f>IF(AllData[[#This Row],[Phosphate (PPM)]]&gt;0.5, "Very high", IF(AllData[[#This Row],[Phosphate (PPM)]]&gt;0.1, "High", IF(AllData[[#This Row],[Phosphate (PPM)]]&gt;0.05, "Some evidence", IF(AllData[[#This Row],[Phosphate (PPM)]]&lt;=0.05, "No Evidence", ""))))</f>
        <v>Very high</v>
      </c>
      <c r="U643">
        <v>0</v>
      </c>
      <c r="V643" t="s">
        <v>1906</v>
      </c>
    </row>
    <row r="644" spans="1:22" x14ac:dyDescent="0.25">
      <c r="A644" t="s">
        <v>1438</v>
      </c>
      <c r="B644" s="2">
        <v>45388</v>
      </c>
      <c r="C644" s="2" t="str" cm="1">
        <f t="array" ref="C6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4">
        <f>YEAR(AllData[[#This Row],[Date]])</f>
        <v>2024</v>
      </c>
      <c r="E644" s="1"/>
      <c r="F644" s="2" t="str">
        <f>IF(AND(AllData[[#This Row],[Time]]&lt;0.5, AllData[[#This Row],[Time]]&gt;0.17)=TRUE, "Morning", IF(AND(AllData[[#This Row],[Time]]&lt;0.75, AllData[[#This Row],[Time]]&gt;=0.5)=TRUE, "Afternoon", IF(AND(AllData[[#This Row],[Time]]&lt;1, AllData[[#This Row],[Time]]&gt;=0.75)=TRUE, "Evening", "Night")))</f>
        <v>Night</v>
      </c>
      <c r="G644" t="str">
        <f>_xlfn.XLOOKUP(AllData[[#This Row],[Location Name]], Locations[Location Name],Locations[Group As])</f>
        <v>Site 3  :  Severn Trent Water processing plant outflow</v>
      </c>
      <c r="H644" t="e" vm="2">
        <f>_xlfn.XLOOKUP(AllData[[#This Row],[Site Name]],LocationsKey[Site Name],LocationsKey[District])</f>
        <v>#VALUE!</v>
      </c>
      <c r="I644" t="e" vm="11">
        <f>_xlfn.XLOOKUP(AllData[[#This Row],[Site Name]],LocationsKey[Site Name],LocationsKey[Town])</f>
        <v>#VALUE!</v>
      </c>
      <c r="J644" t="str">
        <f>_xlfn.XLOOKUP(AllData[[#This Row],[Site Name]],LocationsKey[Site Name], LocationsKey[Waterway])</f>
        <v>Fosseway Brook</v>
      </c>
      <c r="K644" t="s">
        <v>1368</v>
      </c>
      <c r="L644">
        <v>52.094423999999997</v>
      </c>
      <c r="M644">
        <v>-1.6759090000000001</v>
      </c>
      <c r="N644" t="s">
        <v>29</v>
      </c>
      <c r="O644" s="128">
        <v>712</v>
      </c>
      <c r="P644">
        <v>13.1</v>
      </c>
      <c r="Q644" s="128">
        <v>5</v>
      </c>
      <c r="R644" s="7" t="str">
        <f>IF(AllData[[#This Row],[Nitrate (PPM)]]&gt;2, "Very high", IF(AllData[[#This Row],[Nitrate (PPM)]]&gt;1, "High", IF(AllData[[#This Row],[Nitrate (PPM)]]&gt;0.5, "Some evidence", IF(AllData[[#This Row],[Nitrate (PPM)]]&gt;=0, "No evidence"))))</f>
        <v>Very high</v>
      </c>
      <c r="S644" s="134">
        <v>2.5</v>
      </c>
      <c r="T644" s="7" t="str">
        <f>IF(AllData[[#This Row],[Phosphate (PPM)]]&gt;0.5, "Very high", IF(AllData[[#This Row],[Phosphate (PPM)]]&gt;0.1, "High", IF(AllData[[#This Row],[Phosphate (PPM)]]&gt;0.05, "Some evidence", IF(AllData[[#This Row],[Phosphate (PPM)]]&lt;=0.05, "No Evidence", ""))))</f>
        <v>Very high</v>
      </c>
      <c r="V644" t="s">
        <v>1435</v>
      </c>
    </row>
    <row r="645" spans="1:22" x14ac:dyDescent="0.25">
      <c r="A645" t="s">
        <v>937</v>
      </c>
      <c r="B645" s="2">
        <v>45389</v>
      </c>
      <c r="C645" s="2" t="str" cm="1">
        <f t="array" ref="C6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5">
        <f>YEAR(AllData[[#This Row],[Date]])</f>
        <v>2024</v>
      </c>
      <c r="E645" s="1">
        <v>0.4513888888888889</v>
      </c>
      <c r="F645" s="2" t="str">
        <f>IF(AND(AllData[[#This Row],[Time]]&lt;0.5, AllData[[#This Row],[Time]]&gt;0.17)=TRUE, "Morning", IF(AND(AllData[[#This Row],[Time]]&lt;0.75, AllData[[#This Row],[Time]]&gt;=0.5)=TRUE, "Afternoon", IF(AND(AllData[[#This Row],[Time]]&lt;1, AllData[[#This Row],[Time]]&gt;=0.75)=TRUE, "Evening", "Night")))</f>
        <v>Morning</v>
      </c>
      <c r="G645" t="str">
        <f>_xlfn.XLOOKUP(AllData[[#This Row],[Location Name]], Locations[Location Name],Locations[Group As])</f>
        <v>The Ford, Langley</v>
      </c>
      <c r="H645" t="e" vm="2">
        <f>_xlfn.XLOOKUP(AllData[[#This Row],[Site Name]],LocationsKey[Site Name],LocationsKey[District])</f>
        <v>#VALUE!</v>
      </c>
      <c r="I645" t="str">
        <f>_xlfn.XLOOKUP(AllData[[#This Row],[Site Name]],LocationsKey[Site Name],LocationsKey[Town])</f>
        <v>Langley</v>
      </c>
      <c r="J645" t="str">
        <f>_xlfn.XLOOKUP(AllData[[#This Row],[Site Name]],LocationsKey[Site Name], LocationsKey[Waterway])</f>
        <v>Langley Ford</v>
      </c>
      <c r="K645" t="s">
        <v>557</v>
      </c>
      <c r="L645">
        <v>52.259639</v>
      </c>
      <c r="M645">
        <v>-1.7181999999999999</v>
      </c>
      <c r="N645" t="s">
        <v>29</v>
      </c>
      <c r="O645" s="128">
        <v>436</v>
      </c>
      <c r="P645">
        <v>11</v>
      </c>
      <c r="Q645" s="128">
        <v>0.5</v>
      </c>
      <c r="R645" s="7" t="str">
        <f>IF(AllData[[#This Row],[Nitrate (PPM)]]&gt;2, "Very high", IF(AllData[[#This Row],[Nitrate (PPM)]]&gt;1, "High", IF(AllData[[#This Row],[Nitrate (PPM)]]&gt;0.5, "Some evidence", IF(AllData[[#This Row],[Nitrate (PPM)]]&gt;=0, "No evidence"))))</f>
        <v>No evidence</v>
      </c>
      <c r="S645" s="134">
        <v>0.73</v>
      </c>
      <c r="T645" s="7" t="str">
        <f>IF(AllData[[#This Row],[Phosphate (PPM)]]&gt;0.5, "Very high", IF(AllData[[#This Row],[Phosphate (PPM)]]&gt;0.1, "High", IF(AllData[[#This Row],[Phosphate (PPM)]]&gt;0.05, "Some evidence", IF(AllData[[#This Row],[Phosphate (PPM)]]&lt;=0.05, "No Evidence", ""))))</f>
        <v>Very high</v>
      </c>
      <c r="U645">
        <v>0.45</v>
      </c>
      <c r="V645" t="s">
        <v>938</v>
      </c>
    </row>
    <row r="646" spans="1:22" x14ac:dyDescent="0.25">
      <c r="A646" t="s">
        <v>944</v>
      </c>
      <c r="B646" s="2">
        <v>45389</v>
      </c>
      <c r="C646" s="2" t="str" cm="1">
        <f t="array" ref="C6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6">
        <f>YEAR(AllData[[#This Row],[Date]])</f>
        <v>2024</v>
      </c>
      <c r="E646" s="1">
        <v>0.48958333333333331</v>
      </c>
      <c r="F646" s="2" t="str">
        <f>IF(AND(AllData[[#This Row],[Time]]&lt;0.5, AllData[[#This Row],[Time]]&gt;0.17)=TRUE, "Morning", IF(AND(AllData[[#This Row],[Time]]&lt;0.75, AllData[[#This Row],[Time]]&gt;=0.5)=TRUE, "Afternoon", IF(AND(AllData[[#This Row],[Time]]&lt;1, AllData[[#This Row],[Time]]&gt;=0.75)=TRUE, "Evening", "Night")))</f>
        <v>Morning</v>
      </c>
      <c r="G646" t="str">
        <f>_xlfn.XLOOKUP(AllData[[#This Row],[Location Name]], Locations[Location Name],Locations[Group As])</f>
        <v>Lucy's Mill Bridge</v>
      </c>
      <c r="H646" t="e" vm="2">
        <f>_xlfn.XLOOKUP(AllData[[#This Row],[Site Name]],LocationsKey[Site Name],LocationsKey[District])</f>
        <v>#VALUE!</v>
      </c>
      <c r="I646" t="e" vm="7">
        <f>_xlfn.XLOOKUP(AllData[[#This Row],[Site Name]],LocationsKey[Site Name],LocationsKey[Town])</f>
        <v>#VALUE!</v>
      </c>
      <c r="J646" t="str">
        <f>_xlfn.XLOOKUP(AllData[[#This Row],[Site Name]],LocationsKey[Site Name], LocationsKey[Waterway])</f>
        <v>Avon</v>
      </c>
      <c r="K646" t="s">
        <v>216</v>
      </c>
      <c r="L646">
        <v>52.183698999999997</v>
      </c>
      <c r="M646">
        <v>-1.707816</v>
      </c>
      <c r="N646" t="s">
        <v>29</v>
      </c>
      <c r="O646" s="128"/>
      <c r="P646">
        <v>13</v>
      </c>
      <c r="Q646" s="128">
        <v>5</v>
      </c>
      <c r="R646" s="7" t="str">
        <f>IF(AllData[[#This Row],[Nitrate (PPM)]]&gt;2, "Very high", IF(AllData[[#This Row],[Nitrate (PPM)]]&gt;1, "High", IF(AllData[[#This Row],[Nitrate (PPM)]]&gt;0.5, "Some evidence", IF(AllData[[#This Row],[Nitrate (PPM)]]&gt;=0, "No evidence"))))</f>
        <v>Very high</v>
      </c>
      <c r="S646" s="134">
        <v>0.26</v>
      </c>
      <c r="T646" s="7" t="str">
        <f>IF(AllData[[#This Row],[Phosphate (PPM)]]&gt;0.5, "Very high", IF(AllData[[#This Row],[Phosphate (PPM)]]&gt;0.1, "High", IF(AllData[[#This Row],[Phosphate (PPM)]]&gt;0.05, "Some evidence", IF(AllData[[#This Row],[Phosphate (PPM)]]&lt;=0.05, "No Evidence", ""))))</f>
        <v>High</v>
      </c>
      <c r="U646">
        <v>0.7</v>
      </c>
    </row>
    <row r="647" spans="1:22" x14ac:dyDescent="0.25">
      <c r="A647" t="s">
        <v>939</v>
      </c>
      <c r="B647" s="2">
        <v>45389</v>
      </c>
      <c r="C647" s="2" t="str" cm="1">
        <f t="array" ref="C6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7">
        <f>YEAR(AllData[[#This Row],[Date]])</f>
        <v>2024</v>
      </c>
      <c r="E647" s="1">
        <v>0.57291666666666663</v>
      </c>
      <c r="F647" s="2" t="str">
        <f>IF(AND(AllData[[#This Row],[Time]]&lt;0.5, AllData[[#This Row],[Time]]&gt;0.17)=TRUE, "Morning", IF(AND(AllData[[#This Row],[Time]]&lt;0.75, AllData[[#This Row],[Time]]&gt;=0.5)=TRUE, "Afternoon", IF(AND(AllData[[#This Row],[Time]]&lt;1, AllData[[#This Row],[Time]]&gt;=0.75)=TRUE, "Evening", "Night")))</f>
        <v>Afternoon</v>
      </c>
      <c r="G647" t="str">
        <f>_xlfn.XLOOKUP(AllData[[#This Row],[Location Name]], Locations[Location Name],Locations[Group As])</f>
        <v>Clifford Chambers Mill Bridge</v>
      </c>
      <c r="H647" t="e" vm="2">
        <f>_xlfn.XLOOKUP(AllData[[#This Row],[Site Name]],LocationsKey[Site Name],LocationsKey[District])</f>
        <v>#VALUE!</v>
      </c>
      <c r="I647" t="e" vm="12">
        <f>_xlfn.XLOOKUP(AllData[[#This Row],[Site Name]],LocationsKey[Site Name],LocationsKey[Town])</f>
        <v>#VALUE!</v>
      </c>
      <c r="J647" t="str">
        <f>_xlfn.XLOOKUP(AllData[[#This Row],[Site Name]],LocationsKey[Site Name], LocationsKey[Waterway])</f>
        <v>Stour</v>
      </c>
      <c r="K647" t="s">
        <v>263</v>
      </c>
      <c r="L647">
        <v>52.166370000000001</v>
      </c>
      <c r="M647">
        <v>-1.708032</v>
      </c>
      <c r="N647" t="s">
        <v>66</v>
      </c>
      <c r="O647" s="128">
        <v>617</v>
      </c>
      <c r="P647">
        <v>14.4</v>
      </c>
      <c r="Q647" s="128">
        <v>9</v>
      </c>
      <c r="R647" s="7" t="str">
        <f>IF(AllData[[#This Row],[Nitrate (PPM)]]&gt;2, "Very high", IF(AllData[[#This Row],[Nitrate (PPM)]]&gt;1, "High", IF(AllData[[#This Row],[Nitrate (PPM)]]&gt;0.5, "Some evidence", IF(AllData[[#This Row],[Nitrate (PPM)]]&gt;=0, "No evidence"))))</f>
        <v>Very high</v>
      </c>
      <c r="S647" s="134">
        <v>0.24</v>
      </c>
      <c r="T647" s="7" t="str">
        <f>IF(AllData[[#This Row],[Phosphate (PPM)]]&gt;0.5, "Very high", IF(AllData[[#This Row],[Phosphate (PPM)]]&gt;0.1, "High", IF(AllData[[#This Row],[Phosphate (PPM)]]&gt;0.05, "Some evidence", IF(AllData[[#This Row],[Phosphate (PPM)]]&lt;=0.05, "No Evidence", ""))))</f>
        <v>High</v>
      </c>
      <c r="U647">
        <v>1.25</v>
      </c>
      <c r="V647" t="s">
        <v>32</v>
      </c>
    </row>
    <row r="648" spans="1:22" x14ac:dyDescent="0.25">
      <c r="A648" t="s">
        <v>940</v>
      </c>
      <c r="B648" s="2">
        <v>45389</v>
      </c>
      <c r="C648" s="2" t="str" cm="1">
        <f t="array" ref="C6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8">
        <f>YEAR(AllData[[#This Row],[Date]])</f>
        <v>2024</v>
      </c>
      <c r="E648" s="1">
        <v>0.61041666666666672</v>
      </c>
      <c r="F648" s="2" t="str">
        <f>IF(AND(AllData[[#This Row],[Time]]&lt;0.5, AllData[[#This Row],[Time]]&gt;0.17)=TRUE, "Morning", IF(AND(AllData[[#This Row],[Time]]&lt;0.75, AllData[[#This Row],[Time]]&gt;=0.5)=TRUE, "Afternoon", IF(AND(AllData[[#This Row],[Time]]&lt;1, AllData[[#This Row],[Time]]&gt;=0.75)=TRUE, "Evening", "Night")))</f>
        <v>Afternoon</v>
      </c>
      <c r="G648" t="str">
        <f>_xlfn.XLOOKUP(AllData[[#This Row],[Location Name]], Locations[Location Name],Locations[Group As])</f>
        <v>Walcot Lane, Bow Brook Ford</v>
      </c>
      <c r="H648" t="e" vm="17">
        <f>_xlfn.XLOOKUP(AllData[[#This Row],[Site Name]],LocationsKey[Site Name],LocationsKey[District])</f>
        <v>#VALUE!</v>
      </c>
      <c r="I648" t="e" vm="18">
        <f>_xlfn.XLOOKUP(AllData[[#This Row],[Site Name]],LocationsKey[Site Name],LocationsKey[Town])</f>
        <v>#VALUE!</v>
      </c>
      <c r="J648" t="str">
        <f>_xlfn.XLOOKUP(AllData[[#This Row],[Site Name]],LocationsKey[Site Name], LocationsKey[Waterway])</f>
        <v>Bow Brook</v>
      </c>
      <c r="K648" t="s">
        <v>732</v>
      </c>
      <c r="L648">
        <v>52.130467000000003</v>
      </c>
      <c r="M648">
        <v>-2.0785360000000002</v>
      </c>
      <c r="N648" t="s">
        <v>23</v>
      </c>
      <c r="O648" s="128">
        <v>749</v>
      </c>
      <c r="P648">
        <v>13.2</v>
      </c>
      <c r="Q648" s="128">
        <v>5</v>
      </c>
      <c r="R648" s="7" t="str">
        <f>IF(AllData[[#This Row],[Nitrate (PPM)]]&gt;2, "Very high", IF(AllData[[#This Row],[Nitrate (PPM)]]&gt;1, "High", IF(AllData[[#This Row],[Nitrate (PPM)]]&gt;0.5, "Some evidence", IF(AllData[[#This Row],[Nitrate (PPM)]]&gt;=0, "No evidence"))))</f>
        <v>Very high</v>
      </c>
      <c r="S648" s="134">
        <v>0.8</v>
      </c>
      <c r="T648" s="7" t="str">
        <f>IF(AllData[[#This Row],[Phosphate (PPM)]]&gt;0.5, "Very high", IF(AllData[[#This Row],[Phosphate (PPM)]]&gt;0.1, "High", IF(AllData[[#This Row],[Phosphate (PPM)]]&gt;0.05, "Some evidence", IF(AllData[[#This Row],[Phosphate (PPM)]]&lt;=0.05, "No Evidence", ""))))</f>
        <v>Very high</v>
      </c>
      <c r="U648">
        <v>0.9</v>
      </c>
      <c r="V648" t="s">
        <v>941</v>
      </c>
    </row>
    <row r="649" spans="1:22" x14ac:dyDescent="0.25">
      <c r="A649" t="s">
        <v>942</v>
      </c>
      <c r="B649" s="2">
        <v>45389</v>
      </c>
      <c r="C649" s="2" t="str" cm="1">
        <f t="array" ref="C6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9">
        <f>YEAR(AllData[[#This Row],[Date]])</f>
        <v>2024</v>
      </c>
      <c r="E649" s="1">
        <v>0.61805555555555558</v>
      </c>
      <c r="F649" s="2" t="str">
        <f>IF(AND(AllData[[#This Row],[Time]]&lt;0.5, AllData[[#This Row],[Time]]&gt;0.17)=TRUE, "Morning", IF(AND(AllData[[#This Row],[Time]]&lt;0.75, AllData[[#This Row],[Time]]&gt;=0.5)=TRUE, "Afternoon", IF(AND(AllData[[#This Row],[Time]]&lt;1, AllData[[#This Row],[Time]]&gt;=0.75)=TRUE, "Evening", "Night")))</f>
        <v>Afternoon</v>
      </c>
      <c r="G649" t="str">
        <f>_xlfn.XLOOKUP(AllData[[#This Row],[Location Name]], Locations[Location Name],Locations[Group As])</f>
        <v>Fell Mill Footbridge</v>
      </c>
      <c r="H649" t="e" vm="2">
        <f>_xlfn.XLOOKUP(AllData[[#This Row],[Site Name]],LocationsKey[Site Name],LocationsKey[District])</f>
        <v>#VALUE!</v>
      </c>
      <c r="I649" t="e" vm="10">
        <f>_xlfn.XLOOKUP(AllData[[#This Row],[Site Name]],LocationsKey[Site Name],LocationsKey[Town])</f>
        <v>#VALUE!</v>
      </c>
      <c r="J649" t="str">
        <f>_xlfn.XLOOKUP(AllData[[#This Row],[Site Name]],LocationsKey[Site Name], LocationsKey[Waterway])</f>
        <v>Stour</v>
      </c>
      <c r="K649" t="s">
        <v>818</v>
      </c>
      <c r="L649">
        <v>52.070086000000003</v>
      </c>
      <c r="M649">
        <v>-1.61145</v>
      </c>
      <c r="N649" t="s">
        <v>29</v>
      </c>
      <c r="O649" s="128">
        <v>579</v>
      </c>
      <c r="P649">
        <v>12.5</v>
      </c>
      <c r="Q649" s="128">
        <v>2</v>
      </c>
      <c r="R649" s="7" t="str">
        <f>IF(AllData[[#This Row],[Nitrate (PPM)]]&gt;2, "Very high", IF(AllData[[#This Row],[Nitrate (PPM)]]&gt;1, "High", IF(AllData[[#This Row],[Nitrate (PPM)]]&gt;0.5, "Some evidence", IF(AllData[[#This Row],[Nitrate (PPM)]]&gt;=0, "No evidence"))))</f>
        <v>High</v>
      </c>
      <c r="S649" s="134">
        <v>0.22</v>
      </c>
      <c r="T649" s="7" t="str">
        <f>IF(AllData[[#This Row],[Phosphate (PPM)]]&gt;0.5, "Very high", IF(AllData[[#This Row],[Phosphate (PPM)]]&gt;0.1, "High", IF(AllData[[#This Row],[Phosphate (PPM)]]&gt;0.05, "Some evidence", IF(AllData[[#This Row],[Phosphate (PPM)]]&lt;=0.05, "No Evidence", ""))))</f>
        <v>High</v>
      </c>
      <c r="U649">
        <v>1.75</v>
      </c>
      <c r="V649" t="s">
        <v>943</v>
      </c>
    </row>
    <row r="650" spans="1:22" x14ac:dyDescent="0.25">
      <c r="A650" t="s">
        <v>945</v>
      </c>
      <c r="B650" s="2">
        <v>45390</v>
      </c>
      <c r="C650" s="2" t="str" cm="1">
        <f t="array" ref="C6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0">
        <f>YEAR(AllData[[#This Row],[Date]])</f>
        <v>2024</v>
      </c>
      <c r="E650" s="1">
        <v>0.40555555555555556</v>
      </c>
      <c r="F650" s="2" t="str">
        <f>IF(AND(AllData[[#This Row],[Time]]&lt;0.5, AllData[[#This Row],[Time]]&gt;0.17)=TRUE, "Morning", IF(AND(AllData[[#This Row],[Time]]&lt;0.75, AllData[[#This Row],[Time]]&gt;=0.5)=TRUE, "Afternoon", IF(AND(AllData[[#This Row],[Time]]&lt;1, AllData[[#This Row],[Time]]&gt;=0.75)=TRUE, "Evening", "Night")))</f>
        <v>Morning</v>
      </c>
      <c r="G650" t="str">
        <f>_xlfn.XLOOKUP(AllData[[#This Row],[Location Name]], Locations[Location Name],Locations[Group As])</f>
        <v>Stour Stretton-on-Fosse Village</v>
      </c>
      <c r="H650" t="e" vm="2">
        <f>_xlfn.XLOOKUP(AllData[[#This Row],[Site Name]],LocationsKey[Site Name],LocationsKey[District])</f>
        <v>#VALUE!</v>
      </c>
      <c r="I650" t="e" vm="14">
        <f>_xlfn.XLOOKUP(AllData[[#This Row],[Site Name]],LocationsKey[Site Name],LocationsKey[Town])</f>
        <v>#VALUE!</v>
      </c>
      <c r="J650" t="str">
        <f>_xlfn.XLOOKUP(AllData[[#This Row],[Site Name]],LocationsKey[Site Name], LocationsKey[Waterway])</f>
        <v>Stour</v>
      </c>
      <c r="K650" t="s">
        <v>544</v>
      </c>
      <c r="L650">
        <v>52.046472000000001</v>
      </c>
      <c r="M650">
        <v>-1.6733560000000001</v>
      </c>
      <c r="N650" t="s">
        <v>66</v>
      </c>
      <c r="O650" s="128">
        <v>610</v>
      </c>
      <c r="P650">
        <v>11.4</v>
      </c>
      <c r="Q650" s="128">
        <v>2</v>
      </c>
      <c r="R650" s="7" t="str">
        <f>IF(AllData[[#This Row],[Nitrate (PPM)]]&gt;2, "Very high", IF(AllData[[#This Row],[Nitrate (PPM)]]&gt;1, "High", IF(AllData[[#This Row],[Nitrate (PPM)]]&gt;0.5, "Some evidence", IF(AllData[[#This Row],[Nitrate (PPM)]]&gt;=0, "No evidence"))))</f>
        <v>High</v>
      </c>
      <c r="S650" s="134">
        <v>1.28</v>
      </c>
      <c r="T650" s="7" t="str">
        <f>IF(AllData[[#This Row],[Phosphate (PPM)]]&gt;0.5, "Very high", IF(AllData[[#This Row],[Phosphate (PPM)]]&gt;0.1, "High", IF(AllData[[#This Row],[Phosphate (PPM)]]&gt;0.05, "Some evidence", IF(AllData[[#This Row],[Phosphate (PPM)]]&lt;=0.05, "No Evidence", ""))))</f>
        <v>Very high</v>
      </c>
      <c r="U650">
        <v>0.2</v>
      </c>
    </row>
    <row r="651" spans="1:22" x14ac:dyDescent="0.25">
      <c r="A651" t="s">
        <v>946</v>
      </c>
      <c r="B651" s="2">
        <v>45390</v>
      </c>
      <c r="C651" s="2" t="str" cm="1">
        <f t="array" ref="C6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1">
        <f>YEAR(AllData[[#This Row],[Date]])</f>
        <v>2024</v>
      </c>
      <c r="E651" s="1">
        <v>0.41736111111111113</v>
      </c>
      <c r="F651" s="2" t="str">
        <f>IF(AND(AllData[[#This Row],[Time]]&lt;0.5, AllData[[#This Row],[Time]]&gt;0.17)=TRUE, "Morning", IF(AND(AllData[[#This Row],[Time]]&lt;0.75, AllData[[#This Row],[Time]]&gt;=0.5)=TRUE, "Afternoon", IF(AND(AllData[[#This Row],[Time]]&lt;1, AllData[[#This Row],[Time]]&gt;=0.75)=TRUE, "Evening", "Night")))</f>
        <v>Morning</v>
      </c>
      <c r="G651" t="str">
        <f>_xlfn.XLOOKUP(AllData[[#This Row],[Location Name]], Locations[Location Name],Locations[Group As])</f>
        <v>Stour Stretton-on-Fosse Sewage Works</v>
      </c>
      <c r="H651" t="e" vm="2">
        <f>_xlfn.XLOOKUP(AllData[[#This Row],[Site Name]],LocationsKey[Site Name],LocationsKey[District])</f>
        <v>#VALUE!</v>
      </c>
      <c r="I651" t="e" vm="14">
        <f>_xlfn.XLOOKUP(AllData[[#This Row],[Site Name]],LocationsKey[Site Name],LocationsKey[Town])</f>
        <v>#VALUE!</v>
      </c>
      <c r="J651" t="str">
        <f>_xlfn.XLOOKUP(AllData[[#This Row],[Site Name]],LocationsKey[Site Name], LocationsKey[Waterway])</f>
        <v>Stour</v>
      </c>
      <c r="K651" t="s">
        <v>335</v>
      </c>
      <c r="L651">
        <v>52.045679999999997</v>
      </c>
      <c r="M651">
        <v>-1.671869</v>
      </c>
      <c r="N651" t="s">
        <v>29</v>
      </c>
      <c r="O651" s="128">
        <v>677</v>
      </c>
      <c r="P651">
        <v>11.4</v>
      </c>
      <c r="Q651" s="128">
        <v>2</v>
      </c>
      <c r="R651" s="7" t="str">
        <f>IF(AllData[[#This Row],[Nitrate (PPM)]]&gt;2, "Very high", IF(AllData[[#This Row],[Nitrate (PPM)]]&gt;1, "High", IF(AllData[[#This Row],[Nitrate (PPM)]]&gt;0.5, "Some evidence", IF(AllData[[#This Row],[Nitrate (PPM)]]&gt;=0, "No evidence"))))</f>
        <v>High</v>
      </c>
      <c r="S651" s="134">
        <v>2.5</v>
      </c>
      <c r="T651" s="7" t="str">
        <f>IF(AllData[[#This Row],[Phosphate (PPM)]]&gt;0.5, "Very high", IF(AllData[[#This Row],[Phosphate (PPM)]]&gt;0.1, "High", IF(AllData[[#This Row],[Phosphate (PPM)]]&gt;0.05, "Some evidence", IF(AllData[[#This Row],[Phosphate (PPM)]]&lt;=0.05, "No Evidence", ""))))</f>
        <v>Very high</v>
      </c>
      <c r="U651">
        <v>0.3</v>
      </c>
    </row>
    <row r="652" spans="1:22" x14ac:dyDescent="0.25">
      <c r="A652" t="s">
        <v>947</v>
      </c>
      <c r="B652" s="2">
        <v>45390</v>
      </c>
      <c r="C652" s="2" t="str" cm="1">
        <f t="array" ref="C6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2">
        <f>YEAR(AllData[[#This Row],[Date]])</f>
        <v>2024</v>
      </c>
      <c r="E652" s="1">
        <v>0.60416666666666663</v>
      </c>
      <c r="F652" s="2" t="str">
        <f>IF(AND(AllData[[#This Row],[Time]]&lt;0.5, AllData[[#This Row],[Time]]&gt;0.17)=TRUE, "Morning", IF(AND(AllData[[#This Row],[Time]]&lt;0.75, AllData[[#This Row],[Time]]&gt;=0.5)=TRUE, "Afternoon", IF(AND(AllData[[#This Row],[Time]]&lt;1, AllData[[#This Row],[Time]]&gt;=0.75)=TRUE, "Evening", "Night")))</f>
        <v>Afternoon</v>
      </c>
      <c r="G652" t="str">
        <f>_xlfn.XLOOKUP(AllData[[#This Row],[Location Name]], Locations[Location Name],Locations[Group As])</f>
        <v>Swiffen Bank</v>
      </c>
      <c r="H652" t="e" vm="2">
        <f>_xlfn.XLOOKUP(AllData[[#This Row],[Site Name]],LocationsKey[Site Name],LocationsKey[District])</f>
        <v>#VALUE!</v>
      </c>
      <c r="I652" t="e" vm="13">
        <f>_xlfn.XLOOKUP(AllData[[#This Row],[Site Name]],LocationsKey[Site Name],LocationsKey[Town])</f>
        <v>#VALUE!</v>
      </c>
      <c r="J652" t="str">
        <f>_xlfn.XLOOKUP(AllData[[#This Row],[Site Name]],LocationsKey[Site Name], LocationsKey[Waterway])</f>
        <v>Avon</v>
      </c>
      <c r="K652" t="s">
        <v>284</v>
      </c>
      <c r="L652">
        <v>52.206477999999997</v>
      </c>
      <c r="M652">
        <v>-1.653894</v>
      </c>
      <c r="N652" t="s">
        <v>29</v>
      </c>
      <c r="O652" s="128">
        <v>562</v>
      </c>
      <c r="P652">
        <v>15.5</v>
      </c>
      <c r="Q652" s="128">
        <v>5</v>
      </c>
      <c r="R652" s="7" t="str">
        <f>IF(AllData[[#This Row],[Nitrate (PPM)]]&gt;2, "Very high", IF(AllData[[#This Row],[Nitrate (PPM)]]&gt;1, "High", IF(AllData[[#This Row],[Nitrate (PPM)]]&gt;0.5, "Some evidence", IF(AllData[[#This Row],[Nitrate (PPM)]]&gt;=0, "No evidence"))))</f>
        <v>Very high</v>
      </c>
      <c r="S652" s="134">
        <v>0.49</v>
      </c>
      <c r="T652" s="7" t="str">
        <f>IF(AllData[[#This Row],[Phosphate (PPM)]]&gt;0.5, "Very high", IF(AllData[[#This Row],[Phosphate (PPM)]]&gt;0.1, "High", IF(AllData[[#This Row],[Phosphate (PPM)]]&gt;0.05, "Some evidence", IF(AllData[[#This Row],[Phosphate (PPM)]]&lt;=0.05, "No Evidence", ""))))</f>
        <v>High</v>
      </c>
      <c r="U652">
        <v>0.5</v>
      </c>
      <c r="V652" t="s">
        <v>948</v>
      </c>
    </row>
    <row r="653" spans="1:22" x14ac:dyDescent="0.25">
      <c r="A653" t="s">
        <v>949</v>
      </c>
      <c r="B653" s="2">
        <v>45390</v>
      </c>
      <c r="C653" s="2" t="str" cm="1">
        <f t="array" ref="C6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3">
        <f>YEAR(AllData[[#This Row],[Date]])</f>
        <v>2024</v>
      </c>
      <c r="E653" s="1">
        <v>0.625</v>
      </c>
      <c r="F653" s="2" t="str">
        <f>IF(AND(AllData[[#This Row],[Time]]&lt;0.5, AllData[[#This Row],[Time]]&gt;0.17)=TRUE, "Morning", IF(AND(AllData[[#This Row],[Time]]&lt;0.75, AllData[[#This Row],[Time]]&gt;=0.5)=TRUE, "Afternoon", IF(AND(AllData[[#This Row],[Time]]&lt;1, AllData[[#This Row],[Time]]&gt;=0.75)=TRUE, "Evening", "Night")))</f>
        <v>Afternoon</v>
      </c>
      <c r="G653" t="str">
        <f>_xlfn.XLOOKUP(AllData[[#This Row],[Location Name]], Locations[Location Name],Locations[Group As])</f>
        <v>Alveston Weir</v>
      </c>
      <c r="H653" t="e" vm="2">
        <f>_xlfn.XLOOKUP(AllData[[#This Row],[Site Name]],LocationsKey[Site Name],LocationsKey[District])</f>
        <v>#VALUE!</v>
      </c>
      <c r="I653" t="e" vm="13">
        <f>_xlfn.XLOOKUP(AllData[[#This Row],[Site Name]],LocationsKey[Site Name],LocationsKey[Town])</f>
        <v>#VALUE!</v>
      </c>
      <c r="J653" t="str">
        <f>_xlfn.XLOOKUP(AllData[[#This Row],[Site Name]],LocationsKey[Site Name], LocationsKey[Waterway])</f>
        <v>Avon</v>
      </c>
      <c r="K653" t="s">
        <v>286</v>
      </c>
      <c r="L653">
        <v>52.212288999999998</v>
      </c>
      <c r="M653">
        <v>-1.660452</v>
      </c>
      <c r="N653" t="s">
        <v>29</v>
      </c>
      <c r="O653" s="128">
        <v>557</v>
      </c>
      <c r="P653">
        <v>13.6</v>
      </c>
      <c r="Q653" s="128">
        <v>5</v>
      </c>
      <c r="R653" s="7" t="str">
        <f>IF(AllData[[#This Row],[Nitrate (PPM)]]&gt;2, "Very high", IF(AllData[[#This Row],[Nitrate (PPM)]]&gt;1, "High", IF(AllData[[#This Row],[Nitrate (PPM)]]&gt;0.5, "Some evidence", IF(AllData[[#This Row],[Nitrate (PPM)]]&gt;=0, "No evidence"))))</f>
        <v>Very high</v>
      </c>
      <c r="S653" s="134">
        <v>0.42</v>
      </c>
      <c r="T653" s="7" t="str">
        <f>IF(AllData[[#This Row],[Phosphate (PPM)]]&gt;0.5, "Very high", IF(AllData[[#This Row],[Phosphate (PPM)]]&gt;0.1, "High", IF(AllData[[#This Row],[Phosphate (PPM)]]&gt;0.05, "Some evidence", IF(AllData[[#This Row],[Phosphate (PPM)]]&lt;=0.05, "No Evidence", ""))))</f>
        <v>High</v>
      </c>
      <c r="U653">
        <v>0</v>
      </c>
      <c r="V653" t="s">
        <v>950</v>
      </c>
    </row>
    <row r="654" spans="1:22" x14ac:dyDescent="0.25">
      <c r="A654" t="s">
        <v>951</v>
      </c>
      <c r="B654" s="2">
        <v>45390</v>
      </c>
      <c r="C654" s="2" t="str" cm="1">
        <f t="array" ref="C6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4">
        <f>YEAR(AllData[[#This Row],[Date]])</f>
        <v>2024</v>
      </c>
      <c r="E654" s="1">
        <v>0.73611111111111116</v>
      </c>
      <c r="F654" s="2" t="str">
        <f>IF(AND(AllData[[#This Row],[Time]]&lt;0.5, AllData[[#This Row],[Time]]&gt;0.17)=TRUE, "Morning", IF(AND(AllData[[#This Row],[Time]]&lt;0.75, AllData[[#This Row],[Time]]&gt;=0.5)=TRUE, "Afternoon", IF(AND(AllData[[#This Row],[Time]]&lt;1, AllData[[#This Row],[Time]]&gt;=0.75)=TRUE, "Evening", "Night")))</f>
        <v>Afternoon</v>
      </c>
      <c r="G654" t="str">
        <f>_xlfn.XLOOKUP(AllData[[#This Row],[Location Name]], Locations[Location Name],Locations[Group As])</f>
        <v>Sherbourne Brook 1</v>
      </c>
      <c r="H654" t="e" vm="2">
        <f>_xlfn.XLOOKUP(AllData[[#This Row],[Site Name]],LocationsKey[Site Name],LocationsKey[District])</f>
        <v>#VALUE!</v>
      </c>
      <c r="I654" t="e" vm="16">
        <f>_xlfn.XLOOKUP(AllData[[#This Row],[Site Name]],LocationsKey[Site Name],LocationsKey[Town])</f>
        <v>#VALUE!</v>
      </c>
      <c r="J654" t="str">
        <f>_xlfn.XLOOKUP(AllData[[#This Row],[Site Name]],LocationsKey[Site Name], LocationsKey[Waterway])</f>
        <v>Sherbourne Brook</v>
      </c>
      <c r="K654" t="s">
        <v>570</v>
      </c>
      <c r="L654">
        <v>52.252499999999998</v>
      </c>
      <c r="M654">
        <v>-1.6685000000000001</v>
      </c>
      <c r="N654" t="s">
        <v>23</v>
      </c>
      <c r="O654" s="7">
        <v>962</v>
      </c>
      <c r="P654">
        <v>12.6</v>
      </c>
      <c r="Q654" s="7">
        <v>5</v>
      </c>
      <c r="R654" s="7" t="str">
        <f>IF(AllData[[#This Row],[Nitrate (PPM)]]&gt;2, "Very high", IF(AllData[[#This Row],[Nitrate (PPM)]]&gt;1, "High", IF(AllData[[#This Row],[Nitrate (PPM)]]&gt;0.5, "Some evidence", IF(AllData[[#This Row],[Nitrate (PPM)]]&gt;=0, "No evidence"))))</f>
        <v>Very high</v>
      </c>
      <c r="S654" s="135">
        <v>0.68</v>
      </c>
      <c r="T654" s="7" t="str">
        <f>IF(AllData[[#This Row],[Phosphate (PPM)]]&gt;0.5, "Very high", IF(AllData[[#This Row],[Phosphate (PPM)]]&gt;0.1, "High", IF(AllData[[#This Row],[Phosphate (PPM)]]&gt;0.05, "Some evidence", IF(AllData[[#This Row],[Phosphate (PPM)]]&lt;=0.05, "No Evidence", ""))))</f>
        <v>Very high</v>
      </c>
      <c r="U654">
        <v>0.2</v>
      </c>
    </row>
    <row r="655" spans="1:22" x14ac:dyDescent="0.25">
      <c r="A655" t="s">
        <v>952</v>
      </c>
      <c r="B655" s="2">
        <v>45390</v>
      </c>
      <c r="C655" s="2" t="str" cm="1">
        <f t="array" ref="C6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5">
        <f>YEAR(AllData[[#This Row],[Date]])</f>
        <v>2024</v>
      </c>
      <c r="E655" s="1">
        <v>0.74305555555555558</v>
      </c>
      <c r="F655" s="2" t="str">
        <f>IF(AND(AllData[[#This Row],[Time]]&lt;0.5, AllData[[#This Row],[Time]]&gt;0.17)=TRUE, "Morning", IF(AND(AllData[[#This Row],[Time]]&lt;0.75, AllData[[#This Row],[Time]]&gt;=0.5)=TRUE, "Afternoon", IF(AND(AllData[[#This Row],[Time]]&lt;1, AllData[[#This Row],[Time]]&gt;=0.75)=TRUE, "Evening", "Night")))</f>
        <v>Afternoon</v>
      </c>
      <c r="G655" t="str">
        <f>_xlfn.XLOOKUP(AllData[[#This Row],[Location Name]], Locations[Location Name],Locations[Group As])</f>
        <v>Bell Brook 1</v>
      </c>
      <c r="H655" t="e" vm="2">
        <f>_xlfn.XLOOKUP(AllData[[#This Row],[Site Name]],LocationsKey[Site Name],LocationsKey[District])</f>
        <v>#VALUE!</v>
      </c>
      <c r="I655" t="e" vm="15">
        <f>_xlfn.XLOOKUP(AllData[[#This Row],[Site Name]],LocationsKey[Site Name],LocationsKey[Town])</f>
        <v>#VALUE!</v>
      </c>
      <c r="J655" t="str">
        <f>_xlfn.XLOOKUP(AllData[[#This Row],[Site Name]],LocationsKey[Site Name], LocationsKey[Waterway])</f>
        <v>Bell Brook</v>
      </c>
      <c r="K655" t="s">
        <v>534</v>
      </c>
      <c r="L655">
        <v>52.244900000000001</v>
      </c>
      <c r="M655">
        <v>-1.6617</v>
      </c>
      <c r="N655" t="s">
        <v>23</v>
      </c>
      <c r="O655" s="7">
        <v>643</v>
      </c>
      <c r="P655">
        <v>12.5</v>
      </c>
      <c r="Q655" s="7">
        <v>5</v>
      </c>
      <c r="R655" s="7" t="str">
        <f>IF(AllData[[#This Row],[Nitrate (PPM)]]&gt;2, "Very high", IF(AllData[[#This Row],[Nitrate (PPM)]]&gt;1, "High", IF(AllData[[#This Row],[Nitrate (PPM)]]&gt;0.5, "Some evidence", IF(AllData[[#This Row],[Nitrate (PPM)]]&gt;=0, "No evidence"))))</f>
        <v>Very high</v>
      </c>
      <c r="S655" s="135">
        <v>0.12</v>
      </c>
      <c r="T655" s="7" t="str">
        <f>IF(AllData[[#This Row],[Phosphate (PPM)]]&gt;0.5, "Very high", IF(AllData[[#This Row],[Phosphate (PPM)]]&gt;0.1, "High", IF(AllData[[#This Row],[Phosphate (PPM)]]&gt;0.05, "Some evidence", IF(AllData[[#This Row],[Phosphate (PPM)]]&lt;=0.05, "No Evidence", ""))))</f>
        <v>High</v>
      </c>
      <c r="U655">
        <v>0.2</v>
      </c>
    </row>
    <row r="656" spans="1:22" x14ac:dyDescent="0.25">
      <c r="A656" t="s">
        <v>953</v>
      </c>
      <c r="B656" s="2">
        <v>45391</v>
      </c>
      <c r="C656" s="2" t="str" cm="1">
        <f t="array" ref="C6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6">
        <f>YEAR(AllData[[#This Row],[Date]])</f>
        <v>2024</v>
      </c>
      <c r="E656" s="1">
        <v>0.61250000000000004</v>
      </c>
      <c r="F656" s="2" t="str">
        <f>IF(AND(AllData[[#This Row],[Time]]&lt;0.5, AllData[[#This Row],[Time]]&gt;0.17)=TRUE, "Morning", IF(AND(AllData[[#This Row],[Time]]&lt;0.75, AllData[[#This Row],[Time]]&gt;=0.5)=TRUE, "Afternoon", IF(AND(AllData[[#This Row],[Time]]&lt;1, AllData[[#This Row],[Time]]&gt;=0.75)=TRUE, "Evening", "Night")))</f>
        <v>Afternoon</v>
      </c>
      <c r="G656" t="str">
        <f>_xlfn.XLOOKUP(AllData[[#This Row],[Location Name]], Locations[Location Name],Locations[Group As])</f>
        <v>Abbey Mill</v>
      </c>
      <c r="H656" t="e" vm="1">
        <f>_xlfn.XLOOKUP(AllData[[#This Row],[Site Name]],LocationsKey[Site Name],LocationsKey[District])</f>
        <v>#VALUE!</v>
      </c>
      <c r="I656" t="e" vm="1">
        <f>_xlfn.XLOOKUP(AllData[[#This Row],[Site Name]],LocationsKey[Site Name],LocationsKey[Town])</f>
        <v>#VALUE!</v>
      </c>
      <c r="J656" t="str">
        <f>_xlfn.XLOOKUP(AllData[[#This Row],[Site Name]],LocationsKey[Site Name], LocationsKey[Waterway])</f>
        <v>Avon</v>
      </c>
      <c r="K656" t="s">
        <v>25</v>
      </c>
      <c r="L656">
        <v>51.989916999999998</v>
      </c>
      <c r="M656">
        <v>-2.161635</v>
      </c>
      <c r="N656" t="s">
        <v>23</v>
      </c>
      <c r="O656" s="128">
        <v>682</v>
      </c>
      <c r="P656">
        <v>12.1</v>
      </c>
      <c r="Q656" s="128">
        <v>10</v>
      </c>
      <c r="R656" s="7" t="str">
        <f>IF(AllData[[#This Row],[Nitrate (PPM)]]&gt;2, "Very high", IF(AllData[[#This Row],[Nitrate (PPM)]]&gt;1, "High", IF(AllData[[#This Row],[Nitrate (PPM)]]&gt;0.5, "Some evidence", IF(AllData[[#This Row],[Nitrate (PPM)]]&gt;=0, "No evidence"))))</f>
        <v>Very high</v>
      </c>
      <c r="S656" s="134">
        <v>0.5</v>
      </c>
      <c r="T656" s="7" t="str">
        <f>IF(AllData[[#This Row],[Phosphate (PPM)]]&gt;0.5, "Very high", IF(AllData[[#This Row],[Phosphate (PPM)]]&gt;0.1, "High", IF(AllData[[#This Row],[Phosphate (PPM)]]&gt;0.05, "Some evidence", IF(AllData[[#This Row],[Phosphate (PPM)]]&lt;=0.05, "No Evidence", ""))))</f>
        <v>High</v>
      </c>
      <c r="U656">
        <v>2.5</v>
      </c>
      <c r="V656" t="s">
        <v>954</v>
      </c>
    </row>
    <row r="657" spans="1:22" x14ac:dyDescent="0.25">
      <c r="A657" t="s">
        <v>955</v>
      </c>
      <c r="B657" s="2">
        <v>45393</v>
      </c>
      <c r="C657" s="2" t="str" cm="1">
        <f t="array" ref="C6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7">
        <f>YEAR(AllData[[#This Row],[Date]])</f>
        <v>2024</v>
      </c>
      <c r="E657" s="1">
        <v>0.4375</v>
      </c>
      <c r="F657" s="2" t="str">
        <f>IF(AND(AllData[[#This Row],[Time]]&lt;0.5, AllData[[#This Row],[Time]]&gt;0.17)=TRUE, "Morning", IF(AND(AllData[[#This Row],[Time]]&lt;0.75, AllData[[#This Row],[Time]]&gt;=0.5)=TRUE, "Afternoon", IF(AND(AllData[[#This Row],[Time]]&lt;1, AllData[[#This Row],[Time]]&gt;=0.75)=TRUE, "Evening", "Night")))</f>
        <v>Morning</v>
      </c>
      <c r="G657" t="str">
        <f>_xlfn.XLOOKUP(AllData[[#This Row],[Location Name]], Locations[Location Name],Locations[Group As])</f>
        <v>Swilgate</v>
      </c>
      <c r="H657" t="e" vm="1">
        <f>_xlfn.XLOOKUP(AllData[[#This Row],[Site Name]],LocationsKey[Site Name],LocationsKey[District])</f>
        <v>#VALUE!</v>
      </c>
      <c r="I657" t="e" vm="1">
        <f>_xlfn.XLOOKUP(AllData[[#This Row],[Site Name]],LocationsKey[Site Name],LocationsKey[Town])</f>
        <v>#VALUE!</v>
      </c>
      <c r="J657" t="str">
        <f>_xlfn.XLOOKUP(AllData[[#This Row],[Site Name]],LocationsKey[Site Name], LocationsKey[Waterway])</f>
        <v>Swilgate</v>
      </c>
      <c r="K657" t="s">
        <v>84</v>
      </c>
      <c r="N657" t="s">
        <v>23</v>
      </c>
      <c r="O657" s="128">
        <v>774</v>
      </c>
      <c r="P657">
        <v>13.2</v>
      </c>
      <c r="Q657" s="128">
        <v>3</v>
      </c>
      <c r="R657" s="7" t="str">
        <f>IF(AllData[[#This Row],[Nitrate (PPM)]]&gt;2, "Very high", IF(AllData[[#This Row],[Nitrate (PPM)]]&gt;1, "High", IF(AllData[[#This Row],[Nitrate (PPM)]]&gt;0.5, "Some evidence", IF(AllData[[#This Row],[Nitrate (PPM)]]&gt;=0, "No evidence"))))</f>
        <v>Very high</v>
      </c>
      <c r="S657" s="134">
        <v>0.25</v>
      </c>
      <c r="T657" s="7" t="str">
        <f>IF(AllData[[#This Row],[Phosphate (PPM)]]&gt;0.5, "Very high", IF(AllData[[#This Row],[Phosphate (PPM)]]&gt;0.1, "High", IF(AllData[[#This Row],[Phosphate (PPM)]]&gt;0.05, "Some evidence", IF(AllData[[#This Row],[Phosphate (PPM)]]&lt;=0.05, "No Evidence", ""))))</f>
        <v>High</v>
      </c>
      <c r="U657">
        <v>2</v>
      </c>
      <c r="V657" t="s">
        <v>270</v>
      </c>
    </row>
    <row r="658" spans="1:22" x14ac:dyDescent="0.25">
      <c r="A658" t="s">
        <v>956</v>
      </c>
      <c r="B658" s="2">
        <v>45393</v>
      </c>
      <c r="C658" s="2" t="str" cm="1">
        <f t="array" ref="C6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8">
        <f>YEAR(AllData[[#This Row],[Date]])</f>
        <v>2024</v>
      </c>
      <c r="E658" s="1">
        <v>0.45833333333333331</v>
      </c>
      <c r="F658" s="2" t="str">
        <f>IF(AND(AllData[[#This Row],[Time]]&lt;0.5, AllData[[#This Row],[Time]]&gt;0.17)=TRUE, "Morning", IF(AND(AllData[[#This Row],[Time]]&lt;0.75, AllData[[#This Row],[Time]]&gt;=0.5)=TRUE, "Afternoon", IF(AND(AllData[[#This Row],[Time]]&lt;1, AllData[[#This Row],[Time]]&gt;=0.75)=TRUE, "Evening", "Night")))</f>
        <v>Morning</v>
      </c>
      <c r="G658" t="str">
        <f>_xlfn.XLOOKUP(AllData[[#This Row],[Location Name]], Locations[Location Name],Locations[Group As])</f>
        <v>Stour Willington</v>
      </c>
      <c r="H658" t="e" vm="2">
        <f>_xlfn.XLOOKUP(AllData[[#This Row],[Site Name]],LocationsKey[Site Name],LocationsKey[District])</f>
        <v>#VALUE!</v>
      </c>
      <c r="I658" t="str">
        <f>_xlfn.XLOOKUP(AllData[[#This Row],[Site Name]],LocationsKey[Site Name],LocationsKey[Town])</f>
        <v>Willington</v>
      </c>
      <c r="J658" t="str">
        <f>_xlfn.XLOOKUP(AllData[[#This Row],[Site Name]],LocationsKey[Site Name], LocationsKey[Waterway])</f>
        <v>Stour</v>
      </c>
      <c r="K658" t="s">
        <v>517</v>
      </c>
      <c r="L658">
        <v>52.053567999999999</v>
      </c>
      <c r="M658">
        <v>-1.620152</v>
      </c>
      <c r="N658" t="s">
        <v>23</v>
      </c>
      <c r="O658" s="128">
        <v>579</v>
      </c>
      <c r="P658">
        <v>14.1</v>
      </c>
      <c r="Q658" s="128">
        <v>2</v>
      </c>
      <c r="R658" s="7" t="str">
        <f>IF(AllData[[#This Row],[Nitrate (PPM)]]&gt;2, "Very high", IF(AllData[[#This Row],[Nitrate (PPM)]]&gt;1, "High", IF(AllData[[#This Row],[Nitrate (PPM)]]&gt;0.5, "Some evidence", IF(AllData[[#This Row],[Nitrate (PPM)]]&gt;=0, "No evidence"))))</f>
        <v>High</v>
      </c>
      <c r="S658" s="134">
        <v>0.24</v>
      </c>
      <c r="T658" s="7" t="str">
        <f>IF(AllData[[#This Row],[Phosphate (PPM)]]&gt;0.5, "Very high", IF(AllData[[#This Row],[Phosphate (PPM)]]&gt;0.1, "High", IF(AllData[[#This Row],[Phosphate (PPM)]]&gt;0.05, "Some evidence", IF(AllData[[#This Row],[Phosphate (PPM)]]&lt;=0.05, "No Evidence", ""))))</f>
        <v>High</v>
      </c>
      <c r="U658">
        <v>0.5</v>
      </c>
    </row>
    <row r="659" spans="1:22" x14ac:dyDescent="0.25">
      <c r="A659" t="s">
        <v>957</v>
      </c>
      <c r="B659" s="2">
        <v>45393</v>
      </c>
      <c r="C659" s="2" t="str" cm="1">
        <f t="array" ref="C6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9">
        <f>YEAR(AllData[[#This Row],[Date]])</f>
        <v>2024</v>
      </c>
      <c r="E659" s="1">
        <v>0.54374999999999996</v>
      </c>
      <c r="F659" s="2" t="str">
        <f>IF(AND(AllData[[#This Row],[Time]]&lt;0.5, AllData[[#This Row],[Time]]&gt;0.17)=TRUE, "Morning", IF(AND(AllData[[#This Row],[Time]]&lt;0.75, AllData[[#This Row],[Time]]&gt;=0.5)=TRUE, "Afternoon", IF(AND(AllData[[#This Row],[Time]]&lt;1, AllData[[#This Row],[Time]]&gt;=0.75)=TRUE, "Evening", "Night")))</f>
        <v>Afternoon</v>
      </c>
      <c r="G659" t="str">
        <f>_xlfn.XLOOKUP(AllData[[#This Row],[Location Name]], Locations[Location Name],Locations[Group As])</f>
        <v>Carrant Mitton Path</v>
      </c>
      <c r="H659" t="e" vm="1">
        <f>_xlfn.XLOOKUP(AllData[[#This Row],[Site Name]],LocationsKey[Site Name],LocationsKey[District])</f>
        <v>#VALUE!</v>
      </c>
      <c r="I659" t="e" vm="1">
        <f>_xlfn.XLOOKUP(AllData[[#This Row],[Site Name]],LocationsKey[Site Name],LocationsKey[Town])</f>
        <v>#VALUE!</v>
      </c>
      <c r="J659" t="str">
        <f>_xlfn.XLOOKUP(AllData[[#This Row],[Site Name]],LocationsKey[Site Name], LocationsKey[Waterway])</f>
        <v>Carrant</v>
      </c>
      <c r="K659" t="s">
        <v>958</v>
      </c>
      <c r="L659">
        <v>51.999930999999997</v>
      </c>
      <c r="M659">
        <v>-2.1409120000000001</v>
      </c>
      <c r="N659" t="s">
        <v>23</v>
      </c>
      <c r="O659" s="128">
        <v>696</v>
      </c>
      <c r="P659">
        <v>14.6</v>
      </c>
      <c r="Q659" s="128">
        <v>6</v>
      </c>
      <c r="R659" s="7" t="str">
        <f>IF(AllData[[#This Row],[Nitrate (PPM)]]&gt;2, "Very high", IF(AllData[[#This Row],[Nitrate (PPM)]]&gt;1, "High", IF(AllData[[#This Row],[Nitrate (PPM)]]&gt;0.5, "Some evidence", IF(AllData[[#This Row],[Nitrate (PPM)]]&gt;=0, "No evidence"))))</f>
        <v>Very high</v>
      </c>
      <c r="S659" s="134">
        <v>0.47</v>
      </c>
      <c r="T659" s="7" t="str">
        <f>IF(AllData[[#This Row],[Phosphate (PPM)]]&gt;0.5, "Very high", IF(AllData[[#This Row],[Phosphate (PPM)]]&gt;0.1, "High", IF(AllData[[#This Row],[Phosphate (PPM)]]&gt;0.05, "Some evidence", IF(AllData[[#This Row],[Phosphate (PPM)]]&lt;=0.05, "No Evidence", ""))))</f>
        <v>High</v>
      </c>
      <c r="U659">
        <v>0.5</v>
      </c>
    </row>
    <row r="660" spans="1:22" x14ac:dyDescent="0.25">
      <c r="A660" t="s">
        <v>959</v>
      </c>
      <c r="B660" s="2">
        <v>45393</v>
      </c>
      <c r="C660" s="2" t="str" cm="1">
        <f t="array" ref="C6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0">
        <f>YEAR(AllData[[#This Row],[Date]])</f>
        <v>2024</v>
      </c>
      <c r="E660" s="1">
        <v>0.56597222222222221</v>
      </c>
      <c r="F660" s="2" t="str">
        <f>IF(AND(AllData[[#This Row],[Time]]&lt;0.5, AllData[[#This Row],[Time]]&gt;0.17)=TRUE, "Morning", IF(AND(AllData[[#This Row],[Time]]&lt;0.75, AllData[[#This Row],[Time]]&gt;=0.5)=TRUE, "Afternoon", IF(AND(AllData[[#This Row],[Time]]&lt;1, AllData[[#This Row],[Time]]&gt;=0.75)=TRUE, "Evening", "Night")))</f>
        <v>Afternoon</v>
      </c>
      <c r="G660" t="str">
        <f>_xlfn.XLOOKUP(AllData[[#This Row],[Location Name]], Locations[Location Name],Locations[Group As])</f>
        <v>Carrant M5 Bridge</v>
      </c>
      <c r="H660" t="e" vm="1">
        <f>_xlfn.XLOOKUP(AllData[[#This Row],[Site Name]],LocationsKey[Site Name],LocationsKey[District])</f>
        <v>#VALUE!</v>
      </c>
      <c r="I660" t="e" vm="1">
        <f>_xlfn.XLOOKUP(AllData[[#This Row],[Site Name]],LocationsKey[Site Name],LocationsKey[Town])</f>
        <v>#VALUE!</v>
      </c>
      <c r="J660" t="str">
        <f>_xlfn.XLOOKUP(AllData[[#This Row],[Site Name]],LocationsKey[Site Name], LocationsKey[Waterway])</f>
        <v>Carrant</v>
      </c>
      <c r="K660" t="s">
        <v>960</v>
      </c>
      <c r="L660">
        <v>52.022495999999997</v>
      </c>
      <c r="M660">
        <v>-2.1379350000000001</v>
      </c>
      <c r="N660" t="s">
        <v>23</v>
      </c>
      <c r="O660" s="128">
        <v>715</v>
      </c>
      <c r="P660">
        <v>15.6</v>
      </c>
      <c r="Q660" s="128">
        <v>9</v>
      </c>
      <c r="R660" s="7" t="str">
        <f>IF(AllData[[#This Row],[Nitrate (PPM)]]&gt;2, "Very high", IF(AllData[[#This Row],[Nitrate (PPM)]]&gt;1, "High", IF(AllData[[#This Row],[Nitrate (PPM)]]&gt;0.5, "Some evidence", IF(AllData[[#This Row],[Nitrate (PPM)]]&gt;=0, "No evidence"))))</f>
        <v>Very high</v>
      </c>
      <c r="S660" s="134">
        <v>0.3</v>
      </c>
      <c r="T660" s="7" t="str">
        <f>IF(AllData[[#This Row],[Phosphate (PPM)]]&gt;0.5, "Very high", IF(AllData[[#This Row],[Phosphate (PPM)]]&gt;0.1, "High", IF(AllData[[#This Row],[Phosphate (PPM)]]&gt;0.05, "Some evidence", IF(AllData[[#This Row],[Phosphate (PPM)]]&lt;=0.05, "No Evidence", ""))))</f>
        <v>High</v>
      </c>
      <c r="U660">
        <v>0.5</v>
      </c>
    </row>
    <row r="661" spans="1:22" x14ac:dyDescent="0.25">
      <c r="A661" t="s">
        <v>962</v>
      </c>
      <c r="B661" s="2">
        <v>45393</v>
      </c>
      <c r="C661" s="2" t="str" cm="1">
        <f t="array" ref="C6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1">
        <f>YEAR(AllData[[#This Row],[Date]])</f>
        <v>2024</v>
      </c>
      <c r="E661" s="1">
        <v>0.66666666666666663</v>
      </c>
      <c r="F661" s="2" t="str">
        <f>IF(AND(AllData[[#This Row],[Time]]&lt;0.5, AllData[[#This Row],[Time]]&gt;0.17)=TRUE, "Morning", IF(AND(AllData[[#This Row],[Time]]&lt;0.75, AllData[[#This Row],[Time]]&gt;=0.5)=TRUE, "Afternoon", IF(AND(AllData[[#This Row],[Time]]&lt;1, AllData[[#This Row],[Time]]&gt;=0.75)=TRUE, "Evening", "Night")))</f>
        <v>Afternoon</v>
      </c>
      <c r="G661" t="str">
        <f>_xlfn.XLOOKUP(AllData[[#This Row],[Location Name]], Locations[Location Name],Locations[Group As])</f>
        <v>Stour Newbold Mill</v>
      </c>
      <c r="H661" t="e" vm="2">
        <f>_xlfn.XLOOKUP(AllData[[#This Row],[Site Name]],LocationsKey[Site Name],LocationsKey[District])</f>
        <v>#VALUE!</v>
      </c>
      <c r="I661" t="e" vm="8">
        <f>_xlfn.XLOOKUP(AllData[[#This Row],[Site Name]],LocationsKey[Site Name],LocationsKey[Town])</f>
        <v>#VALUE!</v>
      </c>
      <c r="J661" t="str">
        <f>_xlfn.XLOOKUP(AllData[[#This Row],[Site Name]],LocationsKey[Site Name], LocationsKey[Waterway])</f>
        <v>Stour</v>
      </c>
      <c r="K661" t="s">
        <v>140</v>
      </c>
      <c r="N661" t="s">
        <v>29</v>
      </c>
      <c r="O661" s="128">
        <v>608</v>
      </c>
      <c r="P661">
        <v>13.5</v>
      </c>
      <c r="Q661" s="128">
        <v>2</v>
      </c>
      <c r="R661" s="7" t="str">
        <f>IF(AllData[[#This Row],[Nitrate (PPM)]]&gt;2, "Very high", IF(AllData[[#This Row],[Nitrate (PPM)]]&gt;1, "High", IF(AllData[[#This Row],[Nitrate (PPM)]]&gt;0.5, "Some evidence", IF(AllData[[#This Row],[Nitrate (PPM)]]&gt;=0, "No evidence"))))</f>
        <v>High</v>
      </c>
      <c r="S661" s="134">
        <v>0.26</v>
      </c>
      <c r="T661" s="7" t="str">
        <f>IF(AllData[[#This Row],[Phosphate (PPM)]]&gt;0.5, "Very high", IF(AllData[[#This Row],[Phosphate (PPM)]]&gt;0.1, "High", IF(AllData[[#This Row],[Phosphate (PPM)]]&gt;0.05, "Some evidence", IF(AllData[[#This Row],[Phosphate (PPM)]]&lt;=0.05, "No Evidence", ""))))</f>
        <v>High</v>
      </c>
      <c r="U661">
        <v>3</v>
      </c>
      <c r="V661" t="s">
        <v>529</v>
      </c>
    </row>
    <row r="662" spans="1:22" x14ac:dyDescent="0.25">
      <c r="A662" t="s">
        <v>961</v>
      </c>
      <c r="B662" s="2">
        <v>45393</v>
      </c>
      <c r="C662" s="2" t="str" cm="1">
        <f t="array" ref="C6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2">
        <f>YEAR(AllData[[#This Row],[Date]])</f>
        <v>2024</v>
      </c>
      <c r="E662" s="1">
        <v>0.68125000000000002</v>
      </c>
      <c r="F662" s="2" t="str">
        <f>IF(AND(AllData[[#This Row],[Time]]&lt;0.5, AllData[[#This Row],[Time]]&gt;0.17)=TRUE, "Morning", IF(AND(AllData[[#This Row],[Time]]&lt;0.75, AllData[[#This Row],[Time]]&gt;=0.5)=TRUE, "Afternoon", IF(AND(AllData[[#This Row],[Time]]&lt;1, AllData[[#This Row],[Time]]&gt;=0.75)=TRUE, "Evening", "Night")))</f>
        <v>Afternoon</v>
      </c>
      <c r="G662" t="str">
        <f>_xlfn.XLOOKUP(AllData[[#This Row],[Location Name]], Locations[Location Name],Locations[Group As])</f>
        <v>Preston-on-Stour River Bridge</v>
      </c>
      <c r="H662" t="e" vm="2">
        <f>_xlfn.XLOOKUP(AllData[[#This Row],[Site Name]],LocationsKey[Site Name],LocationsKey[District])</f>
        <v>#VALUE!</v>
      </c>
      <c r="I662" t="e" vm="9">
        <f>_xlfn.XLOOKUP(AllData[[#This Row],[Site Name]],LocationsKey[Site Name],LocationsKey[Town])</f>
        <v>#VALUE!</v>
      </c>
      <c r="J662" t="str">
        <f>_xlfn.XLOOKUP(AllData[[#This Row],[Site Name]],LocationsKey[Site Name], LocationsKey[Waterway])</f>
        <v>Stour</v>
      </c>
      <c r="K662" t="s">
        <v>163</v>
      </c>
      <c r="L662">
        <v>52.146439000000001</v>
      </c>
      <c r="M662">
        <v>-1.699913</v>
      </c>
      <c r="N662" t="s">
        <v>29</v>
      </c>
      <c r="O662" s="128">
        <v>605</v>
      </c>
      <c r="P662">
        <v>14</v>
      </c>
      <c r="Q662" s="128">
        <v>5</v>
      </c>
      <c r="R662" s="7" t="str">
        <f>IF(AllData[[#This Row],[Nitrate (PPM)]]&gt;2, "Very high", IF(AllData[[#This Row],[Nitrate (PPM)]]&gt;1, "High", IF(AllData[[#This Row],[Nitrate (PPM)]]&gt;0.5, "Some evidence", IF(AllData[[#This Row],[Nitrate (PPM)]]&gt;=0, "No evidence"))))</f>
        <v>Very high</v>
      </c>
      <c r="S662" s="134">
        <v>0.24</v>
      </c>
      <c r="T662" s="7" t="str">
        <f>IF(AllData[[#This Row],[Phosphate (PPM)]]&gt;0.5, "Very high", IF(AllData[[#This Row],[Phosphate (PPM)]]&gt;0.1, "High", IF(AllData[[#This Row],[Phosphate (PPM)]]&gt;0.05, "Some evidence", IF(AllData[[#This Row],[Phosphate (PPM)]]&lt;=0.05, "No Evidence", ""))))</f>
        <v>High</v>
      </c>
      <c r="U662">
        <v>1.5</v>
      </c>
    </row>
    <row r="663" spans="1:22" x14ac:dyDescent="0.25">
      <c r="A663" t="s">
        <v>963</v>
      </c>
      <c r="B663" s="2">
        <v>45395</v>
      </c>
      <c r="C663" s="2" t="str" cm="1">
        <f t="array" ref="C6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3">
        <f>YEAR(AllData[[#This Row],[Date]])</f>
        <v>2024</v>
      </c>
      <c r="E663" s="1">
        <v>0.36388888888888887</v>
      </c>
      <c r="F663" s="2" t="str">
        <f>IF(AND(AllData[[#This Row],[Time]]&lt;0.5, AllData[[#This Row],[Time]]&gt;0.17)=TRUE, "Morning", IF(AND(AllData[[#This Row],[Time]]&lt;0.75, AllData[[#This Row],[Time]]&gt;=0.5)=TRUE, "Afternoon", IF(AND(AllData[[#This Row],[Time]]&lt;1, AllData[[#This Row],[Time]]&gt;=0.75)=TRUE, "Evening", "Night")))</f>
        <v>Morning</v>
      </c>
      <c r="G663" t="str">
        <f>_xlfn.XLOOKUP(AllData[[#This Row],[Location Name]], Locations[Location Name],Locations[Group As])</f>
        <v>Stour Whichford</v>
      </c>
      <c r="H663" t="e" vm="2">
        <f>_xlfn.XLOOKUP(AllData[[#This Row],[Site Name]],LocationsKey[Site Name],LocationsKey[District])</f>
        <v>#VALUE!</v>
      </c>
      <c r="I663" t="e" vm="21">
        <f>_xlfn.XLOOKUP(AllData[[#This Row],[Site Name]],LocationsKey[Site Name],LocationsKey[Town])</f>
        <v>#VALUE!</v>
      </c>
      <c r="J663" t="str">
        <f>_xlfn.XLOOKUP(AllData[[#This Row],[Site Name]],LocationsKey[Site Name], LocationsKey[Waterway])</f>
        <v>Stour</v>
      </c>
      <c r="K663" t="s">
        <v>895</v>
      </c>
      <c r="N663" t="s">
        <v>29</v>
      </c>
      <c r="O663" s="128">
        <v>59.8</v>
      </c>
      <c r="P663">
        <v>12.08</v>
      </c>
      <c r="Q663" s="128">
        <v>2.0699999999999998</v>
      </c>
      <c r="R663" s="7" t="str">
        <f>IF(AllData[[#This Row],[Nitrate (PPM)]]&gt;2, "Very high", IF(AllData[[#This Row],[Nitrate (PPM)]]&gt;1, "High", IF(AllData[[#This Row],[Nitrate (PPM)]]&gt;0.5, "Some evidence", IF(AllData[[#This Row],[Nitrate (PPM)]]&gt;=0, "No evidence"))))</f>
        <v>Very high</v>
      </c>
      <c r="S663" s="134">
        <v>0.48</v>
      </c>
      <c r="T663" s="7" t="str">
        <f>IF(AllData[[#This Row],[Phosphate (PPM)]]&gt;0.5, "Very high", IF(AllData[[#This Row],[Phosphate (PPM)]]&gt;0.1, "High", IF(AllData[[#This Row],[Phosphate (PPM)]]&gt;0.05, "Some evidence", IF(AllData[[#This Row],[Phosphate (PPM)]]&lt;=0.05, "No Evidence", ""))))</f>
        <v>High</v>
      </c>
      <c r="U663">
        <v>20</v>
      </c>
    </row>
    <row r="664" spans="1:22" x14ac:dyDescent="0.25">
      <c r="A664" t="s">
        <v>964</v>
      </c>
      <c r="B664" s="2">
        <v>45395</v>
      </c>
      <c r="C664" s="2" t="str" cm="1">
        <f t="array" ref="C6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4">
        <f>YEAR(AllData[[#This Row],[Date]])</f>
        <v>2024</v>
      </c>
      <c r="E664" s="1">
        <v>0.3659722222222222</v>
      </c>
      <c r="F664" s="2" t="str">
        <f>IF(AND(AllData[[#This Row],[Time]]&lt;0.5, AllData[[#This Row],[Time]]&gt;0.17)=TRUE, "Morning", IF(AND(AllData[[#This Row],[Time]]&lt;0.75, AllData[[#This Row],[Time]]&gt;=0.5)=TRUE, "Afternoon", IF(AND(AllData[[#This Row],[Time]]&lt;1, AllData[[#This Row],[Time]]&gt;=0.75)=TRUE, "Evening", "Night")))</f>
        <v>Morning</v>
      </c>
      <c r="G664" t="str">
        <f>_xlfn.XLOOKUP(AllData[[#This Row],[Location Name]], Locations[Location Name],Locations[Group As])</f>
        <v>Lower Lode</v>
      </c>
      <c r="H664" t="e" vm="1">
        <f>_xlfn.XLOOKUP(AllData[[#This Row],[Site Name]],LocationsKey[Site Name],LocationsKey[District])</f>
        <v>#VALUE!</v>
      </c>
      <c r="I664" t="e" vm="1">
        <f>_xlfn.XLOOKUP(AllData[[#This Row],[Site Name]],LocationsKey[Site Name],LocationsKey[Town])</f>
        <v>#VALUE!</v>
      </c>
      <c r="J664" t="str">
        <f>_xlfn.XLOOKUP(AllData[[#This Row],[Site Name]],LocationsKey[Site Name], LocationsKey[Waterway])</f>
        <v>Avon</v>
      </c>
      <c r="K664" t="s">
        <v>592</v>
      </c>
      <c r="N664" t="s">
        <v>29</v>
      </c>
      <c r="O664" s="128">
        <v>7020</v>
      </c>
      <c r="P664">
        <v>13.5</v>
      </c>
      <c r="Q664" s="128">
        <v>10</v>
      </c>
      <c r="R664" s="7" t="str">
        <f>IF(AllData[[#This Row],[Nitrate (PPM)]]&gt;2, "Very high", IF(AllData[[#This Row],[Nitrate (PPM)]]&gt;1, "High", IF(AllData[[#This Row],[Nitrate (PPM)]]&gt;0.5, "Some evidence", IF(AllData[[#This Row],[Nitrate (PPM)]]&gt;=0, "No evidence"))))</f>
        <v>Very high</v>
      </c>
      <c r="S664" s="134">
        <v>0.4</v>
      </c>
      <c r="T664" s="7" t="str">
        <f>IF(AllData[[#This Row],[Phosphate (PPM)]]&gt;0.5, "Very high", IF(AllData[[#This Row],[Phosphate (PPM)]]&gt;0.1, "High", IF(AllData[[#This Row],[Phosphate (PPM)]]&gt;0.05, "Some evidence", IF(AllData[[#This Row],[Phosphate (PPM)]]&lt;=0.05, "No Evidence", ""))))</f>
        <v>High</v>
      </c>
      <c r="U664">
        <v>2</v>
      </c>
    </row>
    <row r="665" spans="1:22" x14ac:dyDescent="0.25">
      <c r="A665" t="s">
        <v>965</v>
      </c>
      <c r="B665" s="2">
        <v>45395</v>
      </c>
      <c r="C665" s="2" t="str" cm="1">
        <f t="array" ref="C6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5">
        <f>YEAR(AllData[[#This Row],[Date]])</f>
        <v>2024</v>
      </c>
      <c r="E665" s="1">
        <v>0.38472222222222224</v>
      </c>
      <c r="F665" s="2" t="str">
        <f>IF(AND(AllData[[#This Row],[Time]]&lt;0.5, AllData[[#This Row],[Time]]&gt;0.17)=TRUE, "Morning", IF(AND(AllData[[#This Row],[Time]]&lt;0.75, AllData[[#This Row],[Time]]&gt;=0.5)=TRUE, "Afternoon", IF(AND(AllData[[#This Row],[Time]]&lt;1, AllData[[#This Row],[Time]]&gt;=0.75)=TRUE, "Evening", "Night")))</f>
        <v>Morning</v>
      </c>
      <c r="G665" t="str">
        <f>_xlfn.XLOOKUP(AllData[[#This Row],[Location Name]], Locations[Location Name],Locations[Group As])</f>
        <v>Stour Ascott Village</v>
      </c>
      <c r="H665" t="e" vm="2">
        <f>_xlfn.XLOOKUP(AllData[[#This Row],[Site Name]],LocationsKey[Site Name],LocationsKey[District])</f>
        <v>#VALUE!</v>
      </c>
      <c r="I665" t="e" vm="22">
        <f>_xlfn.XLOOKUP(AllData[[#This Row],[Site Name]],LocationsKey[Site Name],LocationsKey[Town])</f>
        <v>#VALUE!</v>
      </c>
      <c r="J665" t="str">
        <f>_xlfn.XLOOKUP(AllData[[#This Row],[Site Name]],LocationsKey[Site Name], LocationsKey[Waterway])</f>
        <v>Stour</v>
      </c>
      <c r="K665" t="s">
        <v>855</v>
      </c>
      <c r="N665" t="s">
        <v>66</v>
      </c>
      <c r="O665" s="128">
        <v>54.8</v>
      </c>
      <c r="P665">
        <v>12.6</v>
      </c>
      <c r="Q665" s="128">
        <v>0.01</v>
      </c>
      <c r="R665" s="7" t="str">
        <f>IF(AllData[[#This Row],[Nitrate (PPM)]]&gt;2, "Very high", IF(AllData[[#This Row],[Nitrate (PPM)]]&gt;1, "High", IF(AllData[[#This Row],[Nitrate (PPM)]]&gt;0.5, "Some evidence", IF(AllData[[#This Row],[Nitrate (PPM)]]&gt;=0, "No evidence"))))</f>
        <v>No evidence</v>
      </c>
      <c r="S665" s="134">
        <v>0.21</v>
      </c>
      <c r="T665" s="7" t="str">
        <f>IF(AllData[[#This Row],[Phosphate (PPM)]]&gt;0.5, "Very high", IF(AllData[[#This Row],[Phosphate (PPM)]]&gt;0.1, "High", IF(AllData[[#This Row],[Phosphate (PPM)]]&gt;0.05, "Some evidence", IF(AllData[[#This Row],[Phosphate (PPM)]]&lt;=0.05, "No Evidence", ""))))</f>
        <v>High</v>
      </c>
      <c r="U665">
        <v>13</v>
      </c>
    </row>
    <row r="666" spans="1:22" x14ac:dyDescent="0.25">
      <c r="A666" t="s">
        <v>966</v>
      </c>
      <c r="B666" s="2">
        <v>45395</v>
      </c>
      <c r="C666" s="2" t="str" cm="1">
        <f t="array" ref="C6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6">
        <f>YEAR(AllData[[#This Row],[Date]])</f>
        <v>2024</v>
      </c>
      <c r="E666" s="1">
        <v>0.44374999999999998</v>
      </c>
      <c r="F666" s="2" t="str">
        <f>IF(AND(AllData[[#This Row],[Time]]&lt;0.5, AllData[[#This Row],[Time]]&gt;0.17)=TRUE, "Morning", IF(AND(AllData[[#This Row],[Time]]&lt;0.75, AllData[[#This Row],[Time]]&gt;=0.5)=TRUE, "Afternoon", IF(AND(AllData[[#This Row],[Time]]&lt;1, AllData[[#This Row],[Time]]&gt;=0.75)=TRUE, "Evening", "Night")))</f>
        <v>Morning</v>
      </c>
      <c r="G666" t="str">
        <f>_xlfn.XLOOKUP(AllData[[#This Row],[Location Name]], Locations[Location Name],Locations[Group As])</f>
        <v>Pitch 16</v>
      </c>
      <c r="H666" t="e" vm="2">
        <f>_xlfn.XLOOKUP(AllData[[#This Row],[Site Name]],LocationsKey[Site Name],LocationsKey[District])</f>
        <v>#VALUE!</v>
      </c>
      <c r="I666" t="e" vm="7">
        <f>_xlfn.XLOOKUP(AllData[[#This Row],[Site Name]],LocationsKey[Site Name],LocationsKey[Town])</f>
        <v>#VALUE!</v>
      </c>
      <c r="J666" t="str">
        <f>_xlfn.XLOOKUP(AllData[[#This Row],[Site Name]],LocationsKey[Site Name], LocationsKey[Waterway])</f>
        <v>Avon</v>
      </c>
      <c r="K666" t="s">
        <v>69</v>
      </c>
      <c r="L666">
        <v>52.172607999999997</v>
      </c>
      <c r="M666">
        <v>-1.7454069999999999</v>
      </c>
      <c r="N666" t="s">
        <v>29</v>
      </c>
      <c r="O666" s="128">
        <v>790</v>
      </c>
      <c r="P666">
        <v>15.6</v>
      </c>
      <c r="Q666" s="128">
        <v>4</v>
      </c>
      <c r="R666" s="7" t="str">
        <f>IF(AllData[[#This Row],[Nitrate (PPM)]]&gt;2, "Very high", IF(AllData[[#This Row],[Nitrate (PPM)]]&gt;1, "High", IF(AllData[[#This Row],[Nitrate (PPM)]]&gt;0.5, "Some evidence", IF(AllData[[#This Row],[Nitrate (PPM)]]&gt;=0, "No evidence"))))</f>
        <v>Very high</v>
      </c>
      <c r="S666" s="134">
        <v>0.72</v>
      </c>
      <c r="T666" s="7" t="str">
        <f>IF(AllData[[#This Row],[Phosphate (PPM)]]&gt;0.5, "Very high", IF(AllData[[#This Row],[Phosphate (PPM)]]&gt;0.1, "High", IF(AllData[[#This Row],[Phosphate (PPM)]]&gt;0.05, "Some evidence", IF(AllData[[#This Row],[Phosphate (PPM)]]&lt;=0.05, "No Evidence", ""))))</f>
        <v>Very high</v>
      </c>
      <c r="U666">
        <v>0.8</v>
      </c>
      <c r="V666" t="s">
        <v>967</v>
      </c>
    </row>
    <row r="667" spans="1:22" x14ac:dyDescent="0.25">
      <c r="A667" t="s">
        <v>968</v>
      </c>
      <c r="B667" s="2">
        <v>45395</v>
      </c>
      <c r="C667" s="2" t="str" cm="1">
        <f t="array" ref="C6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7">
        <f>YEAR(AllData[[#This Row],[Date]])</f>
        <v>2024</v>
      </c>
      <c r="E667" s="1">
        <v>0.4597222222222222</v>
      </c>
      <c r="F667" s="2" t="str">
        <f>IF(AND(AllData[[#This Row],[Time]]&lt;0.5, AllData[[#This Row],[Time]]&gt;0.17)=TRUE, "Morning", IF(AND(AllData[[#This Row],[Time]]&lt;0.75, AllData[[#This Row],[Time]]&gt;=0.5)=TRUE, "Afternoon", IF(AND(AllData[[#This Row],[Time]]&lt;1, AllData[[#This Row],[Time]]&gt;=0.75)=TRUE, "Evening", "Night")))</f>
        <v>Morning</v>
      </c>
      <c r="G667" t="str">
        <f>_xlfn.XLOOKUP(AllData[[#This Row],[Location Name]], Locations[Location Name],Locations[Group As])</f>
        <v>Avonbank Drive</v>
      </c>
      <c r="H667" t="e" vm="2">
        <f>_xlfn.XLOOKUP(AllData[[#This Row],[Site Name]],LocationsKey[Site Name],LocationsKey[District])</f>
        <v>#VALUE!</v>
      </c>
      <c r="I667" t="e" vm="7">
        <f>_xlfn.XLOOKUP(AllData[[#This Row],[Site Name]],LocationsKey[Site Name],LocationsKey[Town])</f>
        <v>#VALUE!</v>
      </c>
      <c r="J667" t="str">
        <f>_xlfn.XLOOKUP(AllData[[#This Row],[Site Name]],LocationsKey[Site Name], LocationsKey[Waterway])</f>
        <v>Avon</v>
      </c>
      <c r="K667" t="s">
        <v>65</v>
      </c>
      <c r="L667">
        <v>52.177146999999998</v>
      </c>
      <c r="M667">
        <v>-1.7358070000000001</v>
      </c>
      <c r="N667" t="s">
        <v>66</v>
      </c>
      <c r="O667" s="128">
        <v>792</v>
      </c>
      <c r="P667">
        <v>15.8</v>
      </c>
      <c r="Q667" s="128">
        <v>7</v>
      </c>
      <c r="R667" s="7" t="str">
        <f>IF(AllData[[#This Row],[Nitrate (PPM)]]&gt;2, "Very high", IF(AllData[[#This Row],[Nitrate (PPM)]]&gt;1, "High", IF(AllData[[#This Row],[Nitrate (PPM)]]&gt;0.5, "Some evidence", IF(AllData[[#This Row],[Nitrate (PPM)]]&gt;=0, "No evidence"))))</f>
        <v>Very high</v>
      </c>
      <c r="S667" s="134">
        <v>0.4</v>
      </c>
      <c r="T667" s="7" t="str">
        <f>IF(AllData[[#This Row],[Phosphate (PPM)]]&gt;0.5, "Very high", IF(AllData[[#This Row],[Phosphate (PPM)]]&gt;0.1, "High", IF(AllData[[#This Row],[Phosphate (PPM)]]&gt;0.05, "Some evidence", IF(AllData[[#This Row],[Phosphate (PPM)]]&lt;=0.05, "No Evidence", ""))))</f>
        <v>High</v>
      </c>
      <c r="U667">
        <v>0.8</v>
      </c>
      <c r="V667" t="s">
        <v>969</v>
      </c>
    </row>
    <row r="668" spans="1:22" x14ac:dyDescent="0.25">
      <c r="A668" t="s">
        <v>972</v>
      </c>
      <c r="B668" s="2">
        <v>45395</v>
      </c>
      <c r="C668" s="2" t="str" cm="1">
        <f t="array" ref="C6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8">
        <f>YEAR(AllData[[#This Row],[Date]])</f>
        <v>2024</v>
      </c>
      <c r="E668" s="1">
        <v>0.5</v>
      </c>
      <c r="F668" s="2" t="str">
        <f>IF(AND(AllData[[#This Row],[Time]]&lt;0.5, AllData[[#This Row],[Time]]&gt;0.17)=TRUE, "Morning", IF(AND(AllData[[#This Row],[Time]]&lt;0.75, AllData[[#This Row],[Time]]&gt;=0.5)=TRUE, "Afternoon", IF(AND(AllData[[#This Row],[Time]]&lt;1, AllData[[#This Row],[Time]]&gt;=0.75)=TRUE, "Evening", "Night")))</f>
        <v>Afternoon</v>
      </c>
      <c r="G668" t="str">
        <f>_xlfn.XLOOKUP(AllData[[#This Row],[Location Name]], Locations[Location Name],Locations[Group As])</f>
        <v>Avon Smiths Meadow Wyre Piddle</v>
      </c>
      <c r="H668" t="e" vm="17">
        <f>_xlfn.XLOOKUP(AllData[[#This Row],[Site Name]],LocationsKey[Site Name],LocationsKey[District])</f>
        <v>#VALUE!</v>
      </c>
      <c r="I668" t="e" vm="20">
        <f>_xlfn.XLOOKUP(AllData[[#This Row],[Site Name]],LocationsKey[Site Name],LocationsKey[Town])</f>
        <v>#VALUE!</v>
      </c>
      <c r="J668" t="str">
        <f>_xlfn.XLOOKUP(AllData[[#This Row],[Site Name]],LocationsKey[Site Name], LocationsKey[Waterway])</f>
        <v>Avon</v>
      </c>
      <c r="K668" t="s">
        <v>741</v>
      </c>
      <c r="L668">
        <v>52.122858999999998</v>
      </c>
      <c r="M668">
        <v>-2.0575389999999998</v>
      </c>
      <c r="N668" t="s">
        <v>23</v>
      </c>
      <c r="O668" s="128">
        <v>743</v>
      </c>
      <c r="P668">
        <v>7.3</v>
      </c>
      <c r="Q668" s="128">
        <v>5</v>
      </c>
      <c r="R668" s="7" t="str">
        <f>IF(AllData[[#This Row],[Nitrate (PPM)]]&gt;2, "Very high", IF(AllData[[#This Row],[Nitrate (PPM)]]&gt;1, "High", IF(AllData[[#This Row],[Nitrate (PPM)]]&gt;0.5, "Some evidence", IF(AllData[[#This Row],[Nitrate (PPM)]]&gt;=0, "No evidence"))))</f>
        <v>Very high</v>
      </c>
      <c r="S668" s="134">
        <v>0.37</v>
      </c>
      <c r="T668" s="7" t="str">
        <f>IF(AllData[[#This Row],[Phosphate (PPM)]]&gt;0.5, "Very high", IF(AllData[[#This Row],[Phosphate (PPM)]]&gt;0.1, "High", IF(AllData[[#This Row],[Phosphate (PPM)]]&gt;0.05, "Some evidence", IF(AllData[[#This Row],[Phosphate (PPM)]]&lt;=0.05, "No Evidence", ""))))</f>
        <v>High</v>
      </c>
      <c r="U668">
        <v>0.84</v>
      </c>
      <c r="V668" t="s">
        <v>973</v>
      </c>
    </row>
    <row r="669" spans="1:22" x14ac:dyDescent="0.25">
      <c r="A669" t="s">
        <v>970</v>
      </c>
      <c r="B669" s="2">
        <v>45395</v>
      </c>
      <c r="C669" s="2" t="str" cm="1">
        <f t="array" ref="C6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9">
        <f>YEAR(AllData[[#This Row],[Date]])</f>
        <v>2024</v>
      </c>
      <c r="E669" s="1">
        <v>0.5</v>
      </c>
      <c r="F669" s="2" t="str">
        <f>IF(AND(AllData[[#This Row],[Time]]&lt;0.5, AllData[[#This Row],[Time]]&gt;0.17)=TRUE, "Morning", IF(AND(AllData[[#This Row],[Time]]&lt;0.75, AllData[[#This Row],[Time]]&gt;=0.5)=TRUE, "Afternoon", IF(AND(AllData[[#This Row],[Time]]&lt;1, AllData[[#This Row],[Time]]&gt;=0.75)=TRUE, "Evening", "Night")))</f>
        <v>Afternoon</v>
      </c>
      <c r="G669" t="str">
        <f>_xlfn.XLOOKUP(AllData[[#This Row],[Location Name]], Locations[Location Name],Locations[Group As])</f>
        <v>Piddle Brook Wyre Piddle Bridge</v>
      </c>
      <c r="H669" t="e" vm="17">
        <f>_xlfn.XLOOKUP(AllData[[#This Row],[Site Name]],LocationsKey[Site Name],LocationsKey[District])</f>
        <v>#VALUE!</v>
      </c>
      <c r="I669" t="e" vm="20">
        <f>_xlfn.XLOOKUP(AllData[[#This Row],[Site Name]],LocationsKey[Site Name],LocationsKey[Town])</f>
        <v>#VALUE!</v>
      </c>
      <c r="J669" t="str">
        <f>_xlfn.XLOOKUP(AllData[[#This Row],[Site Name]],LocationsKey[Site Name], LocationsKey[Waterway])</f>
        <v>Piddle Brook</v>
      </c>
      <c r="K669" t="s">
        <v>744</v>
      </c>
      <c r="L669">
        <v>52.126404000000001</v>
      </c>
      <c r="M669">
        <v>-2.0565410000000002</v>
      </c>
      <c r="N669" t="s">
        <v>23</v>
      </c>
      <c r="O669" s="128">
        <v>1010</v>
      </c>
      <c r="P669">
        <v>13.1</v>
      </c>
      <c r="Q669" s="128">
        <v>5</v>
      </c>
      <c r="R669" s="7" t="str">
        <f>IF(AllData[[#This Row],[Nitrate (PPM)]]&gt;2, "Very high", IF(AllData[[#This Row],[Nitrate (PPM)]]&gt;1, "High", IF(AllData[[#This Row],[Nitrate (PPM)]]&gt;0.5, "Some evidence", IF(AllData[[#This Row],[Nitrate (PPM)]]&gt;=0, "No evidence"))))</f>
        <v>Very high</v>
      </c>
      <c r="S669" s="134">
        <v>0.53</v>
      </c>
      <c r="T669" s="7" t="str">
        <f>IF(AllData[[#This Row],[Phosphate (PPM)]]&gt;0.5, "Very high", IF(AllData[[#This Row],[Phosphate (PPM)]]&gt;0.1, "High", IF(AllData[[#This Row],[Phosphate (PPM)]]&gt;0.05, "Some evidence", IF(AllData[[#This Row],[Phosphate (PPM)]]&lt;=0.05, "No Evidence", ""))))</f>
        <v>Very high</v>
      </c>
      <c r="U669">
        <v>0.33</v>
      </c>
      <c r="V669" t="s">
        <v>971</v>
      </c>
    </row>
    <row r="670" spans="1:22" x14ac:dyDescent="0.25">
      <c r="A670" t="s">
        <v>974</v>
      </c>
      <c r="B670" s="2">
        <v>45395</v>
      </c>
      <c r="C670" s="2" t="str" cm="1">
        <f t="array" ref="C6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0">
        <f>YEAR(AllData[[#This Row],[Date]])</f>
        <v>2024</v>
      </c>
      <c r="E670" s="1">
        <v>0.52083333333333337</v>
      </c>
      <c r="F670" s="2" t="str">
        <f>IF(AND(AllData[[#This Row],[Time]]&lt;0.5, AllData[[#This Row],[Time]]&gt;0.17)=TRUE, "Morning", IF(AND(AllData[[#This Row],[Time]]&lt;0.75, AllData[[#This Row],[Time]]&gt;=0.5)=TRUE, "Afternoon", IF(AND(AllData[[#This Row],[Time]]&lt;1, AllData[[#This Row],[Time]]&gt;=0.75)=TRUE, "Evening", "Night")))</f>
        <v>Afternoon</v>
      </c>
      <c r="G670" t="str">
        <f>_xlfn.XLOOKUP(AllData[[#This Row],[Location Name]], Locations[Location Name],Locations[Group As])</f>
        <v>Carrant Bredon Rd</v>
      </c>
      <c r="H670" t="e" vm="1">
        <f>_xlfn.XLOOKUP(AllData[[#This Row],[Site Name]],LocationsKey[Site Name],LocationsKey[District])</f>
        <v>#VALUE!</v>
      </c>
      <c r="I670" t="e" vm="1">
        <f>_xlfn.XLOOKUP(AllData[[#This Row],[Site Name]],LocationsKey[Site Name],LocationsKey[Town])</f>
        <v>#VALUE!</v>
      </c>
      <c r="J670" t="str">
        <f>_xlfn.XLOOKUP(AllData[[#This Row],[Site Name]],LocationsKey[Site Name], LocationsKey[Waterway])</f>
        <v>Carrant</v>
      </c>
      <c r="K670" t="s">
        <v>600</v>
      </c>
      <c r="L670">
        <v>51.996319</v>
      </c>
      <c r="M670">
        <v>-2.156094</v>
      </c>
      <c r="N670" t="s">
        <v>23</v>
      </c>
      <c r="O670" s="128">
        <v>753</v>
      </c>
      <c r="P670">
        <v>14.3</v>
      </c>
      <c r="Q670" s="128">
        <v>5</v>
      </c>
      <c r="R670" s="7" t="str">
        <f>IF(AllData[[#This Row],[Nitrate (PPM)]]&gt;2, "Very high", IF(AllData[[#This Row],[Nitrate (PPM)]]&gt;1, "High", IF(AllData[[#This Row],[Nitrate (PPM)]]&gt;0.5, "Some evidence", IF(AllData[[#This Row],[Nitrate (PPM)]]&gt;=0, "No evidence"))))</f>
        <v>Very high</v>
      </c>
      <c r="S670" s="134">
        <v>0.32</v>
      </c>
      <c r="T670" s="7" t="str">
        <f>IF(AllData[[#This Row],[Phosphate (PPM)]]&gt;0.5, "Very high", IF(AllData[[#This Row],[Phosphate (PPM)]]&gt;0.1, "High", IF(AllData[[#This Row],[Phosphate (PPM)]]&gt;0.05, "Some evidence", IF(AllData[[#This Row],[Phosphate (PPM)]]&lt;=0.05, "No Evidence", ""))))</f>
        <v>High</v>
      </c>
      <c r="U670">
        <v>0.43</v>
      </c>
    </row>
    <row r="671" spans="1:22" x14ac:dyDescent="0.25">
      <c r="A671" t="s">
        <v>975</v>
      </c>
      <c r="B671" s="2">
        <v>45395</v>
      </c>
      <c r="C671" s="2" t="str" cm="1">
        <f t="array" ref="C6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1">
        <f>YEAR(AllData[[#This Row],[Date]])</f>
        <v>2024</v>
      </c>
      <c r="E671" s="1">
        <v>0.64583333333333337</v>
      </c>
      <c r="F671" s="2" t="str">
        <f>IF(AND(AllData[[#This Row],[Time]]&lt;0.5, AllData[[#This Row],[Time]]&gt;0.17)=TRUE, "Morning", IF(AND(AllData[[#This Row],[Time]]&lt;0.75, AllData[[#This Row],[Time]]&gt;=0.5)=TRUE, "Afternoon", IF(AND(AllData[[#This Row],[Time]]&lt;1, AllData[[#This Row],[Time]]&gt;=0.75)=TRUE, "Evening", "Night")))</f>
        <v>Afternoon</v>
      </c>
      <c r="G671" t="str">
        <f>_xlfn.XLOOKUP(AllData[[#This Row],[Location Name]], Locations[Location Name],Locations[Group As])</f>
        <v>Fell Mill Footbridge</v>
      </c>
      <c r="H671" t="e" vm="2">
        <f>_xlfn.XLOOKUP(AllData[[#This Row],[Site Name]],LocationsKey[Site Name],LocationsKey[District])</f>
        <v>#VALUE!</v>
      </c>
      <c r="I671" t="e" vm="10">
        <f>_xlfn.XLOOKUP(AllData[[#This Row],[Site Name]],LocationsKey[Site Name],LocationsKey[Town])</f>
        <v>#VALUE!</v>
      </c>
      <c r="J671" t="str">
        <f>_xlfn.XLOOKUP(AllData[[#This Row],[Site Name]],LocationsKey[Site Name], LocationsKey[Waterway])</f>
        <v>Stour</v>
      </c>
      <c r="K671" t="s">
        <v>818</v>
      </c>
      <c r="N671" t="s">
        <v>29</v>
      </c>
      <c r="O671" s="128">
        <v>586</v>
      </c>
      <c r="P671">
        <v>14.4</v>
      </c>
      <c r="Q671" s="128">
        <v>10</v>
      </c>
      <c r="R671" s="7" t="str">
        <f>IF(AllData[[#This Row],[Nitrate (PPM)]]&gt;2, "Very high", IF(AllData[[#This Row],[Nitrate (PPM)]]&gt;1, "High", IF(AllData[[#This Row],[Nitrate (PPM)]]&gt;0.5, "Some evidence", IF(AllData[[#This Row],[Nitrate (PPM)]]&gt;=0, "No evidence"))))</f>
        <v>Very high</v>
      </c>
      <c r="S671" s="134">
        <v>0.18</v>
      </c>
      <c r="T671" s="7" t="str">
        <f>IF(AllData[[#This Row],[Phosphate (PPM)]]&gt;0.5, "Very high", IF(AllData[[#This Row],[Phosphate (PPM)]]&gt;0.1, "High", IF(AllData[[#This Row],[Phosphate (PPM)]]&gt;0.05, "Some evidence", IF(AllData[[#This Row],[Phosphate (PPM)]]&lt;=0.05, "No Evidence", ""))))</f>
        <v>High</v>
      </c>
      <c r="U671">
        <v>1.5</v>
      </c>
      <c r="V671" t="s">
        <v>976</v>
      </c>
    </row>
    <row r="672" spans="1:22" x14ac:dyDescent="0.25">
      <c r="A672" t="s">
        <v>977</v>
      </c>
      <c r="B672" s="2">
        <v>45395</v>
      </c>
      <c r="C672" s="2" t="str" cm="1">
        <f t="array" ref="C6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2">
        <f>YEAR(AllData[[#This Row],[Date]])</f>
        <v>2024</v>
      </c>
      <c r="E672" s="1">
        <v>0.75277777777777777</v>
      </c>
      <c r="F672" s="2" t="str">
        <f>IF(AND(AllData[[#This Row],[Time]]&lt;0.5, AllData[[#This Row],[Time]]&gt;0.17)=TRUE, "Morning", IF(AND(AllData[[#This Row],[Time]]&lt;0.75, AllData[[#This Row],[Time]]&gt;=0.5)=TRUE, "Afternoon", IF(AND(AllData[[#This Row],[Time]]&lt;1, AllData[[#This Row],[Time]]&gt;=0.75)=TRUE, "Evening", "Night")))</f>
        <v>Evening</v>
      </c>
      <c r="G672" t="str">
        <f>_xlfn.XLOOKUP(AllData[[#This Row],[Location Name]], Locations[Location Name],Locations[Group As])</f>
        <v>Walcot Lane, Bow Brook Ford</v>
      </c>
      <c r="H672" t="e" vm="17">
        <f>_xlfn.XLOOKUP(AllData[[#This Row],[Site Name]],LocationsKey[Site Name],LocationsKey[District])</f>
        <v>#VALUE!</v>
      </c>
      <c r="I672" t="e" vm="18">
        <f>_xlfn.XLOOKUP(AllData[[#This Row],[Site Name]],LocationsKey[Site Name],LocationsKey[Town])</f>
        <v>#VALUE!</v>
      </c>
      <c r="J672" t="str">
        <f>_xlfn.XLOOKUP(AllData[[#This Row],[Site Name]],LocationsKey[Site Name], LocationsKey[Waterway])</f>
        <v>Bow Brook</v>
      </c>
      <c r="K672" t="s">
        <v>732</v>
      </c>
      <c r="L672">
        <v>52.130450000000003</v>
      </c>
      <c r="M672">
        <v>-2.0786319999999998</v>
      </c>
      <c r="N672" t="s">
        <v>23</v>
      </c>
      <c r="O672" s="7">
        <v>872</v>
      </c>
      <c r="P672">
        <v>15.7</v>
      </c>
      <c r="Q672" s="7">
        <v>5</v>
      </c>
      <c r="R672" s="7" t="str">
        <f>IF(AllData[[#This Row],[Nitrate (PPM)]]&gt;2, "Very high", IF(AllData[[#This Row],[Nitrate (PPM)]]&gt;1, "High", IF(AllData[[#This Row],[Nitrate (PPM)]]&gt;0.5, "Some evidence", IF(AllData[[#This Row],[Nitrate (PPM)]]&gt;=0, "No evidence"))))</f>
        <v>Very high</v>
      </c>
      <c r="S672" s="135">
        <v>0.92</v>
      </c>
      <c r="T672" s="7" t="str">
        <f>IF(AllData[[#This Row],[Phosphate (PPM)]]&gt;0.5, "Very high", IF(AllData[[#This Row],[Phosphate (PPM)]]&gt;0.1, "High", IF(AllData[[#This Row],[Phosphate (PPM)]]&gt;0.05, "Some evidence", IF(AllData[[#This Row],[Phosphate (PPM)]]&lt;=0.05, "No Evidence", ""))))</f>
        <v>Very high</v>
      </c>
      <c r="U672">
        <v>0.5</v>
      </c>
      <c r="V672" t="s">
        <v>978</v>
      </c>
    </row>
    <row r="673" spans="1:22" x14ac:dyDescent="0.25">
      <c r="A673" t="s">
        <v>983</v>
      </c>
      <c r="B673" s="2">
        <v>45396</v>
      </c>
      <c r="C673" s="2" t="str" cm="1">
        <f t="array" ref="C6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3">
        <f>YEAR(AllData[[#This Row],[Date]])</f>
        <v>2024</v>
      </c>
      <c r="E673" s="1">
        <v>0.5493055555555556</v>
      </c>
      <c r="F673" s="2" t="str">
        <f>IF(AND(AllData[[#This Row],[Time]]&lt;0.5, AllData[[#This Row],[Time]]&gt;0.17)=TRUE, "Morning", IF(AND(AllData[[#This Row],[Time]]&lt;0.75, AllData[[#This Row],[Time]]&gt;=0.5)=TRUE, "Afternoon", IF(AND(AllData[[#This Row],[Time]]&lt;1, AllData[[#This Row],[Time]]&gt;=0.75)=TRUE, "Evening", "Night")))</f>
        <v>Afternoon</v>
      </c>
      <c r="G673" t="str">
        <f>_xlfn.XLOOKUP(AllData[[#This Row],[Location Name]], Locations[Location Name],Locations[Group As])</f>
        <v>Lucy's Mill Bridge</v>
      </c>
      <c r="H673" t="e" vm="2">
        <f>_xlfn.XLOOKUP(AllData[[#This Row],[Site Name]],LocationsKey[Site Name],LocationsKey[District])</f>
        <v>#VALUE!</v>
      </c>
      <c r="I673" t="e" vm="7">
        <f>_xlfn.XLOOKUP(AllData[[#This Row],[Site Name]],LocationsKey[Site Name],LocationsKey[Town])</f>
        <v>#VALUE!</v>
      </c>
      <c r="J673" t="str">
        <f>_xlfn.XLOOKUP(AllData[[#This Row],[Site Name]],LocationsKey[Site Name], LocationsKey[Waterway])</f>
        <v>Avon</v>
      </c>
      <c r="K673" t="s">
        <v>216</v>
      </c>
      <c r="L673">
        <v>52.183698999999997</v>
      </c>
      <c r="M673">
        <v>-1.707816</v>
      </c>
      <c r="N673" t="s">
        <v>29</v>
      </c>
      <c r="O673" s="128"/>
      <c r="P673">
        <v>12</v>
      </c>
      <c r="Q673" s="128">
        <v>5</v>
      </c>
      <c r="R673" s="7" t="str">
        <f>IF(AllData[[#This Row],[Nitrate (PPM)]]&gt;2, "Very high", IF(AllData[[#This Row],[Nitrate (PPM)]]&gt;1, "High", IF(AllData[[#This Row],[Nitrate (PPM)]]&gt;0.5, "Some evidence", IF(AllData[[#This Row],[Nitrate (PPM)]]&gt;=0, "No evidence"))))</f>
        <v>Very high</v>
      </c>
      <c r="S673" s="134">
        <v>0.26</v>
      </c>
      <c r="T673" s="7" t="str">
        <f>IF(AllData[[#This Row],[Phosphate (PPM)]]&gt;0.5, "Very high", IF(AllData[[#This Row],[Phosphate (PPM)]]&gt;0.1, "High", IF(AllData[[#This Row],[Phosphate (PPM)]]&gt;0.05, "Some evidence", IF(AllData[[#This Row],[Phosphate (PPM)]]&lt;=0.05, "No Evidence", ""))))</f>
        <v>High</v>
      </c>
      <c r="U673">
        <v>0.7</v>
      </c>
    </row>
    <row r="674" spans="1:22" x14ac:dyDescent="0.25">
      <c r="A674" t="s">
        <v>979</v>
      </c>
      <c r="B674" s="2">
        <v>45396</v>
      </c>
      <c r="C674" s="2" t="str" cm="1">
        <f t="array" ref="C6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4">
        <f>YEAR(AllData[[#This Row],[Date]])</f>
        <v>2024</v>
      </c>
      <c r="E674" s="1">
        <v>0.68888888888888888</v>
      </c>
      <c r="F674" s="2" t="str">
        <f>IF(AND(AllData[[#This Row],[Time]]&lt;0.5, AllData[[#This Row],[Time]]&gt;0.17)=TRUE, "Morning", IF(AND(AllData[[#This Row],[Time]]&lt;0.75, AllData[[#This Row],[Time]]&gt;=0.5)=TRUE, "Afternoon", IF(AND(AllData[[#This Row],[Time]]&lt;1, AllData[[#This Row],[Time]]&gt;=0.75)=TRUE, "Evening", "Night")))</f>
        <v>Afternoon</v>
      </c>
      <c r="G674" t="str">
        <f>_xlfn.XLOOKUP(AllData[[#This Row],[Location Name]], Locations[Location Name],Locations[Group As])</f>
        <v>Black Bear</v>
      </c>
      <c r="H674" t="e" vm="1">
        <f>_xlfn.XLOOKUP(AllData[[#This Row],[Site Name]],LocationsKey[Site Name],LocationsKey[District])</f>
        <v>#VALUE!</v>
      </c>
      <c r="I674" t="e" vm="1">
        <f>_xlfn.XLOOKUP(AllData[[#This Row],[Site Name]],LocationsKey[Site Name],LocationsKey[Town])</f>
        <v>#VALUE!</v>
      </c>
      <c r="J674" t="str">
        <f>_xlfn.XLOOKUP(AllData[[#This Row],[Site Name]],LocationsKey[Site Name], LocationsKey[Waterway])</f>
        <v>Avon</v>
      </c>
      <c r="K674" t="s">
        <v>567</v>
      </c>
      <c r="L674">
        <v>51.997185000000002</v>
      </c>
      <c r="M674">
        <v>-2.155983</v>
      </c>
      <c r="N674" t="s">
        <v>23</v>
      </c>
      <c r="O674" s="128">
        <v>765</v>
      </c>
      <c r="P674">
        <v>14.1</v>
      </c>
      <c r="Q674" s="128">
        <v>5</v>
      </c>
      <c r="R674" s="7" t="str">
        <f>IF(AllData[[#This Row],[Nitrate (PPM)]]&gt;2, "Very high", IF(AllData[[#This Row],[Nitrate (PPM)]]&gt;1, "High", IF(AllData[[#This Row],[Nitrate (PPM)]]&gt;0.5, "Some evidence", IF(AllData[[#This Row],[Nitrate (PPM)]]&gt;=0, "No evidence"))))</f>
        <v>Very high</v>
      </c>
      <c r="S674" s="134">
        <v>0.92</v>
      </c>
      <c r="T674" s="7" t="str">
        <f>IF(AllData[[#This Row],[Phosphate (PPM)]]&gt;0.5, "Very high", IF(AllData[[#This Row],[Phosphate (PPM)]]&gt;0.1, "High", IF(AllData[[#This Row],[Phosphate (PPM)]]&gt;0.05, "Some evidence", IF(AllData[[#This Row],[Phosphate (PPM)]]&lt;=0.05, "No Evidence", ""))))</f>
        <v>Very high</v>
      </c>
      <c r="U674">
        <v>0</v>
      </c>
    </row>
    <row r="675" spans="1:22" x14ac:dyDescent="0.25">
      <c r="A675" t="s">
        <v>980</v>
      </c>
      <c r="B675" s="2">
        <v>45396</v>
      </c>
      <c r="C675" s="2" t="str" cm="1">
        <f t="array" ref="C6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5">
        <f>YEAR(AllData[[#This Row],[Date]])</f>
        <v>2024</v>
      </c>
      <c r="E675" s="1">
        <v>0.72916666666666663</v>
      </c>
      <c r="F675" s="2" t="str">
        <f>IF(AND(AllData[[#This Row],[Time]]&lt;0.5, AllData[[#This Row],[Time]]&gt;0.17)=TRUE, "Morning", IF(AND(AllData[[#This Row],[Time]]&lt;0.75, AllData[[#This Row],[Time]]&gt;=0.5)=TRUE, "Afternoon", IF(AND(AllData[[#This Row],[Time]]&lt;1, AllData[[#This Row],[Time]]&gt;=0.75)=TRUE, "Evening", "Night")))</f>
        <v>Afternoon</v>
      </c>
      <c r="G675" t="str">
        <f>_xlfn.XLOOKUP(AllData[[#This Row],[Location Name]], Locations[Location Name],Locations[Group As])</f>
        <v>Sherbourne Brook 1</v>
      </c>
      <c r="H675" t="e" vm="2">
        <f>_xlfn.XLOOKUP(AllData[[#This Row],[Site Name]],LocationsKey[Site Name],LocationsKey[District])</f>
        <v>#VALUE!</v>
      </c>
      <c r="I675" t="e" vm="16">
        <f>_xlfn.XLOOKUP(AllData[[#This Row],[Site Name]],LocationsKey[Site Name],LocationsKey[Town])</f>
        <v>#VALUE!</v>
      </c>
      <c r="J675" t="str">
        <f>_xlfn.XLOOKUP(AllData[[#This Row],[Site Name]],LocationsKey[Site Name], LocationsKey[Waterway])</f>
        <v>Sherbourne Brook</v>
      </c>
      <c r="K675" t="s">
        <v>570</v>
      </c>
      <c r="L675">
        <v>52.252499999999998</v>
      </c>
      <c r="M675">
        <v>-1.6685000000000001</v>
      </c>
      <c r="N675" t="s">
        <v>23</v>
      </c>
      <c r="O675" s="7">
        <v>1040</v>
      </c>
      <c r="P675">
        <v>12.2</v>
      </c>
      <c r="Q675" s="7">
        <v>5</v>
      </c>
      <c r="R675" s="7" t="str">
        <f>IF(AllData[[#This Row],[Nitrate (PPM)]]&gt;2, "Very high", IF(AllData[[#This Row],[Nitrate (PPM)]]&gt;1, "High", IF(AllData[[#This Row],[Nitrate (PPM)]]&gt;0.5, "Some evidence", IF(AllData[[#This Row],[Nitrate (PPM)]]&gt;=0, "No evidence"))))</f>
        <v>Very high</v>
      </c>
      <c r="S675" s="135">
        <v>0.62</v>
      </c>
      <c r="T675" s="7" t="str">
        <f>IF(AllData[[#This Row],[Phosphate (PPM)]]&gt;0.5, "Very high", IF(AllData[[#This Row],[Phosphate (PPM)]]&gt;0.1, "High", IF(AllData[[#This Row],[Phosphate (PPM)]]&gt;0.05, "Some evidence", IF(AllData[[#This Row],[Phosphate (PPM)]]&lt;=0.05, "No Evidence", ""))))</f>
        <v>Very high</v>
      </c>
      <c r="U675">
        <v>0.3</v>
      </c>
    </row>
    <row r="676" spans="1:22" x14ac:dyDescent="0.25">
      <c r="A676" t="s">
        <v>981</v>
      </c>
      <c r="B676" s="2">
        <v>45396</v>
      </c>
      <c r="C676" s="2" t="str" cm="1">
        <f t="array" ref="C6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6">
        <f>YEAR(AllData[[#This Row],[Date]])</f>
        <v>2024</v>
      </c>
      <c r="E676" s="1">
        <v>0.73958333333333337</v>
      </c>
      <c r="F676" s="2" t="str">
        <f>IF(AND(AllData[[#This Row],[Time]]&lt;0.5, AllData[[#This Row],[Time]]&gt;0.17)=TRUE, "Morning", IF(AND(AllData[[#This Row],[Time]]&lt;0.75, AllData[[#This Row],[Time]]&gt;=0.5)=TRUE, "Afternoon", IF(AND(AllData[[#This Row],[Time]]&lt;1, AllData[[#This Row],[Time]]&gt;=0.75)=TRUE, "Evening", "Night")))</f>
        <v>Afternoon</v>
      </c>
      <c r="G676" t="str">
        <f>_xlfn.XLOOKUP(AllData[[#This Row],[Location Name]], Locations[Location Name],Locations[Group As])</f>
        <v>Bell Brook 1</v>
      </c>
      <c r="H676" t="e" vm="2">
        <f>_xlfn.XLOOKUP(AllData[[#This Row],[Site Name]],LocationsKey[Site Name],LocationsKey[District])</f>
        <v>#VALUE!</v>
      </c>
      <c r="I676" t="e" vm="15">
        <f>_xlfn.XLOOKUP(AllData[[#This Row],[Site Name]],LocationsKey[Site Name],LocationsKey[Town])</f>
        <v>#VALUE!</v>
      </c>
      <c r="J676" t="str">
        <f>_xlfn.XLOOKUP(AllData[[#This Row],[Site Name]],LocationsKey[Site Name], LocationsKey[Waterway])</f>
        <v>Bell Brook</v>
      </c>
      <c r="K676" t="s">
        <v>534</v>
      </c>
      <c r="L676">
        <v>52.244900000000001</v>
      </c>
      <c r="M676">
        <v>-1.6617</v>
      </c>
      <c r="N676" t="s">
        <v>23</v>
      </c>
      <c r="O676" s="7">
        <v>690</v>
      </c>
      <c r="P676">
        <v>13.1</v>
      </c>
      <c r="Q676" s="7">
        <v>4</v>
      </c>
      <c r="R676" s="7" t="str">
        <f>IF(AllData[[#This Row],[Nitrate (PPM)]]&gt;2, "Very high", IF(AllData[[#This Row],[Nitrate (PPM)]]&gt;1, "High", IF(AllData[[#This Row],[Nitrate (PPM)]]&gt;0.5, "Some evidence", IF(AllData[[#This Row],[Nitrate (PPM)]]&gt;=0, "No evidence"))))</f>
        <v>Very high</v>
      </c>
      <c r="S676" s="135">
        <v>0.5</v>
      </c>
      <c r="T676" s="7" t="str">
        <f>IF(AllData[[#This Row],[Phosphate (PPM)]]&gt;0.5, "Very high", IF(AllData[[#This Row],[Phosphate (PPM)]]&gt;0.1, "High", IF(AllData[[#This Row],[Phosphate (PPM)]]&gt;0.05, "Some evidence", IF(AllData[[#This Row],[Phosphate (PPM)]]&lt;=0.05, "No Evidence", ""))))</f>
        <v>High</v>
      </c>
      <c r="U676">
        <v>0.1</v>
      </c>
    </row>
    <row r="677" spans="1:22" x14ac:dyDescent="0.25">
      <c r="A677" t="s">
        <v>982</v>
      </c>
      <c r="B677" s="2">
        <v>45396</v>
      </c>
      <c r="C677" s="2" t="str" cm="1">
        <f t="array" ref="C6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7">
        <f>YEAR(AllData[[#This Row],[Date]])</f>
        <v>2024</v>
      </c>
      <c r="E677" s="1">
        <v>0.76111111111111107</v>
      </c>
      <c r="F677" s="2" t="str">
        <f>IF(AND(AllData[[#This Row],[Time]]&lt;0.5, AllData[[#This Row],[Time]]&gt;0.17)=TRUE, "Morning", IF(AND(AllData[[#This Row],[Time]]&lt;0.75, AllData[[#This Row],[Time]]&gt;=0.5)=TRUE, "Afternoon", IF(AND(AllData[[#This Row],[Time]]&lt;1, AllData[[#This Row],[Time]]&gt;=0.75)=TRUE, "Evening", "Night")))</f>
        <v>Evening</v>
      </c>
      <c r="G677" t="str">
        <f>_xlfn.XLOOKUP(AllData[[#This Row],[Location Name]], Locations[Location Name],Locations[Group As])</f>
        <v>Pershore Bridges</v>
      </c>
      <c r="H677" t="e" vm="17">
        <f>_xlfn.XLOOKUP(AllData[[#This Row],[Site Name]],LocationsKey[Site Name],LocationsKey[District])</f>
        <v>#VALUE!</v>
      </c>
      <c r="I677" t="e" vm="18">
        <f>_xlfn.XLOOKUP(AllData[[#This Row],[Site Name]],LocationsKey[Site Name],LocationsKey[Town])</f>
        <v>#VALUE!</v>
      </c>
      <c r="J677" t="str">
        <f>_xlfn.XLOOKUP(AllData[[#This Row],[Site Name]],LocationsKey[Site Name], LocationsKey[Waterway])</f>
        <v>Avon</v>
      </c>
      <c r="K677" t="s">
        <v>581</v>
      </c>
      <c r="L677">
        <v>52.104089999999999</v>
      </c>
      <c r="M677">
        <v>-2.0707499999999999</v>
      </c>
      <c r="O677" s="7">
        <v>822</v>
      </c>
      <c r="P677">
        <v>12.5</v>
      </c>
      <c r="Q677" s="7">
        <v>5</v>
      </c>
      <c r="R677" s="7" t="str">
        <f>IF(AllData[[#This Row],[Nitrate (PPM)]]&gt;2, "Very high", IF(AllData[[#This Row],[Nitrate (PPM)]]&gt;1, "High", IF(AllData[[#This Row],[Nitrate (PPM)]]&gt;0.5, "Some evidence", IF(AllData[[#This Row],[Nitrate (PPM)]]&gt;=0, "No evidence"))))</f>
        <v>Very high</v>
      </c>
      <c r="S677" s="135">
        <v>0.62</v>
      </c>
      <c r="T677" s="7" t="str">
        <f>IF(AllData[[#This Row],[Phosphate (PPM)]]&gt;0.5, "Very high", IF(AllData[[#This Row],[Phosphate (PPM)]]&gt;0.1, "High", IF(AllData[[#This Row],[Phosphate (PPM)]]&gt;0.05, "Some evidence", IF(AllData[[#This Row],[Phosphate (PPM)]]&lt;=0.05, "No Evidence", ""))))</f>
        <v>Very high</v>
      </c>
      <c r="U677">
        <v>3.34</v>
      </c>
    </row>
    <row r="678" spans="1:22" x14ac:dyDescent="0.25">
      <c r="A678" t="s">
        <v>1806</v>
      </c>
      <c r="B678" s="2">
        <v>45396</v>
      </c>
      <c r="C678" s="2" t="str" cm="1">
        <f t="array" ref="C6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8">
        <f>YEAR(AllData[[#This Row],[Date]])</f>
        <v>2024</v>
      </c>
      <c r="F678" s="2" t="str">
        <f>IF(AND(AllData[[#This Row],[Time]]&lt;0.5, AllData[[#This Row],[Time]]&gt;0.17)=TRUE, "Morning", IF(AND(AllData[[#This Row],[Time]]&lt;0.75, AllData[[#This Row],[Time]]&gt;=0.5)=TRUE, "Afternoon", IF(AND(AllData[[#This Row],[Time]]&lt;1, AllData[[#This Row],[Time]]&gt;=0.75)=TRUE, "Evening", "Night")))</f>
        <v>Night</v>
      </c>
      <c r="G678" t="str">
        <f>_xlfn.XLOOKUP(AllData[[#This Row],[Location Name]], Locations[Location Name],Locations[Group As])</f>
        <v>Site 1  :  Middle Street</v>
      </c>
      <c r="H678" t="e" vm="2">
        <f>_xlfn.XLOOKUP(AllData[[#This Row],[Site Name]],LocationsKey[Site Name],LocationsKey[District])</f>
        <v>#VALUE!</v>
      </c>
      <c r="I678" t="e" vm="11">
        <f>_xlfn.XLOOKUP(AllData[[#This Row],[Site Name]],LocationsKey[Site Name],LocationsKey[Town])</f>
        <v>#VALUE!</v>
      </c>
      <c r="J678" t="str">
        <f>_xlfn.XLOOKUP(AllData[[#This Row],[Site Name]],LocationsKey[Site Name], LocationsKey[Waterway])</f>
        <v>Fosseway Brook</v>
      </c>
      <c r="K678" t="s">
        <v>1859</v>
      </c>
      <c r="L678">
        <v>52.090085000000002</v>
      </c>
      <c r="M678">
        <v>-1.692593</v>
      </c>
      <c r="N678" t="s">
        <v>66</v>
      </c>
      <c r="O678" s="128">
        <v>567</v>
      </c>
      <c r="P678">
        <v>14.8</v>
      </c>
      <c r="Q678" s="128">
        <v>2</v>
      </c>
      <c r="R678" s="7" t="str">
        <f>IF(AllData[[#This Row],[Nitrate (PPM)]]&gt;2, "Very high", IF(AllData[[#This Row],[Nitrate (PPM)]]&gt;1, "High", IF(AllData[[#This Row],[Nitrate (PPM)]]&gt;0.5, "Some evidence", IF(AllData[[#This Row],[Nitrate (PPM)]]&gt;=0, "No evidence"))))</f>
        <v>High</v>
      </c>
      <c r="S678" s="134">
        <v>0.24</v>
      </c>
      <c r="T678" s="7" t="str">
        <f>IF(AllData[[#This Row],[Phosphate (PPM)]]&gt;0.5, "Very high", IF(AllData[[#This Row],[Phosphate (PPM)]]&gt;0.1, "High", IF(AllData[[#This Row],[Phosphate (PPM)]]&gt;0.05, "Some evidence", IF(AllData[[#This Row],[Phosphate (PPM)]]&lt;=0.05, "No Evidence", ""))))</f>
        <v>High</v>
      </c>
      <c r="U678">
        <v>0</v>
      </c>
      <c r="V678" t="s">
        <v>1926</v>
      </c>
    </row>
    <row r="679" spans="1:22" x14ac:dyDescent="0.25">
      <c r="A679" t="s">
        <v>1377</v>
      </c>
      <c r="B679" s="2">
        <v>45396</v>
      </c>
      <c r="C679" s="2" t="str" cm="1">
        <f t="array" ref="C6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9">
        <f>YEAR(AllData[[#This Row],[Date]])</f>
        <v>2024</v>
      </c>
      <c r="E679" s="1"/>
      <c r="F679" s="2" t="str">
        <f>IF(AND(AllData[[#This Row],[Time]]&lt;0.5, AllData[[#This Row],[Time]]&gt;0.17)=TRUE, "Morning", IF(AND(AllData[[#This Row],[Time]]&lt;0.75, AllData[[#This Row],[Time]]&gt;=0.5)=TRUE, "Afternoon", IF(AND(AllData[[#This Row],[Time]]&lt;1, AllData[[#This Row],[Time]]&gt;=0.75)=TRUE, "Evening", "Night")))</f>
        <v>Night</v>
      </c>
      <c r="G679" t="str">
        <f>_xlfn.XLOOKUP(AllData[[#This Row],[Location Name]], Locations[Location Name],Locations[Group As])</f>
        <v>Site 1  :  Middle Street</v>
      </c>
      <c r="H679" t="e" vm="2">
        <f>_xlfn.XLOOKUP(AllData[[#This Row],[Site Name]],LocationsKey[Site Name],LocationsKey[District])</f>
        <v>#VALUE!</v>
      </c>
      <c r="I679" t="e" vm="11">
        <f>_xlfn.XLOOKUP(AllData[[#This Row],[Site Name]],LocationsKey[Site Name],LocationsKey[Town])</f>
        <v>#VALUE!</v>
      </c>
      <c r="J679" t="str">
        <f>_xlfn.XLOOKUP(AllData[[#This Row],[Site Name]],LocationsKey[Site Name], LocationsKey[Waterway])</f>
        <v>Fosseway Brook</v>
      </c>
      <c r="K679" t="s">
        <v>1373</v>
      </c>
      <c r="L679">
        <v>52.090085000000002</v>
      </c>
      <c r="M679">
        <v>-1.692593</v>
      </c>
      <c r="N679" t="s">
        <v>66</v>
      </c>
      <c r="O679" s="128">
        <v>567</v>
      </c>
      <c r="P679">
        <v>14.8</v>
      </c>
      <c r="Q679" s="128">
        <v>2</v>
      </c>
      <c r="R679" s="7" t="str">
        <f>IF(AllData[[#This Row],[Nitrate (PPM)]]&gt;2, "Very high", IF(AllData[[#This Row],[Nitrate (PPM)]]&gt;1, "High", IF(AllData[[#This Row],[Nitrate (PPM)]]&gt;0.5, "Some evidence", IF(AllData[[#This Row],[Nitrate (PPM)]]&gt;=0, "No evidence"))))</f>
        <v>High</v>
      </c>
      <c r="S679" s="134">
        <v>0.24</v>
      </c>
      <c r="T679" s="7" t="str">
        <f>IF(AllData[[#This Row],[Phosphate (PPM)]]&gt;0.5, "Very high", IF(AllData[[#This Row],[Phosphate (PPM)]]&gt;0.1, "High", IF(AllData[[#This Row],[Phosphate (PPM)]]&gt;0.05, "Some evidence", IF(AllData[[#This Row],[Phosphate (PPM)]]&lt;=0.05, "No Evidence", ""))))</f>
        <v>High</v>
      </c>
      <c r="V679" t="s">
        <v>1378</v>
      </c>
    </row>
    <row r="680" spans="1:22" x14ac:dyDescent="0.25">
      <c r="A680" t="s">
        <v>1807</v>
      </c>
      <c r="B680" s="2">
        <v>45396</v>
      </c>
      <c r="C680" s="2" t="str" cm="1">
        <f t="array" ref="C6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0">
        <f>YEAR(AllData[[#This Row],[Date]])</f>
        <v>2024</v>
      </c>
      <c r="F680" s="2" t="str">
        <f>IF(AND(AllData[[#This Row],[Time]]&lt;0.5, AllData[[#This Row],[Time]]&gt;0.17)=TRUE, "Morning", IF(AND(AllData[[#This Row],[Time]]&lt;0.75, AllData[[#This Row],[Time]]&gt;=0.5)=TRUE, "Afternoon", IF(AND(AllData[[#This Row],[Time]]&lt;1, AllData[[#This Row],[Time]]&gt;=0.75)=TRUE, "Evening", "Night")))</f>
        <v>Night</v>
      </c>
      <c r="G680" t="str">
        <f>_xlfn.XLOOKUP(AllData[[#This Row],[Location Name]], Locations[Location Name],Locations[Group As])</f>
        <v>Site 2  :  Cross Leys culvert</v>
      </c>
      <c r="H680" t="e" vm="2">
        <f>_xlfn.XLOOKUP(AllData[[#This Row],[Site Name]],LocationsKey[Site Name],LocationsKey[District])</f>
        <v>#VALUE!</v>
      </c>
      <c r="I680" t="e" vm="11">
        <f>_xlfn.XLOOKUP(AllData[[#This Row],[Site Name]],LocationsKey[Site Name],LocationsKey[Town])</f>
        <v>#VALUE!</v>
      </c>
      <c r="J680" t="str">
        <f>_xlfn.XLOOKUP(AllData[[#This Row],[Site Name]],LocationsKey[Site Name], LocationsKey[Waterway])</f>
        <v>Fosseway Brook</v>
      </c>
      <c r="K680" t="s">
        <v>1860</v>
      </c>
      <c r="L680">
        <v>52.092967999999999</v>
      </c>
      <c r="M680">
        <v>-1.6862710000000001</v>
      </c>
      <c r="N680" t="s">
        <v>66</v>
      </c>
      <c r="O680" s="128">
        <v>638</v>
      </c>
      <c r="P680">
        <v>13.7</v>
      </c>
      <c r="Q680" s="128">
        <v>2</v>
      </c>
      <c r="R680" s="7" t="str">
        <f>IF(AllData[[#This Row],[Nitrate (PPM)]]&gt;2, "Very high", IF(AllData[[#This Row],[Nitrate (PPM)]]&gt;1, "High", IF(AllData[[#This Row],[Nitrate (PPM)]]&gt;0.5, "Some evidence", IF(AllData[[#This Row],[Nitrate (PPM)]]&gt;=0, "No evidence"))))</f>
        <v>High</v>
      </c>
      <c r="S680" s="134">
        <v>0.26</v>
      </c>
      <c r="T680" s="7" t="str">
        <f>IF(AllData[[#This Row],[Phosphate (PPM)]]&gt;0.5, "Very high", IF(AllData[[#This Row],[Phosphate (PPM)]]&gt;0.1, "High", IF(AllData[[#This Row],[Phosphate (PPM)]]&gt;0.05, "Some evidence", IF(AllData[[#This Row],[Phosphate (PPM)]]&lt;=0.05, "No Evidence", ""))))</f>
        <v>High</v>
      </c>
      <c r="U680">
        <v>0</v>
      </c>
      <c r="V680" t="s">
        <v>1909</v>
      </c>
    </row>
    <row r="681" spans="1:22" x14ac:dyDescent="0.25">
      <c r="A681" t="s">
        <v>1376</v>
      </c>
      <c r="B681" s="2">
        <v>45396</v>
      </c>
      <c r="C681" s="2" t="str" cm="1">
        <f t="array" ref="C6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1">
        <f>YEAR(AllData[[#This Row],[Date]])</f>
        <v>2024</v>
      </c>
      <c r="E681" s="1"/>
      <c r="F681" s="2" t="str">
        <f>IF(AND(AllData[[#This Row],[Time]]&lt;0.5, AllData[[#This Row],[Time]]&gt;0.17)=TRUE, "Morning", IF(AND(AllData[[#This Row],[Time]]&lt;0.75, AllData[[#This Row],[Time]]&gt;=0.5)=TRUE, "Afternoon", IF(AND(AllData[[#This Row],[Time]]&lt;1, AllData[[#This Row],[Time]]&gt;=0.75)=TRUE, "Evening", "Night")))</f>
        <v>Night</v>
      </c>
      <c r="G681" t="str">
        <f>_xlfn.XLOOKUP(AllData[[#This Row],[Location Name]], Locations[Location Name],Locations[Group As])</f>
        <v>Site 2  :  Cross Leys culvert</v>
      </c>
      <c r="H681" t="e" vm="2">
        <f>_xlfn.XLOOKUP(AllData[[#This Row],[Site Name]],LocationsKey[Site Name],LocationsKey[District])</f>
        <v>#VALUE!</v>
      </c>
      <c r="I681" t="e" vm="11">
        <f>_xlfn.XLOOKUP(AllData[[#This Row],[Site Name]],LocationsKey[Site Name],LocationsKey[Town])</f>
        <v>#VALUE!</v>
      </c>
      <c r="J681" t="str">
        <f>_xlfn.XLOOKUP(AllData[[#This Row],[Site Name]],LocationsKey[Site Name], LocationsKey[Waterway])</f>
        <v>Fosseway Brook</v>
      </c>
      <c r="K681" t="s">
        <v>1371</v>
      </c>
      <c r="L681">
        <v>52.092967999999999</v>
      </c>
      <c r="M681">
        <v>-1.6862710000000001</v>
      </c>
      <c r="N681" t="s">
        <v>66</v>
      </c>
      <c r="O681" s="128">
        <v>638</v>
      </c>
      <c r="P681">
        <v>13.7</v>
      </c>
      <c r="Q681" s="128">
        <v>2</v>
      </c>
      <c r="R681" s="7" t="str">
        <f>IF(AllData[[#This Row],[Nitrate (PPM)]]&gt;2, "Very high", IF(AllData[[#This Row],[Nitrate (PPM)]]&gt;1, "High", IF(AllData[[#This Row],[Nitrate (PPM)]]&gt;0.5, "Some evidence", IF(AllData[[#This Row],[Nitrate (PPM)]]&gt;=0, "No evidence"))))</f>
        <v>High</v>
      </c>
      <c r="S681" s="134">
        <v>0.26</v>
      </c>
      <c r="T681" s="7" t="str">
        <f>IF(AllData[[#This Row],[Phosphate (PPM)]]&gt;0.5, "Very high", IF(AllData[[#This Row],[Phosphate (PPM)]]&gt;0.1, "High", IF(AllData[[#This Row],[Phosphate (PPM)]]&gt;0.05, "Some evidence", IF(AllData[[#This Row],[Phosphate (PPM)]]&lt;=0.05, "No Evidence", ""))))</f>
        <v>High</v>
      </c>
    </row>
    <row r="682" spans="1:22" x14ac:dyDescent="0.25">
      <c r="A682" t="s">
        <v>1808</v>
      </c>
      <c r="B682" s="2">
        <v>45396</v>
      </c>
      <c r="C682" s="2" t="str" cm="1">
        <f t="array" ref="C6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2">
        <f>YEAR(AllData[[#This Row],[Date]])</f>
        <v>2024</v>
      </c>
      <c r="F682" s="2" t="str">
        <f>IF(AND(AllData[[#This Row],[Time]]&lt;0.5, AllData[[#This Row],[Time]]&gt;0.17)=TRUE, "Morning", IF(AND(AllData[[#This Row],[Time]]&lt;0.75, AllData[[#This Row],[Time]]&gt;=0.5)=TRUE, "Afternoon", IF(AND(AllData[[#This Row],[Time]]&lt;1, AllData[[#This Row],[Time]]&gt;=0.75)=TRUE, "Evening", "Night")))</f>
        <v>Night</v>
      </c>
      <c r="G682" t="str">
        <f>_xlfn.XLOOKUP(AllData[[#This Row],[Location Name]], Locations[Location Name],Locations[Group As])</f>
        <v>Site 3  :  Severn Trent Water processing plant outflow</v>
      </c>
      <c r="H682" t="e" vm="2">
        <f>_xlfn.XLOOKUP(AllData[[#This Row],[Site Name]],LocationsKey[Site Name],LocationsKey[District])</f>
        <v>#VALUE!</v>
      </c>
      <c r="I682" t="e" vm="11">
        <f>_xlfn.XLOOKUP(AllData[[#This Row],[Site Name]],LocationsKey[Site Name],LocationsKey[Town])</f>
        <v>#VALUE!</v>
      </c>
      <c r="J682" t="str">
        <f>_xlfn.XLOOKUP(AllData[[#This Row],[Site Name]],LocationsKey[Site Name], LocationsKey[Waterway])</f>
        <v>Fosseway Brook</v>
      </c>
      <c r="K682" t="s">
        <v>1861</v>
      </c>
      <c r="L682">
        <v>52.094423999999997</v>
      </c>
      <c r="M682">
        <v>-1.6759090000000001</v>
      </c>
      <c r="N682" t="s">
        <v>29</v>
      </c>
      <c r="O682" s="128">
        <v>841</v>
      </c>
      <c r="P682">
        <v>14.5</v>
      </c>
      <c r="Q682" s="128">
        <v>5</v>
      </c>
      <c r="R682" s="7" t="str">
        <f>IF(AllData[[#This Row],[Nitrate (PPM)]]&gt;2, "Very high", IF(AllData[[#This Row],[Nitrate (PPM)]]&gt;1, "High", IF(AllData[[#This Row],[Nitrate (PPM)]]&gt;0.5, "Some evidence", IF(AllData[[#This Row],[Nitrate (PPM)]]&gt;=0, "No evidence"))))</f>
        <v>Very high</v>
      </c>
      <c r="S682" s="134">
        <v>2.5</v>
      </c>
      <c r="T682" s="7" t="str">
        <f>IF(AllData[[#This Row],[Phosphate (PPM)]]&gt;0.5, "Very high", IF(AllData[[#This Row],[Phosphate (PPM)]]&gt;0.1, "High", IF(AllData[[#This Row],[Phosphate (PPM)]]&gt;0.05, "Some evidence", IF(AllData[[#This Row],[Phosphate (PPM)]]&lt;=0.05, "No Evidence", ""))))</f>
        <v>Very high</v>
      </c>
      <c r="U682">
        <v>0</v>
      </c>
      <c r="V682" t="s">
        <v>1910</v>
      </c>
    </row>
    <row r="683" spans="1:22" x14ac:dyDescent="0.25">
      <c r="A683" t="s">
        <v>1375</v>
      </c>
      <c r="B683" s="2">
        <v>45396</v>
      </c>
      <c r="C683" s="2" t="str" cm="1">
        <f t="array" ref="C6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3">
        <f>YEAR(AllData[[#This Row],[Date]])</f>
        <v>2024</v>
      </c>
      <c r="E683" s="1"/>
      <c r="F683" s="2" t="str">
        <f>IF(AND(AllData[[#This Row],[Time]]&lt;0.5, AllData[[#This Row],[Time]]&gt;0.17)=TRUE, "Morning", IF(AND(AllData[[#This Row],[Time]]&lt;0.75, AllData[[#This Row],[Time]]&gt;=0.5)=TRUE, "Afternoon", IF(AND(AllData[[#This Row],[Time]]&lt;1, AllData[[#This Row],[Time]]&gt;=0.75)=TRUE, "Evening", "Night")))</f>
        <v>Night</v>
      </c>
      <c r="G683" t="str">
        <f>_xlfn.XLOOKUP(AllData[[#This Row],[Location Name]], Locations[Location Name],Locations[Group As])</f>
        <v>Site 3  :  Severn Trent Water processing plant outflow</v>
      </c>
      <c r="H683" t="e" vm="2">
        <f>_xlfn.XLOOKUP(AllData[[#This Row],[Site Name]],LocationsKey[Site Name],LocationsKey[District])</f>
        <v>#VALUE!</v>
      </c>
      <c r="I683" t="e" vm="11">
        <f>_xlfn.XLOOKUP(AllData[[#This Row],[Site Name]],LocationsKey[Site Name],LocationsKey[Town])</f>
        <v>#VALUE!</v>
      </c>
      <c r="J683" t="str">
        <f>_xlfn.XLOOKUP(AllData[[#This Row],[Site Name]],LocationsKey[Site Name], LocationsKey[Waterway])</f>
        <v>Fosseway Brook</v>
      </c>
      <c r="K683" t="s">
        <v>1368</v>
      </c>
      <c r="L683">
        <v>52.094423999999997</v>
      </c>
      <c r="M683">
        <v>-1.6759090000000001</v>
      </c>
      <c r="N683" t="s">
        <v>29</v>
      </c>
      <c r="O683" s="128">
        <v>841</v>
      </c>
      <c r="P683">
        <v>14.5</v>
      </c>
      <c r="Q683" s="128">
        <v>5</v>
      </c>
      <c r="R683" s="7" t="str">
        <f>IF(AllData[[#This Row],[Nitrate (PPM)]]&gt;2, "Very high", IF(AllData[[#This Row],[Nitrate (PPM)]]&gt;1, "High", IF(AllData[[#This Row],[Nitrate (PPM)]]&gt;0.5, "Some evidence", IF(AllData[[#This Row],[Nitrate (PPM)]]&gt;=0, "No evidence"))))</f>
        <v>Very high</v>
      </c>
      <c r="S683" s="134">
        <v>2.5</v>
      </c>
      <c r="T683" s="7" t="str">
        <f>IF(AllData[[#This Row],[Phosphate (PPM)]]&gt;0.5, "Very high", IF(AllData[[#This Row],[Phosphate (PPM)]]&gt;0.1, "High", IF(AllData[[#This Row],[Phosphate (PPM)]]&gt;0.05, "Some evidence", IF(AllData[[#This Row],[Phosphate (PPM)]]&lt;=0.05, "No Evidence", ""))))</f>
        <v>Very high</v>
      </c>
    </row>
    <row r="684" spans="1:22" x14ac:dyDescent="0.25">
      <c r="A684" t="s">
        <v>984</v>
      </c>
      <c r="B684" s="2">
        <v>45397</v>
      </c>
      <c r="C684" s="2" t="str" cm="1">
        <f t="array" ref="C6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4">
        <f>YEAR(AllData[[#This Row],[Date]])</f>
        <v>2024</v>
      </c>
      <c r="E684" s="1">
        <v>0.59444444444444444</v>
      </c>
      <c r="F684" s="2" t="str">
        <f>IF(AND(AllData[[#This Row],[Time]]&lt;0.5, AllData[[#This Row],[Time]]&gt;0.17)=TRUE, "Morning", IF(AND(AllData[[#This Row],[Time]]&lt;0.75, AllData[[#This Row],[Time]]&gt;=0.5)=TRUE, "Afternoon", IF(AND(AllData[[#This Row],[Time]]&lt;1, AllData[[#This Row],[Time]]&gt;=0.75)=TRUE, "Evening", "Night")))</f>
        <v>Afternoon</v>
      </c>
      <c r="G684" t="str">
        <f>_xlfn.XLOOKUP(AllData[[#This Row],[Location Name]], Locations[Location Name],Locations[Group As])</f>
        <v>Alveston Weir</v>
      </c>
      <c r="H684" t="e" vm="2">
        <f>_xlfn.XLOOKUP(AllData[[#This Row],[Site Name]],LocationsKey[Site Name],LocationsKey[District])</f>
        <v>#VALUE!</v>
      </c>
      <c r="I684" t="e" vm="13">
        <f>_xlfn.XLOOKUP(AllData[[#This Row],[Site Name]],LocationsKey[Site Name],LocationsKey[Town])</f>
        <v>#VALUE!</v>
      </c>
      <c r="J684" t="str">
        <f>_xlfn.XLOOKUP(AllData[[#This Row],[Site Name]],LocationsKey[Site Name], LocationsKey[Waterway])</f>
        <v>Avon</v>
      </c>
      <c r="K684" t="s">
        <v>286</v>
      </c>
      <c r="L684">
        <v>52.212288999999998</v>
      </c>
      <c r="M684">
        <v>-1.660452</v>
      </c>
      <c r="N684" t="s">
        <v>29</v>
      </c>
      <c r="O684" s="128">
        <v>666</v>
      </c>
      <c r="P684">
        <v>15</v>
      </c>
      <c r="Q684" s="128">
        <v>10</v>
      </c>
      <c r="R684" s="7" t="str">
        <f>IF(AllData[[#This Row],[Nitrate (PPM)]]&gt;2, "Very high", IF(AllData[[#This Row],[Nitrate (PPM)]]&gt;1, "High", IF(AllData[[#This Row],[Nitrate (PPM)]]&gt;0.5, "Some evidence", IF(AllData[[#This Row],[Nitrate (PPM)]]&gt;=0, "No evidence"))))</f>
        <v>Very high</v>
      </c>
      <c r="S684" s="134">
        <v>0.44</v>
      </c>
      <c r="T684" s="7" t="str">
        <f>IF(AllData[[#This Row],[Phosphate (PPM)]]&gt;0.5, "Very high", IF(AllData[[#This Row],[Phosphate (PPM)]]&gt;0.1, "High", IF(AllData[[#This Row],[Phosphate (PPM)]]&gt;0.05, "Some evidence", IF(AllData[[#This Row],[Phosphate (PPM)]]&lt;=0.05, "No Evidence", ""))))</f>
        <v>High</v>
      </c>
      <c r="U684">
        <v>0</v>
      </c>
      <c r="V684" t="s">
        <v>985</v>
      </c>
    </row>
    <row r="685" spans="1:22" x14ac:dyDescent="0.25">
      <c r="A685" t="s">
        <v>986</v>
      </c>
      <c r="B685" s="2">
        <v>45397</v>
      </c>
      <c r="C685" s="2" t="str" cm="1">
        <f t="array" ref="C6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5">
        <f>YEAR(AllData[[#This Row],[Date]])</f>
        <v>2024</v>
      </c>
      <c r="E685" s="1">
        <v>0.59722222222222221</v>
      </c>
      <c r="F685" s="2" t="str">
        <f>IF(AND(AllData[[#This Row],[Time]]&lt;0.5, AllData[[#This Row],[Time]]&gt;0.17)=TRUE, "Morning", IF(AND(AllData[[#This Row],[Time]]&lt;0.75, AllData[[#This Row],[Time]]&gt;=0.5)=TRUE, "Afternoon", IF(AND(AllData[[#This Row],[Time]]&lt;1, AllData[[#This Row],[Time]]&gt;=0.75)=TRUE, "Evening", "Night")))</f>
        <v>Afternoon</v>
      </c>
      <c r="G685" t="str">
        <f>_xlfn.XLOOKUP(AllData[[#This Row],[Location Name]], Locations[Location Name],Locations[Group As])</f>
        <v>Abbey Mill</v>
      </c>
      <c r="H685" t="e" vm="1">
        <f>_xlfn.XLOOKUP(AllData[[#This Row],[Site Name]],LocationsKey[Site Name],LocationsKey[District])</f>
        <v>#VALUE!</v>
      </c>
      <c r="I685" t="e" vm="1">
        <f>_xlfn.XLOOKUP(AllData[[#This Row],[Site Name]],LocationsKey[Site Name],LocationsKey[Town])</f>
        <v>#VALUE!</v>
      </c>
      <c r="J685" t="str">
        <f>_xlfn.XLOOKUP(AllData[[#This Row],[Site Name]],LocationsKey[Site Name], LocationsKey[Waterway])</f>
        <v>Avon</v>
      </c>
      <c r="K685" t="s">
        <v>25</v>
      </c>
      <c r="L685">
        <v>51.989905999999998</v>
      </c>
      <c r="M685">
        <v>-2.1616270000000002</v>
      </c>
      <c r="N685" t="s">
        <v>23</v>
      </c>
      <c r="O685" s="128">
        <v>794</v>
      </c>
      <c r="P685">
        <v>13</v>
      </c>
      <c r="Q685" s="128">
        <v>10</v>
      </c>
      <c r="R685" s="7" t="str">
        <f>IF(AllData[[#This Row],[Nitrate (PPM)]]&gt;2, "Very high", IF(AllData[[#This Row],[Nitrate (PPM)]]&gt;1, "High", IF(AllData[[#This Row],[Nitrate (PPM)]]&gt;0.5, "Some evidence", IF(AllData[[#This Row],[Nitrate (PPM)]]&gt;=0, "No evidence"))))</f>
        <v>Very high</v>
      </c>
      <c r="S685" s="134">
        <v>0.52</v>
      </c>
      <c r="T685" s="7" t="str">
        <f>IF(AllData[[#This Row],[Phosphate (PPM)]]&gt;0.5, "Very high", IF(AllData[[#This Row],[Phosphate (PPM)]]&gt;0.1, "High", IF(AllData[[#This Row],[Phosphate (PPM)]]&gt;0.05, "Some evidence", IF(AllData[[#This Row],[Phosphate (PPM)]]&lt;=0.05, "No Evidence", ""))))</f>
        <v>Very high</v>
      </c>
      <c r="U685">
        <v>0.5</v>
      </c>
      <c r="V685" t="s">
        <v>987</v>
      </c>
    </row>
    <row r="686" spans="1:22" x14ac:dyDescent="0.25">
      <c r="A686" t="s">
        <v>988</v>
      </c>
      <c r="B686" s="2">
        <v>45397</v>
      </c>
      <c r="C686" s="2" t="str" cm="1">
        <f t="array" ref="C6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6">
        <f>YEAR(AllData[[#This Row],[Date]])</f>
        <v>2024</v>
      </c>
      <c r="E686" s="1">
        <v>0.60416666666666663</v>
      </c>
      <c r="F686" s="2" t="str">
        <f>IF(AND(AllData[[#This Row],[Time]]&lt;0.5, AllData[[#This Row],[Time]]&gt;0.17)=TRUE, "Morning", IF(AND(AllData[[#This Row],[Time]]&lt;0.75, AllData[[#This Row],[Time]]&gt;=0.5)=TRUE, "Afternoon", IF(AND(AllData[[#This Row],[Time]]&lt;1, AllData[[#This Row],[Time]]&gt;=0.75)=TRUE, "Evening", "Night")))</f>
        <v>Afternoon</v>
      </c>
      <c r="G686" t="str">
        <f>_xlfn.XLOOKUP(AllData[[#This Row],[Location Name]], Locations[Location Name],Locations[Group As])</f>
        <v>Swiffen Bank</v>
      </c>
      <c r="H686" t="e" vm="2">
        <f>_xlfn.XLOOKUP(AllData[[#This Row],[Site Name]],LocationsKey[Site Name],LocationsKey[District])</f>
        <v>#VALUE!</v>
      </c>
      <c r="I686" t="e" vm="13">
        <f>_xlfn.XLOOKUP(AllData[[#This Row],[Site Name]],LocationsKey[Site Name],LocationsKey[Town])</f>
        <v>#VALUE!</v>
      </c>
      <c r="J686" t="str">
        <f>_xlfn.XLOOKUP(AllData[[#This Row],[Site Name]],LocationsKey[Site Name], LocationsKey[Waterway])</f>
        <v>Avon</v>
      </c>
      <c r="K686" t="s">
        <v>284</v>
      </c>
      <c r="L686">
        <v>52.206477999999997</v>
      </c>
      <c r="M686">
        <v>-1.653894</v>
      </c>
      <c r="N686" t="s">
        <v>29</v>
      </c>
      <c r="O686" s="128">
        <v>675</v>
      </c>
      <c r="P686">
        <v>12.7</v>
      </c>
      <c r="Q686" s="128">
        <v>10</v>
      </c>
      <c r="R686" s="7" t="str">
        <f>IF(AllData[[#This Row],[Nitrate (PPM)]]&gt;2, "Very high", IF(AllData[[#This Row],[Nitrate (PPM)]]&gt;1, "High", IF(AllData[[#This Row],[Nitrate (PPM)]]&gt;0.5, "Some evidence", IF(AllData[[#This Row],[Nitrate (PPM)]]&gt;=0, "No evidence"))))</f>
        <v>Very high</v>
      </c>
      <c r="S686" s="134">
        <v>0.41</v>
      </c>
      <c r="T686" s="7" t="str">
        <f>IF(AllData[[#This Row],[Phosphate (PPM)]]&gt;0.5, "Very high", IF(AllData[[#This Row],[Phosphate (PPM)]]&gt;0.1, "High", IF(AllData[[#This Row],[Phosphate (PPM)]]&gt;0.05, "Some evidence", IF(AllData[[#This Row],[Phosphate (PPM)]]&lt;=0.05, "No Evidence", ""))))</f>
        <v>High</v>
      </c>
      <c r="U686">
        <v>0</v>
      </c>
    </row>
    <row r="687" spans="1:22" x14ac:dyDescent="0.25">
      <c r="A687" t="s">
        <v>989</v>
      </c>
      <c r="B687" s="2">
        <v>45397</v>
      </c>
      <c r="C687" s="2" t="str" cm="1">
        <f t="array" ref="C6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7">
        <f>YEAR(AllData[[#This Row],[Date]])</f>
        <v>2024</v>
      </c>
      <c r="E687" s="1">
        <v>0.64513888888888893</v>
      </c>
      <c r="F687" s="2" t="str">
        <f>IF(AND(AllData[[#This Row],[Time]]&lt;0.5, AllData[[#This Row],[Time]]&gt;0.17)=TRUE, "Morning", IF(AND(AllData[[#This Row],[Time]]&lt;0.75, AllData[[#This Row],[Time]]&gt;=0.5)=TRUE, "Afternoon", IF(AND(AllData[[#This Row],[Time]]&lt;1, AllData[[#This Row],[Time]]&gt;=0.75)=TRUE, "Evening", "Night")))</f>
        <v>Afternoon</v>
      </c>
      <c r="G687" t="str">
        <f>_xlfn.XLOOKUP(AllData[[#This Row],[Location Name]], Locations[Location Name],Locations[Group As])</f>
        <v>The Ford, Langley</v>
      </c>
      <c r="H687" t="e" vm="2">
        <f>_xlfn.XLOOKUP(AllData[[#This Row],[Site Name]],LocationsKey[Site Name],LocationsKey[District])</f>
        <v>#VALUE!</v>
      </c>
      <c r="I687" t="str">
        <f>_xlfn.XLOOKUP(AllData[[#This Row],[Site Name]],LocationsKey[Site Name],LocationsKey[Town])</f>
        <v>Langley</v>
      </c>
      <c r="J687" t="str">
        <f>_xlfn.XLOOKUP(AllData[[#This Row],[Site Name]],LocationsKey[Site Name], LocationsKey[Waterway])</f>
        <v>Langley Ford</v>
      </c>
      <c r="K687" t="s">
        <v>557</v>
      </c>
      <c r="L687">
        <v>52.259639</v>
      </c>
      <c r="M687">
        <v>-1.7181999999999999</v>
      </c>
      <c r="N687" t="s">
        <v>29</v>
      </c>
      <c r="O687" s="128">
        <v>582</v>
      </c>
      <c r="P687">
        <v>11.2</v>
      </c>
      <c r="Q687" s="128">
        <v>0.5</v>
      </c>
      <c r="R687" s="7" t="str">
        <f>IF(AllData[[#This Row],[Nitrate (PPM)]]&gt;2, "Very high", IF(AllData[[#This Row],[Nitrate (PPM)]]&gt;1, "High", IF(AllData[[#This Row],[Nitrate (PPM)]]&gt;0.5, "Some evidence", IF(AllData[[#This Row],[Nitrate (PPM)]]&gt;=0, "No evidence"))))</f>
        <v>No evidence</v>
      </c>
      <c r="S687" s="134">
        <v>0.78</v>
      </c>
      <c r="T687" s="7" t="str">
        <f>IF(AllData[[#This Row],[Phosphate (PPM)]]&gt;0.5, "Very high", IF(AllData[[#This Row],[Phosphate (PPM)]]&gt;0.1, "High", IF(AllData[[#This Row],[Phosphate (PPM)]]&gt;0.05, "Some evidence", IF(AllData[[#This Row],[Phosphate (PPM)]]&lt;=0.05, "No Evidence", ""))))</f>
        <v>Very high</v>
      </c>
      <c r="U687">
        <v>0.65</v>
      </c>
    </row>
    <row r="688" spans="1:22" x14ac:dyDescent="0.25">
      <c r="A688" t="s">
        <v>990</v>
      </c>
      <c r="B688" s="2">
        <v>45398</v>
      </c>
      <c r="C688" s="2" t="str" cm="1">
        <f t="array" ref="C6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8">
        <f>YEAR(AllData[[#This Row],[Date]])</f>
        <v>2024</v>
      </c>
      <c r="E688" s="1">
        <v>0.37152777777777779</v>
      </c>
      <c r="F688" s="2" t="str">
        <f>IF(AND(AllData[[#This Row],[Time]]&lt;0.5, AllData[[#This Row],[Time]]&gt;0.17)=TRUE, "Morning", IF(AND(AllData[[#This Row],[Time]]&lt;0.75, AllData[[#This Row],[Time]]&gt;=0.5)=TRUE, "Afternoon", IF(AND(AllData[[#This Row],[Time]]&lt;1, AllData[[#This Row],[Time]]&gt;=0.75)=TRUE, "Evening", "Night")))</f>
        <v>Morning</v>
      </c>
      <c r="G688" t="str">
        <f>_xlfn.XLOOKUP(AllData[[#This Row],[Location Name]], Locations[Location Name],Locations[Group As])</f>
        <v>Stour Stretton-on-Fosse Village</v>
      </c>
      <c r="H688" t="e" vm="2">
        <f>_xlfn.XLOOKUP(AllData[[#This Row],[Site Name]],LocationsKey[Site Name],LocationsKey[District])</f>
        <v>#VALUE!</v>
      </c>
      <c r="I688" t="e" vm="14">
        <f>_xlfn.XLOOKUP(AllData[[#This Row],[Site Name]],LocationsKey[Site Name],LocationsKey[Town])</f>
        <v>#VALUE!</v>
      </c>
      <c r="J688" t="str">
        <f>_xlfn.XLOOKUP(AllData[[#This Row],[Site Name]],LocationsKey[Site Name], LocationsKey[Waterway])</f>
        <v>Stour</v>
      </c>
      <c r="K688" t="s">
        <v>544</v>
      </c>
      <c r="L688">
        <v>52.046520999999998</v>
      </c>
      <c r="M688">
        <v>-1.6734370000000001</v>
      </c>
      <c r="N688" t="s">
        <v>66</v>
      </c>
      <c r="O688" s="128">
        <v>713</v>
      </c>
      <c r="P688">
        <v>8.9</v>
      </c>
      <c r="Q688" s="128">
        <v>2</v>
      </c>
      <c r="R688" s="7" t="str">
        <f>IF(AllData[[#This Row],[Nitrate (PPM)]]&gt;2, "Very high", IF(AllData[[#This Row],[Nitrate (PPM)]]&gt;1, "High", IF(AllData[[#This Row],[Nitrate (PPM)]]&gt;0.5, "Some evidence", IF(AllData[[#This Row],[Nitrate (PPM)]]&gt;=0, "No evidence"))))</f>
        <v>High</v>
      </c>
      <c r="S688" s="134">
        <v>1.99</v>
      </c>
      <c r="T688" s="7" t="str">
        <f>IF(AllData[[#This Row],[Phosphate (PPM)]]&gt;0.5, "Very high", IF(AllData[[#This Row],[Phosphate (PPM)]]&gt;0.1, "High", IF(AllData[[#This Row],[Phosphate (PPM)]]&gt;0.05, "Some evidence", IF(AllData[[#This Row],[Phosphate (PPM)]]&lt;=0.05, "No Evidence", ""))))</f>
        <v>Very high</v>
      </c>
      <c r="U688">
        <v>0.2</v>
      </c>
    </row>
    <row r="689" spans="1:22" x14ac:dyDescent="0.25">
      <c r="A689" t="s">
        <v>991</v>
      </c>
      <c r="B689" s="2">
        <v>45398</v>
      </c>
      <c r="C689" s="2" t="str" cm="1">
        <f t="array" ref="C6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9">
        <f>YEAR(AllData[[#This Row],[Date]])</f>
        <v>2024</v>
      </c>
      <c r="E689" s="1">
        <v>0.38333333333333336</v>
      </c>
      <c r="F689" s="2" t="str">
        <f>IF(AND(AllData[[#This Row],[Time]]&lt;0.5, AllData[[#This Row],[Time]]&gt;0.17)=TRUE, "Morning", IF(AND(AllData[[#This Row],[Time]]&lt;0.75, AllData[[#This Row],[Time]]&gt;=0.5)=TRUE, "Afternoon", IF(AND(AllData[[#This Row],[Time]]&lt;1, AllData[[#This Row],[Time]]&gt;=0.75)=TRUE, "Evening", "Night")))</f>
        <v>Morning</v>
      </c>
      <c r="G689" t="str">
        <f>_xlfn.XLOOKUP(AllData[[#This Row],[Location Name]], Locations[Location Name],Locations[Group As])</f>
        <v>Stour Stretton-on-Fosse Sewage Works</v>
      </c>
      <c r="H689" t="e" vm="2">
        <f>_xlfn.XLOOKUP(AllData[[#This Row],[Site Name]],LocationsKey[Site Name],LocationsKey[District])</f>
        <v>#VALUE!</v>
      </c>
      <c r="I689" t="e" vm="14">
        <f>_xlfn.XLOOKUP(AllData[[#This Row],[Site Name]],LocationsKey[Site Name],LocationsKey[Town])</f>
        <v>#VALUE!</v>
      </c>
      <c r="J689" t="str">
        <f>_xlfn.XLOOKUP(AllData[[#This Row],[Site Name]],LocationsKey[Site Name], LocationsKey[Waterway])</f>
        <v>Stour</v>
      </c>
      <c r="K689" t="s">
        <v>335</v>
      </c>
      <c r="L689">
        <v>52.045665</v>
      </c>
      <c r="M689">
        <v>-1.6719170000000001</v>
      </c>
      <c r="N689" t="s">
        <v>29</v>
      </c>
      <c r="O689" s="128">
        <v>753</v>
      </c>
      <c r="P689">
        <v>9.1999999999999993</v>
      </c>
      <c r="Q689" s="128">
        <v>2</v>
      </c>
      <c r="R689" s="7" t="str">
        <f>IF(AllData[[#This Row],[Nitrate (PPM)]]&gt;2, "Very high", IF(AllData[[#This Row],[Nitrate (PPM)]]&gt;1, "High", IF(AllData[[#This Row],[Nitrate (PPM)]]&gt;0.5, "Some evidence", IF(AllData[[#This Row],[Nitrate (PPM)]]&gt;=0, "No evidence"))))</f>
        <v>High</v>
      </c>
      <c r="S689" s="134">
        <v>2.5</v>
      </c>
      <c r="T689" s="7" t="str">
        <f>IF(AllData[[#This Row],[Phosphate (PPM)]]&gt;0.5, "Very high", IF(AllData[[#This Row],[Phosphate (PPM)]]&gt;0.1, "High", IF(AllData[[#This Row],[Phosphate (PPM)]]&gt;0.05, "Some evidence", IF(AllData[[#This Row],[Phosphate (PPM)]]&lt;=0.05, "No Evidence", ""))))</f>
        <v>Very high</v>
      </c>
      <c r="U689">
        <v>0.2</v>
      </c>
      <c r="V689" t="s">
        <v>992</v>
      </c>
    </row>
    <row r="690" spans="1:22" x14ac:dyDescent="0.25">
      <c r="A690" t="s">
        <v>993</v>
      </c>
      <c r="B690" s="2">
        <v>45399</v>
      </c>
      <c r="C690" s="2" t="str" cm="1">
        <f t="array" ref="C6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0">
        <f>YEAR(AllData[[#This Row],[Date]])</f>
        <v>2024</v>
      </c>
      <c r="E690" s="1">
        <v>0.66666666666666663</v>
      </c>
      <c r="F690" s="2" t="str">
        <f>IF(AND(AllData[[#This Row],[Time]]&lt;0.5, AllData[[#This Row],[Time]]&gt;0.17)=TRUE, "Morning", IF(AND(AllData[[#This Row],[Time]]&lt;0.75, AllData[[#This Row],[Time]]&gt;=0.5)=TRUE, "Afternoon", IF(AND(AllData[[#This Row],[Time]]&lt;1, AllData[[#This Row],[Time]]&gt;=0.75)=TRUE, "Evening", "Night")))</f>
        <v>Afternoon</v>
      </c>
      <c r="G690" t="str">
        <f>_xlfn.XLOOKUP(AllData[[#This Row],[Location Name]], Locations[Location Name],Locations[Group As])</f>
        <v>Stour Newbold Mill</v>
      </c>
      <c r="H690" t="e" vm="2">
        <f>_xlfn.XLOOKUP(AllData[[#This Row],[Site Name]],LocationsKey[Site Name],LocationsKey[District])</f>
        <v>#VALUE!</v>
      </c>
      <c r="I690" t="e" vm="8">
        <f>_xlfn.XLOOKUP(AllData[[#This Row],[Site Name]],LocationsKey[Site Name],LocationsKey[Town])</f>
        <v>#VALUE!</v>
      </c>
      <c r="J690" t="str">
        <f>_xlfn.XLOOKUP(AllData[[#This Row],[Site Name]],LocationsKey[Site Name], LocationsKey[Waterway])</f>
        <v>Stour</v>
      </c>
      <c r="K690" t="s">
        <v>140</v>
      </c>
      <c r="N690" t="s">
        <v>29</v>
      </c>
      <c r="O690" s="128">
        <v>572</v>
      </c>
      <c r="P690">
        <v>18.100000000000001</v>
      </c>
      <c r="Q690" s="128">
        <v>2</v>
      </c>
      <c r="R690" s="7" t="str">
        <f>IF(AllData[[#This Row],[Nitrate (PPM)]]&gt;2, "Very high", IF(AllData[[#This Row],[Nitrate (PPM)]]&gt;1, "High", IF(AllData[[#This Row],[Nitrate (PPM)]]&gt;0.5, "Some evidence", IF(AllData[[#This Row],[Nitrate (PPM)]]&gt;=0, "No evidence"))))</f>
        <v>High</v>
      </c>
      <c r="S690" s="134">
        <v>0.27</v>
      </c>
      <c r="T690" s="7" t="str">
        <f>IF(AllData[[#This Row],[Phosphate (PPM)]]&gt;0.5, "Very high", IF(AllData[[#This Row],[Phosphate (PPM)]]&gt;0.1, "High", IF(AllData[[#This Row],[Phosphate (PPM)]]&gt;0.05, "Some evidence", IF(AllData[[#This Row],[Phosphate (PPM)]]&lt;=0.05, "No Evidence", ""))))</f>
        <v>High</v>
      </c>
      <c r="U690">
        <v>2.5</v>
      </c>
      <c r="V690" t="s">
        <v>529</v>
      </c>
    </row>
    <row r="691" spans="1:22" x14ac:dyDescent="0.25">
      <c r="A691" t="s">
        <v>994</v>
      </c>
      <c r="B691" s="2">
        <v>45400</v>
      </c>
      <c r="C691" s="2" t="str" cm="1">
        <f t="array" ref="C6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1">
        <f>YEAR(AllData[[#This Row],[Date]])</f>
        <v>2024</v>
      </c>
      <c r="E691" s="1">
        <v>0.43472222222222223</v>
      </c>
      <c r="F691" s="2" t="str">
        <f>IF(AND(AllData[[#This Row],[Time]]&lt;0.5, AllData[[#This Row],[Time]]&gt;0.17)=TRUE, "Morning", IF(AND(AllData[[#This Row],[Time]]&lt;0.75, AllData[[#This Row],[Time]]&gt;=0.5)=TRUE, "Afternoon", IF(AND(AllData[[#This Row],[Time]]&lt;1, AllData[[#This Row],[Time]]&gt;=0.75)=TRUE, "Evening", "Night")))</f>
        <v>Morning</v>
      </c>
      <c r="G691" t="str">
        <f>_xlfn.XLOOKUP(AllData[[#This Row],[Location Name]], Locations[Location Name],Locations[Group As])</f>
        <v>Stour Willington</v>
      </c>
      <c r="H691" t="e" vm="2">
        <f>_xlfn.XLOOKUP(AllData[[#This Row],[Site Name]],LocationsKey[Site Name],LocationsKey[District])</f>
        <v>#VALUE!</v>
      </c>
      <c r="I691" t="str">
        <f>_xlfn.XLOOKUP(AllData[[#This Row],[Site Name]],LocationsKey[Site Name],LocationsKey[Town])</f>
        <v>Willington</v>
      </c>
      <c r="J691" t="str">
        <f>_xlfn.XLOOKUP(AllData[[#This Row],[Site Name]],LocationsKey[Site Name], LocationsKey[Waterway])</f>
        <v>Stour</v>
      </c>
      <c r="K691" t="s">
        <v>517</v>
      </c>
      <c r="L691">
        <v>52.053559999999997</v>
      </c>
      <c r="M691">
        <v>-1.620126</v>
      </c>
      <c r="N691" t="s">
        <v>23</v>
      </c>
      <c r="O691" s="7">
        <v>597</v>
      </c>
      <c r="P691">
        <v>10.7</v>
      </c>
      <c r="Q691" s="7">
        <v>2</v>
      </c>
      <c r="R691" s="7" t="str">
        <f>IF(AllData[[#This Row],[Nitrate (PPM)]]&gt;2, "Very high", IF(AllData[[#This Row],[Nitrate (PPM)]]&gt;1, "High", IF(AllData[[#This Row],[Nitrate (PPM)]]&gt;0.5, "Some evidence", IF(AllData[[#This Row],[Nitrate (PPM)]]&gt;=0, "No evidence"))))</f>
        <v>High</v>
      </c>
      <c r="S691" s="135">
        <v>0.15</v>
      </c>
      <c r="T691" s="7" t="str">
        <f>IF(AllData[[#This Row],[Phosphate (PPM)]]&gt;0.5, "Very high", IF(AllData[[#This Row],[Phosphate (PPM)]]&gt;0.1, "High", IF(AllData[[#This Row],[Phosphate (PPM)]]&gt;0.05, "Some evidence", IF(AllData[[#This Row],[Phosphate (PPM)]]&lt;=0.05, "No Evidence", ""))))</f>
        <v>High</v>
      </c>
      <c r="U691">
        <v>0.5</v>
      </c>
    </row>
    <row r="692" spans="1:22" x14ac:dyDescent="0.25">
      <c r="A692" t="s">
        <v>995</v>
      </c>
      <c r="B692" s="2">
        <v>45400</v>
      </c>
      <c r="C692" s="2" t="str" cm="1">
        <f t="array" ref="C6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2">
        <f>YEAR(AllData[[#This Row],[Date]])</f>
        <v>2024</v>
      </c>
      <c r="E692" s="1">
        <v>0.44791666666666669</v>
      </c>
      <c r="F692" s="2" t="str">
        <f>IF(AND(AllData[[#This Row],[Time]]&lt;0.5, AllData[[#This Row],[Time]]&gt;0.17)=TRUE, "Morning", IF(AND(AllData[[#This Row],[Time]]&lt;0.75, AllData[[#This Row],[Time]]&gt;=0.5)=TRUE, "Afternoon", IF(AND(AllData[[#This Row],[Time]]&lt;1, AllData[[#This Row],[Time]]&gt;=0.75)=TRUE, "Evening", "Night")))</f>
        <v>Morning</v>
      </c>
      <c r="G692" t="str">
        <f>_xlfn.XLOOKUP(AllData[[#This Row],[Location Name]], Locations[Location Name],Locations[Group As])</f>
        <v>Swilgate</v>
      </c>
      <c r="H692" t="e" vm="1">
        <f>_xlfn.XLOOKUP(AllData[[#This Row],[Site Name]],LocationsKey[Site Name],LocationsKey[District])</f>
        <v>#VALUE!</v>
      </c>
      <c r="I692" t="e" vm="1">
        <f>_xlfn.XLOOKUP(AllData[[#This Row],[Site Name]],LocationsKey[Site Name],LocationsKey[Town])</f>
        <v>#VALUE!</v>
      </c>
      <c r="J692" t="str">
        <f>_xlfn.XLOOKUP(AllData[[#This Row],[Site Name]],LocationsKey[Site Name], LocationsKey[Waterway])</f>
        <v>Swilgate</v>
      </c>
      <c r="K692" t="s">
        <v>84</v>
      </c>
      <c r="N692" t="s">
        <v>23</v>
      </c>
      <c r="O692" s="7">
        <v>928</v>
      </c>
      <c r="P692">
        <v>10.5</v>
      </c>
      <c r="Q692" s="7">
        <v>3</v>
      </c>
      <c r="R692" s="7" t="str">
        <f>IF(AllData[[#This Row],[Nitrate (PPM)]]&gt;2, "Very high", IF(AllData[[#This Row],[Nitrate (PPM)]]&gt;1, "High", IF(AllData[[#This Row],[Nitrate (PPM)]]&gt;0.5, "Some evidence", IF(AllData[[#This Row],[Nitrate (PPM)]]&gt;=0, "No evidence"))))</f>
        <v>Very high</v>
      </c>
      <c r="S692" s="135">
        <v>0.37</v>
      </c>
      <c r="T692" s="7" t="str">
        <f>IF(AllData[[#This Row],[Phosphate (PPM)]]&gt;0.5, "Very high", IF(AllData[[#This Row],[Phosphate (PPM)]]&gt;0.1, "High", IF(AllData[[#This Row],[Phosphate (PPM)]]&gt;0.05, "Some evidence", IF(AllData[[#This Row],[Phosphate (PPM)]]&lt;=0.05, "No Evidence", ""))))</f>
        <v>High</v>
      </c>
      <c r="U692">
        <v>0</v>
      </c>
    </row>
    <row r="693" spans="1:22" x14ac:dyDescent="0.25">
      <c r="A693" t="s">
        <v>996</v>
      </c>
      <c r="B693" s="2">
        <v>45400</v>
      </c>
      <c r="C693" s="2" t="str" cm="1">
        <f t="array" ref="C6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3">
        <f>YEAR(AllData[[#This Row],[Date]])</f>
        <v>2024</v>
      </c>
      <c r="E693" s="1">
        <v>0.51875000000000004</v>
      </c>
      <c r="F693" s="2" t="str">
        <f>IF(AND(AllData[[#This Row],[Time]]&lt;0.5, AllData[[#This Row],[Time]]&gt;0.17)=TRUE, "Morning", IF(AND(AllData[[#This Row],[Time]]&lt;0.75, AllData[[#This Row],[Time]]&gt;=0.5)=TRUE, "Afternoon", IF(AND(AllData[[#This Row],[Time]]&lt;1, AllData[[#This Row],[Time]]&gt;=0.75)=TRUE, "Evening", "Night")))</f>
        <v>Afternoon</v>
      </c>
      <c r="G693" t="str">
        <f>_xlfn.XLOOKUP(AllData[[#This Row],[Location Name]], Locations[Location Name],Locations[Group As])</f>
        <v>Preston-on-Stour River Bridge</v>
      </c>
      <c r="H693" t="e" vm="2">
        <f>_xlfn.XLOOKUP(AllData[[#This Row],[Site Name]],LocationsKey[Site Name],LocationsKey[District])</f>
        <v>#VALUE!</v>
      </c>
      <c r="I693" t="e" vm="9">
        <f>_xlfn.XLOOKUP(AllData[[#This Row],[Site Name]],LocationsKey[Site Name],LocationsKey[Town])</f>
        <v>#VALUE!</v>
      </c>
      <c r="J693" t="str">
        <f>_xlfn.XLOOKUP(AllData[[#This Row],[Site Name]],LocationsKey[Site Name], LocationsKey[Waterway])</f>
        <v>Stour</v>
      </c>
      <c r="K693" t="s">
        <v>163</v>
      </c>
      <c r="L693">
        <v>52.146473</v>
      </c>
      <c r="M693">
        <v>-1.699732</v>
      </c>
      <c r="N693" t="s">
        <v>29</v>
      </c>
      <c r="O693" s="128">
        <v>658</v>
      </c>
      <c r="P693">
        <v>10.8</v>
      </c>
      <c r="Q693" s="128">
        <v>7</v>
      </c>
      <c r="R693" s="7" t="str">
        <f>IF(AllData[[#This Row],[Nitrate (PPM)]]&gt;2, "Very high", IF(AllData[[#This Row],[Nitrate (PPM)]]&gt;1, "High", IF(AllData[[#This Row],[Nitrate (PPM)]]&gt;0.5, "Some evidence", IF(AllData[[#This Row],[Nitrate (PPM)]]&gt;=0, "No evidence"))))</f>
        <v>Very high</v>
      </c>
      <c r="S693" s="134">
        <v>0.21</v>
      </c>
      <c r="T693" s="7" t="str">
        <f>IF(AllData[[#This Row],[Phosphate (PPM)]]&gt;0.5, "Very high", IF(AllData[[#This Row],[Phosphate (PPM)]]&gt;0.1, "High", IF(AllData[[#This Row],[Phosphate (PPM)]]&gt;0.05, "Some evidence", IF(AllData[[#This Row],[Phosphate (PPM)]]&lt;=0.05, "No Evidence", ""))))</f>
        <v>High</v>
      </c>
      <c r="U693">
        <v>1.5</v>
      </c>
    </row>
    <row r="694" spans="1:22" x14ac:dyDescent="0.25">
      <c r="A694" t="s">
        <v>997</v>
      </c>
      <c r="B694" s="2">
        <v>45400</v>
      </c>
      <c r="C694" s="2" t="str" cm="1">
        <f t="array" ref="C6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4">
        <f>YEAR(AllData[[#This Row],[Date]])</f>
        <v>2024</v>
      </c>
      <c r="E694" s="1">
        <v>0.58263888888888893</v>
      </c>
      <c r="F694" s="2" t="str">
        <f>IF(AND(AllData[[#This Row],[Time]]&lt;0.5, AllData[[#This Row],[Time]]&gt;0.17)=TRUE, "Morning", IF(AND(AllData[[#This Row],[Time]]&lt;0.75, AllData[[#This Row],[Time]]&gt;=0.5)=TRUE, "Afternoon", IF(AND(AllData[[#This Row],[Time]]&lt;1, AllData[[#This Row],[Time]]&gt;=0.75)=TRUE, "Evening", "Night")))</f>
        <v>Afternoon</v>
      </c>
      <c r="G694" t="str">
        <f>_xlfn.XLOOKUP(AllData[[#This Row],[Location Name]], Locations[Location Name],Locations[Group As])</f>
        <v>Twyning Fleet</v>
      </c>
      <c r="H694" t="e" vm="1">
        <f>_xlfn.XLOOKUP(AllData[[#This Row],[Site Name]],LocationsKey[Site Name],LocationsKey[District])</f>
        <v>#VALUE!</v>
      </c>
      <c r="I694" t="str">
        <f>_xlfn.XLOOKUP(AllData[[#This Row],[Site Name]],LocationsKey[Site Name],LocationsKey[Town])</f>
        <v>Twyning Green</v>
      </c>
      <c r="J694" t="str">
        <f>_xlfn.XLOOKUP(AllData[[#This Row],[Site Name]],LocationsKey[Site Name], LocationsKey[Waterway])</f>
        <v>Avon</v>
      </c>
      <c r="K694" t="s">
        <v>54</v>
      </c>
      <c r="L694">
        <v>52.027461000000002</v>
      </c>
      <c r="M694">
        <v>-2.1407370000000001</v>
      </c>
      <c r="N694" t="s">
        <v>29</v>
      </c>
      <c r="O694" s="128">
        <v>7380</v>
      </c>
      <c r="P694">
        <v>13.6</v>
      </c>
      <c r="Q694" s="128">
        <v>5</v>
      </c>
      <c r="R694" s="7" t="str">
        <f>IF(AllData[[#This Row],[Nitrate (PPM)]]&gt;2, "Very high", IF(AllData[[#This Row],[Nitrate (PPM)]]&gt;1, "High", IF(AllData[[#This Row],[Nitrate (PPM)]]&gt;0.5, "Some evidence", IF(AllData[[#This Row],[Nitrate (PPM)]]&gt;=0, "No evidence"))))</f>
        <v>Very high</v>
      </c>
      <c r="S694" s="134">
        <v>0.99</v>
      </c>
      <c r="T694" s="7" t="str">
        <f>IF(AllData[[#This Row],[Phosphate (PPM)]]&gt;0.5, "Very high", IF(AllData[[#This Row],[Phosphate (PPM)]]&gt;0.1, "High", IF(AllData[[#This Row],[Phosphate (PPM)]]&gt;0.05, "Some evidence", IF(AllData[[#This Row],[Phosphate (PPM)]]&lt;=0.05, "No Evidence", ""))))</f>
        <v>Very high</v>
      </c>
      <c r="U694">
        <v>0</v>
      </c>
      <c r="V694" t="s">
        <v>998</v>
      </c>
    </row>
    <row r="695" spans="1:22" x14ac:dyDescent="0.25">
      <c r="A695" t="s">
        <v>999</v>
      </c>
      <c r="B695" s="2">
        <v>45401</v>
      </c>
      <c r="C695" s="2" t="str" cm="1">
        <f t="array" ref="C6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5">
        <f>YEAR(AllData[[#This Row],[Date]])</f>
        <v>2024</v>
      </c>
      <c r="E695" s="1">
        <v>0.70486111111111116</v>
      </c>
      <c r="F695" s="2" t="str">
        <f>IF(AND(AllData[[#This Row],[Time]]&lt;0.5, AllData[[#This Row],[Time]]&gt;0.17)=TRUE, "Morning", IF(AND(AllData[[#This Row],[Time]]&lt;0.75, AllData[[#This Row],[Time]]&gt;=0.5)=TRUE, "Afternoon", IF(AND(AllData[[#This Row],[Time]]&lt;1, AllData[[#This Row],[Time]]&gt;=0.75)=TRUE, "Evening", "Night")))</f>
        <v>Afternoon</v>
      </c>
      <c r="G695" t="str">
        <f>_xlfn.XLOOKUP(AllData[[#This Row],[Location Name]], Locations[Location Name],Locations[Group As])</f>
        <v>Lower Lode</v>
      </c>
      <c r="H695" t="e" vm="1">
        <f>_xlfn.XLOOKUP(AllData[[#This Row],[Site Name]],LocationsKey[Site Name],LocationsKey[District])</f>
        <v>#VALUE!</v>
      </c>
      <c r="I695" t="e" vm="1">
        <f>_xlfn.XLOOKUP(AllData[[#This Row],[Site Name]],LocationsKey[Site Name],LocationsKey[Town])</f>
        <v>#VALUE!</v>
      </c>
      <c r="J695" t="str">
        <f>_xlfn.XLOOKUP(AllData[[#This Row],[Site Name]],LocationsKey[Site Name], LocationsKey[Waterway])</f>
        <v>Avon</v>
      </c>
      <c r="K695" t="s">
        <v>592</v>
      </c>
      <c r="L695">
        <v>51.985052000000003</v>
      </c>
      <c r="M695">
        <v>-2.174159</v>
      </c>
      <c r="N695" t="s">
        <v>29</v>
      </c>
      <c r="O695" s="128">
        <v>9000</v>
      </c>
      <c r="P695">
        <v>15.4</v>
      </c>
      <c r="Q695" s="128">
        <v>10</v>
      </c>
      <c r="R695" s="7" t="str">
        <f>IF(AllData[[#This Row],[Nitrate (PPM)]]&gt;2, "Very high", IF(AllData[[#This Row],[Nitrate (PPM)]]&gt;1, "High", IF(AllData[[#This Row],[Nitrate (PPM)]]&gt;0.5, "Some evidence", IF(AllData[[#This Row],[Nitrate (PPM)]]&gt;=0, "No evidence"))))</f>
        <v>Very high</v>
      </c>
      <c r="S695" s="134">
        <v>0.08</v>
      </c>
      <c r="T695" s="7" t="str">
        <f>IF(AllData[[#This Row],[Phosphate (PPM)]]&gt;0.5, "Very high", IF(AllData[[#This Row],[Phosphate (PPM)]]&gt;0.1, "High", IF(AllData[[#This Row],[Phosphate (PPM)]]&gt;0.05, "Some evidence", IF(AllData[[#This Row],[Phosphate (PPM)]]&lt;=0.05, "No Evidence", ""))))</f>
        <v>Some evidence</v>
      </c>
      <c r="U695">
        <v>2</v>
      </c>
    </row>
    <row r="696" spans="1:22" x14ac:dyDescent="0.25">
      <c r="A696" t="s">
        <v>1000</v>
      </c>
      <c r="B696" s="2">
        <v>45401</v>
      </c>
      <c r="C696" s="2" t="str" cm="1">
        <f t="array" ref="C6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6">
        <f>YEAR(AllData[[#This Row],[Date]])</f>
        <v>2024</v>
      </c>
      <c r="E696" s="1">
        <v>0.70902777777777781</v>
      </c>
      <c r="F696" s="2" t="str">
        <f>IF(AND(AllData[[#This Row],[Time]]&lt;0.5, AllData[[#This Row],[Time]]&gt;0.17)=TRUE, "Morning", IF(AND(AllData[[#This Row],[Time]]&lt;0.75, AllData[[#This Row],[Time]]&gt;=0.5)=TRUE, "Afternoon", IF(AND(AllData[[#This Row],[Time]]&lt;1, AllData[[#This Row],[Time]]&gt;=0.75)=TRUE, "Evening", "Night")))</f>
        <v>Afternoon</v>
      </c>
      <c r="G696" t="str">
        <f>_xlfn.XLOOKUP(AllData[[#This Row],[Location Name]], Locations[Location Name],Locations[Group As])</f>
        <v>Mill Bridge Peopleton</v>
      </c>
      <c r="H696" t="e" vm="17">
        <f>_xlfn.XLOOKUP(AllData[[#This Row],[Site Name]],LocationsKey[Site Name],LocationsKey[District])</f>
        <v>#VALUE!</v>
      </c>
      <c r="I696" t="str">
        <f>_xlfn.XLOOKUP(AllData[[#This Row],[Site Name]],LocationsKey[Site Name],LocationsKey[Town])</f>
        <v>Peopleton</v>
      </c>
      <c r="J696" t="str">
        <f>_xlfn.XLOOKUP(AllData[[#This Row],[Site Name]],LocationsKey[Site Name], LocationsKey[Waterway])</f>
        <v>Bow Brook</v>
      </c>
      <c r="K696" t="s">
        <v>921</v>
      </c>
      <c r="L696">
        <v>52.154262000000003</v>
      </c>
      <c r="M696">
        <v>-2.0906370000000001</v>
      </c>
      <c r="N696" t="s">
        <v>29</v>
      </c>
      <c r="O696" s="7">
        <v>1020</v>
      </c>
      <c r="P696">
        <v>13.3</v>
      </c>
      <c r="Q696" s="7">
        <v>4</v>
      </c>
      <c r="R696" s="7" t="str">
        <f>IF(AllData[[#This Row],[Nitrate (PPM)]]&gt;2, "Very high", IF(AllData[[#This Row],[Nitrate (PPM)]]&gt;1, "High", IF(AllData[[#This Row],[Nitrate (PPM)]]&gt;0.5, "Some evidence", IF(AllData[[#This Row],[Nitrate (PPM)]]&gt;=0, "No evidence"))))</f>
        <v>Very high</v>
      </c>
      <c r="S696" s="135">
        <v>0.83</v>
      </c>
      <c r="T696" s="7" t="str">
        <f>IF(AllData[[#This Row],[Phosphate (PPM)]]&gt;0.5, "Very high", IF(AllData[[#This Row],[Phosphate (PPM)]]&gt;0.1, "High", IF(AllData[[#This Row],[Phosphate (PPM)]]&gt;0.05, "Some evidence", IF(AllData[[#This Row],[Phosphate (PPM)]]&lt;=0.05, "No Evidence", ""))))</f>
        <v>Very high</v>
      </c>
      <c r="U696">
        <v>0.45</v>
      </c>
    </row>
    <row r="697" spans="1:22" x14ac:dyDescent="0.25">
      <c r="A697" t="s">
        <v>1764</v>
      </c>
      <c r="B697" s="2">
        <v>45401</v>
      </c>
      <c r="C697" s="2" t="str" cm="1">
        <f t="array" ref="C6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7">
        <f>YEAR(AllData[[#This Row],[Date]])</f>
        <v>2024</v>
      </c>
      <c r="F697" s="2" t="str">
        <f>IF(AND(AllData[[#This Row],[Time]]&lt;0.5, AllData[[#This Row],[Time]]&gt;0.17)=TRUE, "Morning", IF(AND(AllData[[#This Row],[Time]]&lt;0.75, AllData[[#This Row],[Time]]&gt;=0.5)=TRUE, "Afternoon", IF(AND(AllData[[#This Row],[Time]]&lt;1, AllData[[#This Row],[Time]]&gt;=0.75)=TRUE, "Evening", "Night")))</f>
        <v>Night</v>
      </c>
      <c r="G697" t="str">
        <f>_xlfn.XLOOKUP(AllData[[#This Row],[Location Name]], Locations[Location Name],Locations[Group As])</f>
        <v>Site 1  :  Middle Street</v>
      </c>
      <c r="H697" t="e" vm="2">
        <f>_xlfn.XLOOKUP(AllData[[#This Row],[Site Name]],LocationsKey[Site Name],LocationsKey[District])</f>
        <v>#VALUE!</v>
      </c>
      <c r="I697" t="e" vm="11">
        <f>_xlfn.XLOOKUP(AllData[[#This Row],[Site Name]],LocationsKey[Site Name],LocationsKey[Town])</f>
        <v>#VALUE!</v>
      </c>
      <c r="J697" t="str">
        <f>_xlfn.XLOOKUP(AllData[[#This Row],[Site Name]],LocationsKey[Site Name], LocationsKey[Waterway])</f>
        <v>Fosseway Brook</v>
      </c>
      <c r="K697" t="s">
        <v>1859</v>
      </c>
      <c r="L697">
        <v>52.090110000000003</v>
      </c>
      <c r="M697">
        <v>-1.692544</v>
      </c>
      <c r="N697" t="s">
        <v>66</v>
      </c>
      <c r="O697" s="128">
        <v>571</v>
      </c>
      <c r="P697">
        <v>13</v>
      </c>
      <c r="Q697" s="128">
        <v>2</v>
      </c>
      <c r="R697" s="7" t="str">
        <f>IF(AllData[[#This Row],[Nitrate (PPM)]]&gt;2, "Very high", IF(AllData[[#This Row],[Nitrate (PPM)]]&gt;1, "High", IF(AllData[[#This Row],[Nitrate (PPM)]]&gt;0.5, "Some evidence", IF(AllData[[#This Row],[Nitrate (PPM)]]&gt;=0, "No evidence"))))</f>
        <v>High</v>
      </c>
      <c r="S697" s="134">
        <v>0.05</v>
      </c>
      <c r="T697" s="7" t="str">
        <f>IF(AllData[[#This Row],[Phosphate (PPM)]]&gt;0.5, "Very high", IF(AllData[[#This Row],[Phosphate (PPM)]]&gt;0.1, "High", IF(AllData[[#This Row],[Phosphate (PPM)]]&gt;0.05, "Some evidence", IF(AllData[[#This Row],[Phosphate (PPM)]]&lt;=0.05, "No Evidence", ""))))</f>
        <v>No Evidence</v>
      </c>
      <c r="U697">
        <v>0</v>
      </c>
      <c r="V697" t="s">
        <v>1908</v>
      </c>
    </row>
    <row r="698" spans="1:22" x14ac:dyDescent="0.25">
      <c r="A698" t="s">
        <v>1432</v>
      </c>
      <c r="B698" s="2">
        <v>45401</v>
      </c>
      <c r="C698" s="2" t="str" cm="1">
        <f t="array" ref="C6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8">
        <f>YEAR(AllData[[#This Row],[Date]])</f>
        <v>2024</v>
      </c>
      <c r="E698" s="1"/>
      <c r="F698" s="2" t="str">
        <f>IF(AND(AllData[[#This Row],[Time]]&lt;0.5, AllData[[#This Row],[Time]]&gt;0.17)=TRUE, "Morning", IF(AND(AllData[[#This Row],[Time]]&lt;0.75, AllData[[#This Row],[Time]]&gt;=0.5)=TRUE, "Afternoon", IF(AND(AllData[[#This Row],[Time]]&lt;1, AllData[[#This Row],[Time]]&gt;=0.75)=TRUE, "Evening", "Night")))</f>
        <v>Night</v>
      </c>
      <c r="G698" t="str">
        <f>_xlfn.XLOOKUP(AllData[[#This Row],[Location Name]], Locations[Location Name],Locations[Group As])</f>
        <v>Site 1  :  Middle Street</v>
      </c>
      <c r="H698" t="e" vm="2">
        <f>_xlfn.XLOOKUP(AllData[[#This Row],[Site Name]],LocationsKey[Site Name],LocationsKey[District])</f>
        <v>#VALUE!</v>
      </c>
      <c r="I698" t="e" vm="11">
        <f>_xlfn.XLOOKUP(AllData[[#This Row],[Site Name]],LocationsKey[Site Name],LocationsKey[Town])</f>
        <v>#VALUE!</v>
      </c>
      <c r="J698" t="str">
        <f>_xlfn.XLOOKUP(AllData[[#This Row],[Site Name]],LocationsKey[Site Name], LocationsKey[Waterway])</f>
        <v>Fosseway Brook</v>
      </c>
      <c r="K698" t="s">
        <v>1373</v>
      </c>
      <c r="L698">
        <v>52.090110000000003</v>
      </c>
      <c r="M698">
        <v>-1.692544</v>
      </c>
      <c r="N698" t="s">
        <v>66</v>
      </c>
      <c r="O698" s="128">
        <v>571</v>
      </c>
      <c r="P698">
        <v>13</v>
      </c>
      <c r="Q698" s="128">
        <v>2</v>
      </c>
      <c r="R698" s="7" t="str">
        <f>IF(AllData[[#This Row],[Nitrate (PPM)]]&gt;2, "Very high", IF(AllData[[#This Row],[Nitrate (PPM)]]&gt;1, "High", IF(AllData[[#This Row],[Nitrate (PPM)]]&gt;0.5, "Some evidence", IF(AllData[[#This Row],[Nitrate (PPM)]]&gt;=0, "No evidence"))))</f>
        <v>High</v>
      </c>
      <c r="S698" s="134">
        <v>0.05</v>
      </c>
      <c r="T698" s="7" t="str">
        <f>IF(AllData[[#This Row],[Phosphate (PPM)]]&gt;0.5, "Very high", IF(AllData[[#This Row],[Phosphate (PPM)]]&gt;0.1, "High", IF(AllData[[#This Row],[Phosphate (PPM)]]&gt;0.05, "Some evidence", IF(AllData[[#This Row],[Phosphate (PPM)]]&lt;=0.05, "No Evidence", ""))))</f>
        <v>No Evidence</v>
      </c>
      <c r="V698" t="s">
        <v>1433</v>
      </c>
    </row>
    <row r="699" spans="1:22" x14ac:dyDescent="0.25">
      <c r="A699" t="s">
        <v>1765</v>
      </c>
      <c r="B699" s="2">
        <v>45401</v>
      </c>
      <c r="C699" s="2" t="str" cm="1">
        <f t="array" ref="C6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9">
        <f>YEAR(AllData[[#This Row],[Date]])</f>
        <v>2024</v>
      </c>
      <c r="F699" s="2" t="str">
        <f>IF(AND(AllData[[#This Row],[Time]]&lt;0.5, AllData[[#This Row],[Time]]&gt;0.17)=TRUE, "Morning", IF(AND(AllData[[#This Row],[Time]]&lt;0.75, AllData[[#This Row],[Time]]&gt;=0.5)=TRUE, "Afternoon", IF(AND(AllData[[#This Row],[Time]]&lt;1, AllData[[#This Row],[Time]]&gt;=0.75)=TRUE, "Evening", "Night")))</f>
        <v>Night</v>
      </c>
      <c r="G699" t="str">
        <f>_xlfn.XLOOKUP(AllData[[#This Row],[Location Name]], Locations[Location Name],Locations[Group As])</f>
        <v>Site 2  :  Cross Leys culvert</v>
      </c>
      <c r="H699" t="e" vm="2">
        <f>_xlfn.XLOOKUP(AllData[[#This Row],[Site Name]],LocationsKey[Site Name],LocationsKey[District])</f>
        <v>#VALUE!</v>
      </c>
      <c r="I699" t="e" vm="11">
        <f>_xlfn.XLOOKUP(AllData[[#This Row],[Site Name]],LocationsKey[Site Name],LocationsKey[Town])</f>
        <v>#VALUE!</v>
      </c>
      <c r="J699" t="str">
        <f>_xlfn.XLOOKUP(AllData[[#This Row],[Site Name]],LocationsKey[Site Name], LocationsKey[Waterway])</f>
        <v>Fosseway Brook</v>
      </c>
      <c r="K699" t="s">
        <v>1860</v>
      </c>
      <c r="L699">
        <v>52.093020000000003</v>
      </c>
      <c r="M699">
        <v>-1.6862870000000001</v>
      </c>
      <c r="N699" t="s">
        <v>66</v>
      </c>
      <c r="O699" s="128">
        <v>606</v>
      </c>
      <c r="P699">
        <v>12.5</v>
      </c>
      <c r="Q699" s="128">
        <v>3</v>
      </c>
      <c r="R699" s="7" t="str">
        <f>IF(AllData[[#This Row],[Nitrate (PPM)]]&gt;2, "Very high", IF(AllData[[#This Row],[Nitrate (PPM)]]&gt;1, "High", IF(AllData[[#This Row],[Nitrate (PPM)]]&gt;0.5, "Some evidence", IF(AllData[[#This Row],[Nitrate (PPM)]]&gt;=0, "No evidence"))))</f>
        <v>Very high</v>
      </c>
      <c r="S699" s="134">
        <v>0.3</v>
      </c>
      <c r="T699" s="7" t="str">
        <f>IF(AllData[[#This Row],[Phosphate (PPM)]]&gt;0.5, "Very high", IF(AllData[[#This Row],[Phosphate (PPM)]]&gt;0.1, "High", IF(AllData[[#This Row],[Phosphate (PPM)]]&gt;0.05, "Some evidence", IF(AllData[[#This Row],[Phosphate (PPM)]]&lt;=0.05, "No Evidence", ""))))</f>
        <v>High</v>
      </c>
      <c r="U699">
        <v>0</v>
      </c>
      <c r="V699" t="s">
        <v>1909</v>
      </c>
    </row>
    <row r="700" spans="1:22" x14ac:dyDescent="0.25">
      <c r="A700" t="s">
        <v>1431</v>
      </c>
      <c r="B700" s="2">
        <v>45401</v>
      </c>
      <c r="C700" s="2" t="str" cm="1">
        <f t="array" ref="C7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0">
        <f>YEAR(AllData[[#This Row],[Date]])</f>
        <v>2024</v>
      </c>
      <c r="E700" s="1"/>
      <c r="F700" s="2" t="str">
        <f>IF(AND(AllData[[#This Row],[Time]]&lt;0.5, AllData[[#This Row],[Time]]&gt;0.17)=TRUE, "Morning", IF(AND(AllData[[#This Row],[Time]]&lt;0.75, AllData[[#This Row],[Time]]&gt;=0.5)=TRUE, "Afternoon", IF(AND(AllData[[#This Row],[Time]]&lt;1, AllData[[#This Row],[Time]]&gt;=0.75)=TRUE, "Evening", "Night")))</f>
        <v>Night</v>
      </c>
      <c r="G700" t="str">
        <f>_xlfn.XLOOKUP(AllData[[#This Row],[Location Name]], Locations[Location Name],Locations[Group As])</f>
        <v>Site 2  :  Cross Leys culvert</v>
      </c>
      <c r="H700" t="e" vm="2">
        <f>_xlfn.XLOOKUP(AllData[[#This Row],[Site Name]],LocationsKey[Site Name],LocationsKey[District])</f>
        <v>#VALUE!</v>
      </c>
      <c r="I700" t="e" vm="11">
        <f>_xlfn.XLOOKUP(AllData[[#This Row],[Site Name]],LocationsKey[Site Name],LocationsKey[Town])</f>
        <v>#VALUE!</v>
      </c>
      <c r="J700" t="str">
        <f>_xlfn.XLOOKUP(AllData[[#This Row],[Site Name]],LocationsKey[Site Name], LocationsKey[Waterway])</f>
        <v>Fosseway Brook</v>
      </c>
      <c r="K700" t="s">
        <v>1371</v>
      </c>
      <c r="L700">
        <v>52.093020000000003</v>
      </c>
      <c r="M700">
        <v>-1.6862870000000001</v>
      </c>
      <c r="N700" t="s">
        <v>66</v>
      </c>
      <c r="O700" s="128">
        <v>606</v>
      </c>
      <c r="P700">
        <v>12.5</v>
      </c>
      <c r="Q700" s="128">
        <v>3</v>
      </c>
      <c r="R700" s="7" t="str">
        <f>IF(AllData[[#This Row],[Nitrate (PPM)]]&gt;2, "Very high", IF(AllData[[#This Row],[Nitrate (PPM)]]&gt;1, "High", IF(AllData[[#This Row],[Nitrate (PPM)]]&gt;0.5, "Some evidence", IF(AllData[[#This Row],[Nitrate (PPM)]]&gt;=0, "No evidence"))))</f>
        <v>Very high</v>
      </c>
      <c r="S700" s="134">
        <v>0.3</v>
      </c>
      <c r="T700" s="7" t="str">
        <f>IF(AllData[[#This Row],[Phosphate (PPM)]]&gt;0.5, "Very high", IF(AllData[[#This Row],[Phosphate (PPM)]]&gt;0.1, "High", IF(AllData[[#This Row],[Phosphate (PPM)]]&gt;0.05, "Some evidence", IF(AllData[[#This Row],[Phosphate (PPM)]]&lt;=0.05, "No Evidence", ""))))</f>
        <v>High</v>
      </c>
    </row>
    <row r="701" spans="1:22" x14ac:dyDescent="0.25">
      <c r="A701" t="s">
        <v>1766</v>
      </c>
      <c r="B701" s="2">
        <v>45401</v>
      </c>
      <c r="C701" s="2" t="str" cm="1">
        <f t="array" ref="C7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1">
        <f>YEAR(AllData[[#This Row],[Date]])</f>
        <v>2024</v>
      </c>
      <c r="F701" s="2" t="str">
        <f>IF(AND(AllData[[#This Row],[Time]]&lt;0.5, AllData[[#This Row],[Time]]&gt;0.17)=TRUE, "Morning", IF(AND(AllData[[#This Row],[Time]]&lt;0.75, AllData[[#This Row],[Time]]&gt;=0.5)=TRUE, "Afternoon", IF(AND(AllData[[#This Row],[Time]]&lt;1, AllData[[#This Row],[Time]]&gt;=0.75)=TRUE, "Evening", "Night")))</f>
        <v>Night</v>
      </c>
      <c r="G701" t="str">
        <f>_xlfn.XLOOKUP(AllData[[#This Row],[Location Name]], Locations[Location Name],Locations[Group As])</f>
        <v>Site 3  :  Severn Trent Water processing plant outflow</v>
      </c>
      <c r="H701" t="e" vm="2">
        <f>_xlfn.XLOOKUP(AllData[[#This Row],[Site Name]],LocationsKey[Site Name],LocationsKey[District])</f>
        <v>#VALUE!</v>
      </c>
      <c r="I701" t="e" vm="11">
        <f>_xlfn.XLOOKUP(AllData[[#This Row],[Site Name]],LocationsKey[Site Name],LocationsKey[Town])</f>
        <v>#VALUE!</v>
      </c>
      <c r="J701" t="str">
        <f>_xlfn.XLOOKUP(AllData[[#This Row],[Site Name]],LocationsKey[Site Name], LocationsKey[Waterway])</f>
        <v>Fosseway Brook</v>
      </c>
      <c r="K701" t="s">
        <v>1861</v>
      </c>
      <c r="L701">
        <v>52.094447000000002</v>
      </c>
      <c r="M701">
        <v>-1.675732</v>
      </c>
      <c r="N701" t="s">
        <v>29</v>
      </c>
      <c r="O701" s="128">
        <v>801</v>
      </c>
      <c r="P701">
        <v>13</v>
      </c>
      <c r="Q701" s="128">
        <v>6</v>
      </c>
      <c r="R701" s="7" t="str">
        <f>IF(AllData[[#This Row],[Nitrate (PPM)]]&gt;2, "Very high", IF(AllData[[#This Row],[Nitrate (PPM)]]&gt;1, "High", IF(AllData[[#This Row],[Nitrate (PPM)]]&gt;0.5, "Some evidence", IF(AllData[[#This Row],[Nitrate (PPM)]]&gt;=0, "No evidence"))))</f>
        <v>Very high</v>
      </c>
      <c r="S701" s="134">
        <v>2.5</v>
      </c>
      <c r="T701" s="7" t="str">
        <f>IF(AllData[[#This Row],[Phosphate (PPM)]]&gt;0.5, "Very high", IF(AllData[[#This Row],[Phosphate (PPM)]]&gt;0.1, "High", IF(AllData[[#This Row],[Phosphate (PPM)]]&gt;0.05, "Some evidence", IF(AllData[[#This Row],[Phosphate (PPM)]]&lt;=0.05, "No Evidence", ""))))</f>
        <v>Very high</v>
      </c>
      <c r="U701">
        <v>0</v>
      </c>
      <c r="V701" t="s">
        <v>1909</v>
      </c>
    </row>
    <row r="702" spans="1:22" x14ac:dyDescent="0.25">
      <c r="A702" t="s">
        <v>1430</v>
      </c>
      <c r="B702" s="2">
        <v>45401</v>
      </c>
      <c r="C702" s="2" t="str" cm="1">
        <f t="array" ref="C7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2">
        <f>YEAR(AllData[[#This Row],[Date]])</f>
        <v>2024</v>
      </c>
      <c r="E702" s="1"/>
      <c r="F702" s="2" t="str">
        <f>IF(AND(AllData[[#This Row],[Time]]&lt;0.5, AllData[[#This Row],[Time]]&gt;0.17)=TRUE, "Morning", IF(AND(AllData[[#This Row],[Time]]&lt;0.75, AllData[[#This Row],[Time]]&gt;=0.5)=TRUE, "Afternoon", IF(AND(AllData[[#This Row],[Time]]&lt;1, AllData[[#This Row],[Time]]&gt;=0.75)=TRUE, "Evening", "Night")))</f>
        <v>Night</v>
      </c>
      <c r="G702" t="str">
        <f>_xlfn.XLOOKUP(AllData[[#This Row],[Location Name]], Locations[Location Name],Locations[Group As])</f>
        <v>Site 3  :  Severn Trent Water processing plant outflow</v>
      </c>
      <c r="H702" t="e" vm="2">
        <f>_xlfn.XLOOKUP(AllData[[#This Row],[Site Name]],LocationsKey[Site Name],LocationsKey[District])</f>
        <v>#VALUE!</v>
      </c>
      <c r="I702" t="e" vm="11">
        <f>_xlfn.XLOOKUP(AllData[[#This Row],[Site Name]],LocationsKey[Site Name],LocationsKey[Town])</f>
        <v>#VALUE!</v>
      </c>
      <c r="J702" t="str">
        <f>_xlfn.XLOOKUP(AllData[[#This Row],[Site Name]],LocationsKey[Site Name], LocationsKey[Waterway])</f>
        <v>Fosseway Brook</v>
      </c>
      <c r="K702" t="s">
        <v>1368</v>
      </c>
      <c r="L702">
        <v>52.094447000000002</v>
      </c>
      <c r="M702">
        <v>-1.675732</v>
      </c>
      <c r="N702" t="s">
        <v>29</v>
      </c>
      <c r="O702" s="128">
        <v>801</v>
      </c>
      <c r="P702">
        <v>13</v>
      </c>
      <c r="Q702" s="128">
        <v>6</v>
      </c>
      <c r="R702" s="7" t="str">
        <f>IF(AllData[[#This Row],[Nitrate (PPM)]]&gt;2, "Very high", IF(AllData[[#This Row],[Nitrate (PPM)]]&gt;1, "High", IF(AllData[[#This Row],[Nitrate (PPM)]]&gt;0.5, "Some evidence", IF(AllData[[#This Row],[Nitrate (PPM)]]&gt;=0, "No evidence"))))</f>
        <v>Very high</v>
      </c>
      <c r="S702" s="134">
        <v>2.5</v>
      </c>
      <c r="T702" s="7" t="str">
        <f>IF(AllData[[#This Row],[Phosphate (PPM)]]&gt;0.5, "Very high", IF(AllData[[#This Row],[Phosphate (PPM)]]&gt;0.1, "High", IF(AllData[[#This Row],[Phosphate (PPM)]]&gt;0.05, "Some evidence", IF(AllData[[#This Row],[Phosphate (PPM)]]&lt;=0.05, "No Evidence", ""))))</f>
        <v>Very high</v>
      </c>
    </row>
    <row r="703" spans="1:22" x14ac:dyDescent="0.25">
      <c r="A703" t="s">
        <v>1001</v>
      </c>
      <c r="B703" s="2">
        <v>45402</v>
      </c>
      <c r="C703" s="2" t="str" cm="1">
        <f t="array" ref="C7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3">
        <f>YEAR(AllData[[#This Row],[Date]])</f>
        <v>2024</v>
      </c>
      <c r="E703" s="1">
        <v>0.47916666666666669</v>
      </c>
      <c r="F703" s="2" t="str">
        <f>IF(AND(AllData[[#This Row],[Time]]&lt;0.5, AllData[[#This Row],[Time]]&gt;0.17)=TRUE, "Morning", IF(AND(AllData[[#This Row],[Time]]&lt;0.75, AllData[[#This Row],[Time]]&gt;=0.5)=TRUE, "Afternoon", IF(AND(AllData[[#This Row],[Time]]&lt;1, AllData[[#This Row],[Time]]&gt;=0.75)=TRUE, "Evening", "Night")))</f>
        <v>Morning</v>
      </c>
      <c r="G703" t="str">
        <f>_xlfn.XLOOKUP(AllData[[#This Row],[Location Name]], Locations[Location Name],Locations[Group As])</f>
        <v>Piddle Brook Wyre Piddle Bridge</v>
      </c>
      <c r="H703" t="e" vm="17">
        <f>_xlfn.XLOOKUP(AllData[[#This Row],[Site Name]],LocationsKey[Site Name],LocationsKey[District])</f>
        <v>#VALUE!</v>
      </c>
      <c r="I703" t="e" vm="20">
        <f>_xlfn.XLOOKUP(AllData[[#This Row],[Site Name]],LocationsKey[Site Name],LocationsKey[Town])</f>
        <v>#VALUE!</v>
      </c>
      <c r="J703" t="str">
        <f>_xlfn.XLOOKUP(AllData[[#This Row],[Site Name]],LocationsKey[Site Name], LocationsKey[Waterway])</f>
        <v>Piddle Brook</v>
      </c>
      <c r="K703" t="s">
        <v>744</v>
      </c>
      <c r="L703">
        <v>52.126404000000001</v>
      </c>
      <c r="M703">
        <v>-2.0565410000000002</v>
      </c>
      <c r="N703" t="s">
        <v>23</v>
      </c>
      <c r="O703" s="7">
        <v>1270</v>
      </c>
      <c r="P703">
        <v>10.3</v>
      </c>
      <c r="Q703" s="7">
        <v>7</v>
      </c>
      <c r="R703" s="7" t="str">
        <f>IF(AllData[[#This Row],[Nitrate (PPM)]]&gt;2, "Very high", IF(AllData[[#This Row],[Nitrate (PPM)]]&gt;1, "High", IF(AllData[[#This Row],[Nitrate (PPM)]]&gt;0.5, "Some evidence", IF(AllData[[#This Row],[Nitrate (PPM)]]&gt;=0, "No evidence"))))</f>
        <v>Very high</v>
      </c>
      <c r="S703" s="135">
        <v>0.67</v>
      </c>
      <c r="T703" s="7" t="str">
        <f>IF(AllData[[#This Row],[Phosphate (PPM)]]&gt;0.5, "Very high", IF(AllData[[#This Row],[Phosphate (PPM)]]&gt;0.1, "High", IF(AllData[[#This Row],[Phosphate (PPM)]]&gt;0.05, "Some evidence", IF(AllData[[#This Row],[Phosphate (PPM)]]&lt;=0.05, "No Evidence", ""))))</f>
        <v>Very high</v>
      </c>
      <c r="U703">
        <v>0.27</v>
      </c>
      <c r="V703" t="s">
        <v>1002</v>
      </c>
    </row>
    <row r="704" spans="1:22" x14ac:dyDescent="0.25">
      <c r="A704" t="s">
        <v>1003</v>
      </c>
      <c r="B704" s="2">
        <v>45402</v>
      </c>
      <c r="C704" s="2" t="str" cm="1">
        <f t="array" ref="C7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4">
        <f>YEAR(AllData[[#This Row],[Date]])</f>
        <v>2024</v>
      </c>
      <c r="E704" s="1">
        <v>0.5</v>
      </c>
      <c r="F704" s="2" t="str">
        <f>IF(AND(AllData[[#This Row],[Time]]&lt;0.5, AllData[[#This Row],[Time]]&gt;0.17)=TRUE, "Morning", IF(AND(AllData[[#This Row],[Time]]&lt;0.75, AllData[[#This Row],[Time]]&gt;=0.5)=TRUE, "Afternoon", IF(AND(AllData[[#This Row],[Time]]&lt;1, AllData[[#This Row],[Time]]&gt;=0.75)=TRUE, "Evening", "Night")))</f>
        <v>Afternoon</v>
      </c>
      <c r="G704" t="str">
        <f>_xlfn.XLOOKUP(AllData[[#This Row],[Location Name]], Locations[Location Name],Locations[Group As])</f>
        <v>Carrant Bredon Rd</v>
      </c>
      <c r="H704" t="e" vm="1">
        <f>_xlfn.XLOOKUP(AllData[[#This Row],[Site Name]],LocationsKey[Site Name],LocationsKey[District])</f>
        <v>#VALUE!</v>
      </c>
      <c r="I704" t="e" vm="1">
        <f>_xlfn.XLOOKUP(AllData[[#This Row],[Site Name]],LocationsKey[Site Name],LocationsKey[Town])</f>
        <v>#VALUE!</v>
      </c>
      <c r="J704" t="str">
        <f>_xlfn.XLOOKUP(AllData[[#This Row],[Site Name]],LocationsKey[Site Name], LocationsKey[Waterway])</f>
        <v>Carrant</v>
      </c>
      <c r="K704" t="s">
        <v>600</v>
      </c>
      <c r="L704">
        <v>51.996274999999997</v>
      </c>
      <c r="M704">
        <v>-2.1560709999999998</v>
      </c>
      <c r="N704" t="s">
        <v>23</v>
      </c>
      <c r="O704" s="7">
        <v>746</v>
      </c>
      <c r="P704">
        <v>11.5</v>
      </c>
      <c r="Q704" s="7">
        <v>7</v>
      </c>
      <c r="R704" s="7" t="str">
        <f>IF(AllData[[#This Row],[Nitrate (PPM)]]&gt;2, "Very high", IF(AllData[[#This Row],[Nitrate (PPM)]]&gt;1, "High", IF(AllData[[#This Row],[Nitrate (PPM)]]&gt;0.5, "Some evidence", IF(AllData[[#This Row],[Nitrate (PPM)]]&gt;=0, "No evidence"))))</f>
        <v>Very high</v>
      </c>
      <c r="S704" s="135">
        <v>0.22</v>
      </c>
      <c r="T704" s="7" t="str">
        <f>IF(AllData[[#This Row],[Phosphate (PPM)]]&gt;0.5, "Very high", IF(AllData[[#This Row],[Phosphate (PPM)]]&gt;0.1, "High", IF(AllData[[#This Row],[Phosphate (PPM)]]&gt;0.05, "Some evidence", IF(AllData[[#This Row],[Phosphate (PPM)]]&lt;=0.05, "No Evidence", ""))))</f>
        <v>High</v>
      </c>
      <c r="U704">
        <v>0.08</v>
      </c>
    </row>
    <row r="705" spans="1:22" x14ac:dyDescent="0.25">
      <c r="A705" t="s">
        <v>1004</v>
      </c>
      <c r="B705" s="2">
        <v>45402</v>
      </c>
      <c r="C705" s="2" t="str" cm="1">
        <f t="array" ref="C7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5">
        <f>YEAR(AllData[[#This Row],[Date]])</f>
        <v>2024</v>
      </c>
      <c r="E705" s="1">
        <v>0.50694444444444442</v>
      </c>
      <c r="F705" s="2" t="str">
        <f>IF(AND(AllData[[#This Row],[Time]]&lt;0.5, AllData[[#This Row],[Time]]&gt;0.17)=TRUE, "Morning", IF(AND(AllData[[#This Row],[Time]]&lt;0.75, AllData[[#This Row],[Time]]&gt;=0.5)=TRUE, "Afternoon", IF(AND(AllData[[#This Row],[Time]]&lt;1, AllData[[#This Row],[Time]]&gt;=0.75)=TRUE, "Evening", "Night")))</f>
        <v>Afternoon</v>
      </c>
      <c r="G705" t="str">
        <f>_xlfn.XLOOKUP(AllData[[#This Row],[Location Name]], Locations[Location Name],Locations[Group As])</f>
        <v>Fell Mill Footbridge</v>
      </c>
      <c r="H705" t="e" vm="2">
        <f>_xlfn.XLOOKUP(AllData[[#This Row],[Site Name]],LocationsKey[Site Name],LocationsKey[District])</f>
        <v>#VALUE!</v>
      </c>
      <c r="I705" t="e" vm="10">
        <f>_xlfn.XLOOKUP(AllData[[#This Row],[Site Name]],LocationsKey[Site Name],LocationsKey[Town])</f>
        <v>#VALUE!</v>
      </c>
      <c r="J705" t="str">
        <f>_xlfn.XLOOKUP(AllData[[#This Row],[Site Name]],LocationsKey[Site Name], LocationsKey[Waterway])</f>
        <v>Stour</v>
      </c>
      <c r="K705" t="s">
        <v>818</v>
      </c>
      <c r="L705">
        <v>52.070086000000003</v>
      </c>
      <c r="M705">
        <v>-1.61145</v>
      </c>
      <c r="N705" t="s">
        <v>29</v>
      </c>
      <c r="O705" s="7">
        <v>602</v>
      </c>
      <c r="P705">
        <v>11.5</v>
      </c>
      <c r="Q705" s="7">
        <v>10</v>
      </c>
      <c r="R705" s="7" t="str">
        <f>IF(AllData[[#This Row],[Nitrate (PPM)]]&gt;2, "Very high", IF(AllData[[#This Row],[Nitrate (PPM)]]&gt;1, "High", IF(AllData[[#This Row],[Nitrate (PPM)]]&gt;0.5, "Some evidence", IF(AllData[[#This Row],[Nitrate (PPM)]]&gt;=0, "No evidence"))))</f>
        <v>Very high</v>
      </c>
      <c r="S705" s="135">
        <v>0.18</v>
      </c>
      <c r="T705" s="7" t="str">
        <f>IF(AllData[[#This Row],[Phosphate (PPM)]]&gt;0.5, "Very high", IF(AllData[[#This Row],[Phosphate (PPM)]]&gt;0.1, "High", IF(AllData[[#This Row],[Phosphate (PPM)]]&gt;0.05, "Some evidence", IF(AllData[[#This Row],[Phosphate (PPM)]]&lt;=0.05, "No Evidence", ""))))</f>
        <v>High</v>
      </c>
      <c r="U705">
        <v>1.4</v>
      </c>
    </row>
    <row r="706" spans="1:22" x14ac:dyDescent="0.25">
      <c r="A706" t="s">
        <v>1005</v>
      </c>
      <c r="B706" s="2">
        <v>45402</v>
      </c>
      <c r="C706" s="2" t="str" cm="1">
        <f t="array" ref="C7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6">
        <f>YEAR(AllData[[#This Row],[Date]])</f>
        <v>2024</v>
      </c>
      <c r="E706" s="1">
        <v>0.67361111111111116</v>
      </c>
      <c r="F706" s="2" t="str">
        <f>IF(AND(AllData[[#This Row],[Time]]&lt;0.5, AllData[[#This Row],[Time]]&gt;0.17)=TRUE, "Morning", IF(AND(AllData[[#This Row],[Time]]&lt;0.75, AllData[[#This Row],[Time]]&gt;=0.5)=TRUE, "Afternoon", IF(AND(AllData[[#This Row],[Time]]&lt;1, AllData[[#This Row],[Time]]&gt;=0.75)=TRUE, "Evening", "Night")))</f>
        <v>Afternoon</v>
      </c>
      <c r="G706" t="str">
        <f>_xlfn.XLOOKUP(AllData[[#This Row],[Location Name]], Locations[Location Name],Locations[Group As])</f>
        <v>Walcot Lane, Bow Brook Ford</v>
      </c>
      <c r="H706" t="e" vm="17">
        <f>_xlfn.XLOOKUP(AllData[[#This Row],[Site Name]],LocationsKey[Site Name],LocationsKey[District])</f>
        <v>#VALUE!</v>
      </c>
      <c r="I706" t="e" vm="18">
        <f>_xlfn.XLOOKUP(AllData[[#This Row],[Site Name]],LocationsKey[Site Name],LocationsKey[Town])</f>
        <v>#VALUE!</v>
      </c>
      <c r="J706" t="str">
        <f>_xlfn.XLOOKUP(AllData[[#This Row],[Site Name]],LocationsKey[Site Name], LocationsKey[Waterway])</f>
        <v>Bow Brook</v>
      </c>
      <c r="K706" t="s">
        <v>732</v>
      </c>
      <c r="L706">
        <v>52.129123</v>
      </c>
      <c r="M706">
        <v>-2.076397</v>
      </c>
      <c r="N706" t="s">
        <v>23</v>
      </c>
      <c r="O706" s="7">
        <v>1090</v>
      </c>
      <c r="P706">
        <v>14.5</v>
      </c>
      <c r="Q706" s="7">
        <v>5</v>
      </c>
      <c r="R706" s="7" t="str">
        <f>IF(AllData[[#This Row],[Nitrate (PPM)]]&gt;2, "Very high", IF(AllData[[#This Row],[Nitrate (PPM)]]&gt;1, "High", IF(AllData[[#This Row],[Nitrate (PPM)]]&gt;0.5, "Some evidence", IF(AllData[[#This Row],[Nitrate (PPM)]]&gt;=0, "No evidence"))))</f>
        <v>Very high</v>
      </c>
      <c r="S706" s="135">
        <v>0.8</v>
      </c>
      <c r="T706" s="7" t="str">
        <f>IF(AllData[[#This Row],[Phosphate (PPM)]]&gt;0.5, "Very high", IF(AllData[[#This Row],[Phosphate (PPM)]]&gt;0.1, "High", IF(AllData[[#This Row],[Phosphate (PPM)]]&gt;0.05, "Some evidence", IF(AllData[[#This Row],[Phosphate (PPM)]]&lt;=0.05, "No Evidence", ""))))</f>
        <v>Very high</v>
      </c>
      <c r="U706">
        <v>0.25</v>
      </c>
      <c r="V706" t="s">
        <v>1006</v>
      </c>
    </row>
    <row r="707" spans="1:22" x14ac:dyDescent="0.25">
      <c r="A707" t="s">
        <v>1007</v>
      </c>
      <c r="B707" s="2">
        <v>45402</v>
      </c>
      <c r="C707" s="2" t="str" cm="1">
        <f t="array" ref="C7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7">
        <f>YEAR(AllData[[#This Row],[Date]])</f>
        <v>2024</v>
      </c>
      <c r="E707" s="1">
        <v>0.70138888888888884</v>
      </c>
      <c r="F707" s="2" t="str">
        <f>IF(AND(AllData[[#This Row],[Time]]&lt;0.5, AllData[[#This Row],[Time]]&gt;0.17)=TRUE, "Morning", IF(AND(AllData[[#This Row],[Time]]&lt;0.75, AllData[[#This Row],[Time]]&gt;=0.5)=TRUE, "Afternoon", IF(AND(AllData[[#This Row],[Time]]&lt;1, AllData[[#This Row],[Time]]&gt;=0.75)=TRUE, "Evening", "Night")))</f>
        <v>Afternoon</v>
      </c>
      <c r="G707" t="str">
        <f>_xlfn.XLOOKUP(AllData[[#This Row],[Location Name]], Locations[Location Name],Locations[Group As])</f>
        <v>Stour Whichford</v>
      </c>
      <c r="H707" t="e" vm="2">
        <f>_xlfn.XLOOKUP(AllData[[#This Row],[Site Name]],LocationsKey[Site Name],LocationsKey[District])</f>
        <v>#VALUE!</v>
      </c>
      <c r="I707" t="e" vm="21">
        <f>_xlfn.XLOOKUP(AllData[[#This Row],[Site Name]],LocationsKey[Site Name],LocationsKey[Town])</f>
        <v>#VALUE!</v>
      </c>
      <c r="J707" t="str">
        <f>_xlfn.XLOOKUP(AllData[[#This Row],[Site Name]],LocationsKey[Site Name], LocationsKey[Waterway])</f>
        <v>Stour</v>
      </c>
      <c r="K707" t="s">
        <v>895</v>
      </c>
      <c r="N707" t="s">
        <v>29</v>
      </c>
      <c r="O707" s="7">
        <v>522</v>
      </c>
      <c r="P707">
        <v>12.1</v>
      </c>
      <c r="Q707" s="7">
        <v>4.5</v>
      </c>
      <c r="R707" s="7" t="str">
        <f>IF(AllData[[#This Row],[Nitrate (PPM)]]&gt;2, "Very high", IF(AllData[[#This Row],[Nitrate (PPM)]]&gt;1, "High", IF(AllData[[#This Row],[Nitrate (PPM)]]&gt;0.5, "Some evidence", IF(AllData[[#This Row],[Nitrate (PPM)]]&gt;=0, "No evidence"))))</f>
        <v>Very high</v>
      </c>
      <c r="S707" s="135">
        <v>0.34</v>
      </c>
      <c r="T707" s="7" t="str">
        <f>IF(AllData[[#This Row],[Phosphate (PPM)]]&gt;0.5, "Very high", IF(AllData[[#This Row],[Phosphate (PPM)]]&gt;0.1, "High", IF(AllData[[#This Row],[Phosphate (PPM)]]&gt;0.05, "Some evidence", IF(AllData[[#This Row],[Phosphate (PPM)]]&lt;=0.05, "No Evidence", ""))))</f>
        <v>High</v>
      </c>
      <c r="U707">
        <v>15</v>
      </c>
    </row>
    <row r="708" spans="1:22" x14ac:dyDescent="0.25">
      <c r="A708" t="s">
        <v>1008</v>
      </c>
      <c r="B708" s="2">
        <v>45402</v>
      </c>
      <c r="C708" s="2" t="str" cm="1">
        <f t="array" ref="C7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8">
        <f>YEAR(AllData[[#This Row],[Date]])</f>
        <v>2024</v>
      </c>
      <c r="E708" s="1">
        <v>0.72916666666666663</v>
      </c>
      <c r="F708" s="2" t="str">
        <f>IF(AND(AllData[[#This Row],[Time]]&lt;0.5, AllData[[#This Row],[Time]]&gt;0.17)=TRUE, "Morning", IF(AND(AllData[[#This Row],[Time]]&lt;0.75, AllData[[#This Row],[Time]]&gt;=0.5)=TRUE, "Afternoon", IF(AND(AllData[[#This Row],[Time]]&lt;1, AllData[[#This Row],[Time]]&gt;=0.75)=TRUE, "Evening", "Night")))</f>
        <v>Afternoon</v>
      </c>
      <c r="G708" t="str">
        <f>_xlfn.XLOOKUP(AllData[[#This Row],[Location Name]], Locations[Location Name],Locations[Group As])</f>
        <v>Stour Ascott Village</v>
      </c>
      <c r="H708" t="e" vm="2">
        <f>_xlfn.XLOOKUP(AllData[[#This Row],[Site Name]],LocationsKey[Site Name],LocationsKey[District])</f>
        <v>#VALUE!</v>
      </c>
      <c r="I708" t="e" vm="22">
        <f>_xlfn.XLOOKUP(AllData[[#This Row],[Site Name]],LocationsKey[Site Name],LocationsKey[Town])</f>
        <v>#VALUE!</v>
      </c>
      <c r="J708" t="str">
        <f>_xlfn.XLOOKUP(AllData[[#This Row],[Site Name]],LocationsKey[Site Name], LocationsKey[Waterway])</f>
        <v>Stour</v>
      </c>
      <c r="K708" t="s">
        <v>855</v>
      </c>
      <c r="N708" t="s">
        <v>66</v>
      </c>
      <c r="O708" s="7">
        <v>12.08</v>
      </c>
      <c r="P708">
        <v>12.1</v>
      </c>
      <c r="Q708" s="7">
        <v>3.5</v>
      </c>
      <c r="R708" s="7" t="str">
        <f>IF(AllData[[#This Row],[Nitrate (PPM)]]&gt;2, "Very high", IF(AllData[[#This Row],[Nitrate (PPM)]]&gt;1, "High", IF(AllData[[#This Row],[Nitrate (PPM)]]&gt;0.5, "Some evidence", IF(AllData[[#This Row],[Nitrate (PPM)]]&gt;=0, "No evidence"))))</f>
        <v>Very high</v>
      </c>
      <c r="S708" s="135">
        <v>0.23</v>
      </c>
      <c r="T708" s="7" t="str">
        <f>IF(AllData[[#This Row],[Phosphate (PPM)]]&gt;0.5, "Very high", IF(AllData[[#This Row],[Phosphate (PPM)]]&gt;0.1, "High", IF(AllData[[#This Row],[Phosphate (PPM)]]&gt;0.05, "Some evidence", IF(AllData[[#This Row],[Phosphate (PPM)]]&lt;=0.05, "No Evidence", ""))))</f>
        <v>High</v>
      </c>
      <c r="U708">
        <v>12</v>
      </c>
    </row>
    <row r="709" spans="1:22" x14ac:dyDescent="0.25">
      <c r="A709" t="s">
        <v>1009</v>
      </c>
      <c r="B709" s="2">
        <v>45403</v>
      </c>
      <c r="C709" s="2" t="str" cm="1">
        <f t="array" ref="C7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9">
        <f>YEAR(AllData[[#This Row],[Date]])</f>
        <v>2024</v>
      </c>
      <c r="E709" s="1">
        <v>0.42708333333333331</v>
      </c>
      <c r="F709" s="2" t="str">
        <f>IF(AND(AllData[[#This Row],[Time]]&lt;0.5, AllData[[#This Row],[Time]]&gt;0.17)=TRUE, "Morning", IF(AND(AllData[[#This Row],[Time]]&lt;0.75, AllData[[#This Row],[Time]]&gt;=0.5)=TRUE, "Afternoon", IF(AND(AllData[[#This Row],[Time]]&lt;1, AllData[[#This Row],[Time]]&gt;=0.75)=TRUE, "Evening", "Night")))</f>
        <v>Morning</v>
      </c>
      <c r="G709" t="str">
        <f>_xlfn.XLOOKUP(AllData[[#This Row],[Location Name]], Locations[Location Name],Locations[Group As])</f>
        <v>Avon Smiths Meadow Wyre Piddle</v>
      </c>
      <c r="H709" t="e" vm="17">
        <f>_xlfn.XLOOKUP(AllData[[#This Row],[Site Name]],LocationsKey[Site Name],LocationsKey[District])</f>
        <v>#VALUE!</v>
      </c>
      <c r="I709" t="e" vm="20">
        <f>_xlfn.XLOOKUP(AllData[[#This Row],[Site Name]],LocationsKey[Site Name],LocationsKey[Town])</f>
        <v>#VALUE!</v>
      </c>
      <c r="J709" t="str">
        <f>_xlfn.XLOOKUP(AllData[[#This Row],[Site Name]],LocationsKey[Site Name], LocationsKey[Waterway])</f>
        <v>Avon</v>
      </c>
      <c r="K709" t="s">
        <v>741</v>
      </c>
      <c r="L709">
        <v>52.122858999999998</v>
      </c>
      <c r="M709">
        <v>-2.0575389999999998</v>
      </c>
      <c r="N709" t="s">
        <v>23</v>
      </c>
      <c r="O709" s="7">
        <v>868</v>
      </c>
      <c r="P709">
        <v>11.6</v>
      </c>
      <c r="Q709" s="7">
        <v>5</v>
      </c>
      <c r="R709" s="7" t="str">
        <f>IF(AllData[[#This Row],[Nitrate (PPM)]]&gt;2, "Very high", IF(AllData[[#This Row],[Nitrate (PPM)]]&gt;1, "High", IF(AllData[[#This Row],[Nitrate (PPM)]]&gt;0.5, "Some evidence", IF(AllData[[#This Row],[Nitrate (PPM)]]&gt;=0, "No evidence"))))</f>
        <v>Very high</v>
      </c>
      <c r="S709" s="135">
        <v>0.56000000000000005</v>
      </c>
      <c r="T709" s="7" t="str">
        <f>IF(AllData[[#This Row],[Phosphate (PPM)]]&gt;0.5, "Very high", IF(AllData[[#This Row],[Phosphate (PPM)]]&gt;0.1, "High", IF(AllData[[#This Row],[Phosphate (PPM)]]&gt;0.05, "Some evidence", IF(AllData[[#This Row],[Phosphate (PPM)]]&lt;=0.05, "No Evidence", ""))))</f>
        <v>Very high</v>
      </c>
      <c r="U709">
        <v>0.68</v>
      </c>
      <c r="V709" t="s">
        <v>1010</v>
      </c>
    </row>
    <row r="710" spans="1:22" x14ac:dyDescent="0.25">
      <c r="A710" t="s">
        <v>1011</v>
      </c>
      <c r="B710" s="2">
        <v>45403</v>
      </c>
      <c r="C710" s="2" t="str" cm="1">
        <f t="array" ref="C7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0">
        <f>YEAR(AllData[[#This Row],[Date]])</f>
        <v>2024</v>
      </c>
      <c r="E710" s="1">
        <v>0.44444444444444442</v>
      </c>
      <c r="F710" s="2" t="str">
        <f>IF(AND(AllData[[#This Row],[Time]]&lt;0.5, AllData[[#This Row],[Time]]&gt;0.17)=TRUE, "Morning", IF(AND(AllData[[#This Row],[Time]]&lt;0.75, AllData[[#This Row],[Time]]&gt;=0.5)=TRUE, "Afternoon", IF(AND(AllData[[#This Row],[Time]]&lt;1, AllData[[#This Row],[Time]]&gt;=0.75)=TRUE, "Evening", "Night")))</f>
        <v>Morning</v>
      </c>
      <c r="G710" t="str">
        <f>_xlfn.XLOOKUP(AllData[[#This Row],[Location Name]], Locations[Location Name],Locations[Group As])</f>
        <v>The Ford, Langley</v>
      </c>
      <c r="H710" t="e" vm="2">
        <f>_xlfn.XLOOKUP(AllData[[#This Row],[Site Name]],LocationsKey[Site Name],LocationsKey[District])</f>
        <v>#VALUE!</v>
      </c>
      <c r="I710" t="str">
        <f>_xlfn.XLOOKUP(AllData[[#This Row],[Site Name]],LocationsKey[Site Name],LocationsKey[Town])</f>
        <v>Langley</v>
      </c>
      <c r="J710" t="str">
        <f>_xlfn.XLOOKUP(AllData[[#This Row],[Site Name]],LocationsKey[Site Name], LocationsKey[Waterway])</f>
        <v>Langley Ford</v>
      </c>
      <c r="K710" t="s">
        <v>557</v>
      </c>
      <c r="L710">
        <v>52.259909999999998</v>
      </c>
      <c r="M710">
        <v>-1.7188140000000001</v>
      </c>
      <c r="N710" t="s">
        <v>29</v>
      </c>
      <c r="O710" s="7">
        <v>734</v>
      </c>
      <c r="P710">
        <v>9.6999999999999993</v>
      </c>
      <c r="Q710" s="7">
        <v>5</v>
      </c>
      <c r="R710" s="7" t="str">
        <f>IF(AllData[[#This Row],[Nitrate (PPM)]]&gt;2, "Very high", IF(AllData[[#This Row],[Nitrate (PPM)]]&gt;1, "High", IF(AllData[[#This Row],[Nitrate (PPM)]]&gt;0.5, "Some evidence", IF(AllData[[#This Row],[Nitrate (PPM)]]&gt;=0, "No evidence"))))</f>
        <v>Very high</v>
      </c>
      <c r="S710" s="135">
        <v>0.47</v>
      </c>
      <c r="T710" s="7" t="str">
        <f>IF(AllData[[#This Row],[Phosphate (PPM)]]&gt;0.5, "Very high", IF(AllData[[#This Row],[Phosphate (PPM)]]&gt;0.1, "High", IF(AllData[[#This Row],[Phosphate (PPM)]]&gt;0.05, "Some evidence", IF(AllData[[#This Row],[Phosphate (PPM)]]&lt;=0.05, "No Evidence", ""))))</f>
        <v>High</v>
      </c>
      <c r="U710">
        <v>0.3</v>
      </c>
      <c r="V710" t="s">
        <v>765</v>
      </c>
    </row>
    <row r="711" spans="1:22" x14ac:dyDescent="0.25">
      <c r="A711" t="s">
        <v>1020</v>
      </c>
      <c r="B711" s="2">
        <v>45403</v>
      </c>
      <c r="C711" s="2" t="str" cm="1">
        <f t="array" ref="C7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1">
        <f>YEAR(AllData[[#This Row],[Date]])</f>
        <v>2024</v>
      </c>
      <c r="E711" s="1">
        <v>0.47222222222222221</v>
      </c>
      <c r="F711" s="2" t="str">
        <f>IF(AND(AllData[[#This Row],[Time]]&lt;0.5, AllData[[#This Row],[Time]]&gt;0.17)=TRUE, "Morning", IF(AND(AllData[[#This Row],[Time]]&lt;0.75, AllData[[#This Row],[Time]]&gt;=0.5)=TRUE, "Afternoon", IF(AND(AllData[[#This Row],[Time]]&lt;1, AllData[[#This Row],[Time]]&gt;=0.75)=TRUE, "Evening", "Night")))</f>
        <v>Morning</v>
      </c>
      <c r="G711" t="str">
        <f>_xlfn.XLOOKUP(AllData[[#This Row],[Location Name]], Locations[Location Name],Locations[Group As])</f>
        <v>Lucy's Mill Bridge</v>
      </c>
      <c r="H711" t="e" vm="2">
        <f>_xlfn.XLOOKUP(AllData[[#This Row],[Site Name]],LocationsKey[Site Name],LocationsKey[District])</f>
        <v>#VALUE!</v>
      </c>
      <c r="I711" t="e" vm="7">
        <f>_xlfn.XLOOKUP(AllData[[#This Row],[Site Name]],LocationsKey[Site Name],LocationsKey[Town])</f>
        <v>#VALUE!</v>
      </c>
      <c r="J711" t="str">
        <f>_xlfn.XLOOKUP(AllData[[#This Row],[Site Name]],LocationsKey[Site Name], LocationsKey[Waterway])</f>
        <v>Avon</v>
      </c>
      <c r="K711" t="s">
        <v>216</v>
      </c>
      <c r="L711">
        <v>52.183698999999997</v>
      </c>
      <c r="M711">
        <v>-1.707816</v>
      </c>
      <c r="N711" t="s">
        <v>29</v>
      </c>
      <c r="O711" s="128"/>
      <c r="P711">
        <v>13</v>
      </c>
      <c r="Q711" s="128">
        <v>10</v>
      </c>
      <c r="R711" s="7" t="str">
        <f>IF(AllData[[#This Row],[Nitrate (PPM)]]&gt;2, "Very high", IF(AllData[[#This Row],[Nitrate (PPM)]]&gt;1, "High", IF(AllData[[#This Row],[Nitrate (PPM)]]&gt;0.5, "Some evidence", IF(AllData[[#This Row],[Nitrate (PPM)]]&gt;=0, "No evidence"))))</f>
        <v>Very high</v>
      </c>
      <c r="S711" s="134">
        <v>0.26</v>
      </c>
      <c r="T711" s="7" t="str">
        <f>IF(AllData[[#This Row],[Phosphate (PPM)]]&gt;0.5, "Very high", IF(AllData[[#This Row],[Phosphate (PPM)]]&gt;0.1, "High", IF(AllData[[#This Row],[Phosphate (PPM)]]&gt;0.05, "Some evidence", IF(AllData[[#This Row],[Phosphate (PPM)]]&lt;=0.05, "No Evidence", ""))))</f>
        <v>High</v>
      </c>
      <c r="U711">
        <v>0.7</v>
      </c>
    </row>
    <row r="712" spans="1:22" x14ac:dyDescent="0.25">
      <c r="A712" t="s">
        <v>1012</v>
      </c>
      <c r="B712" s="2">
        <v>45403</v>
      </c>
      <c r="C712" s="2" t="str" cm="1">
        <f t="array" ref="C7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2">
        <f>YEAR(AllData[[#This Row],[Date]])</f>
        <v>2024</v>
      </c>
      <c r="E712" s="1">
        <v>0.57291666666666663</v>
      </c>
      <c r="F712" s="2" t="str">
        <f>IF(AND(AllData[[#This Row],[Time]]&lt;0.5, AllData[[#This Row],[Time]]&gt;0.17)=TRUE, "Morning", IF(AND(AllData[[#This Row],[Time]]&lt;0.75, AllData[[#This Row],[Time]]&gt;=0.5)=TRUE, "Afternoon", IF(AND(AllData[[#This Row],[Time]]&lt;1, AllData[[#This Row],[Time]]&gt;=0.75)=TRUE, "Evening", "Night")))</f>
        <v>Afternoon</v>
      </c>
      <c r="G712" t="str">
        <f>_xlfn.XLOOKUP(AllData[[#This Row],[Location Name]], Locations[Location Name],Locations[Group As])</f>
        <v>Clifford Chambers Mill Bridge</v>
      </c>
      <c r="H712" t="e" vm="2">
        <f>_xlfn.XLOOKUP(AllData[[#This Row],[Site Name]],LocationsKey[Site Name],LocationsKey[District])</f>
        <v>#VALUE!</v>
      </c>
      <c r="I712" t="e" vm="12">
        <f>_xlfn.XLOOKUP(AllData[[#This Row],[Site Name]],LocationsKey[Site Name],LocationsKey[Town])</f>
        <v>#VALUE!</v>
      </c>
      <c r="J712" t="str">
        <f>_xlfn.XLOOKUP(AllData[[#This Row],[Site Name]],LocationsKey[Site Name], LocationsKey[Waterway])</f>
        <v>Stour</v>
      </c>
      <c r="K712" t="s">
        <v>263</v>
      </c>
      <c r="L712">
        <v>52.166370000000001</v>
      </c>
      <c r="M712">
        <v>-1.708032</v>
      </c>
      <c r="N712" t="s">
        <v>66</v>
      </c>
      <c r="O712" s="7">
        <v>659</v>
      </c>
      <c r="P712">
        <v>12.5</v>
      </c>
      <c r="Q712" s="7">
        <v>8</v>
      </c>
      <c r="R712" s="7" t="str">
        <f>IF(AllData[[#This Row],[Nitrate (PPM)]]&gt;2, "Very high", IF(AllData[[#This Row],[Nitrate (PPM)]]&gt;1, "High", IF(AllData[[#This Row],[Nitrate (PPM)]]&gt;0.5, "Some evidence", IF(AllData[[#This Row],[Nitrate (PPM)]]&gt;=0, "No evidence"))))</f>
        <v>Very high</v>
      </c>
      <c r="S712" s="135">
        <v>0.14000000000000001</v>
      </c>
      <c r="T712" s="7" t="str">
        <f>IF(AllData[[#This Row],[Phosphate (PPM)]]&gt;0.5, "Very high", IF(AllData[[#This Row],[Phosphate (PPM)]]&gt;0.1, "High", IF(AllData[[#This Row],[Phosphate (PPM)]]&gt;0.05, "Some evidence", IF(AllData[[#This Row],[Phosphate (PPM)]]&lt;=0.05, "No Evidence", ""))))</f>
        <v>High</v>
      </c>
      <c r="U712">
        <v>0.8</v>
      </c>
    </row>
    <row r="713" spans="1:22" x14ac:dyDescent="0.25">
      <c r="A713" t="s">
        <v>1013</v>
      </c>
      <c r="B713" s="2">
        <v>45403</v>
      </c>
      <c r="C713" s="2" t="str" cm="1">
        <f t="array" ref="C7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3">
        <f>YEAR(AllData[[#This Row],[Date]])</f>
        <v>2024</v>
      </c>
      <c r="E713" s="1">
        <v>0.58472222222222225</v>
      </c>
      <c r="F713" s="2" t="str">
        <f>IF(AND(AllData[[#This Row],[Time]]&lt;0.5, AllData[[#This Row],[Time]]&gt;0.17)=TRUE, "Morning", IF(AND(AllData[[#This Row],[Time]]&lt;0.75, AllData[[#This Row],[Time]]&gt;=0.5)=TRUE, "Afternoon", IF(AND(AllData[[#This Row],[Time]]&lt;1, AllData[[#This Row],[Time]]&gt;=0.75)=TRUE, "Evening", "Night")))</f>
        <v>Afternoon</v>
      </c>
      <c r="G713" t="str">
        <f>_xlfn.XLOOKUP(AllData[[#This Row],[Location Name]], Locations[Location Name],Locations[Group As])</f>
        <v>Carrant Mitton Path</v>
      </c>
      <c r="H713" t="e" vm="1">
        <f>_xlfn.XLOOKUP(AllData[[#This Row],[Site Name]],LocationsKey[Site Name],LocationsKey[District])</f>
        <v>#VALUE!</v>
      </c>
      <c r="I713" t="e" vm="1">
        <f>_xlfn.XLOOKUP(AllData[[#This Row],[Site Name]],LocationsKey[Site Name],LocationsKey[Town])</f>
        <v>#VALUE!</v>
      </c>
      <c r="J713" t="str">
        <f>_xlfn.XLOOKUP(AllData[[#This Row],[Site Name]],LocationsKey[Site Name], LocationsKey[Waterway])</f>
        <v>Carrant</v>
      </c>
      <c r="K713" t="s">
        <v>958</v>
      </c>
      <c r="L713">
        <v>52.000030000000002</v>
      </c>
      <c r="M713">
        <v>-2.141861</v>
      </c>
      <c r="N713" t="s">
        <v>23</v>
      </c>
      <c r="O713" s="7">
        <v>525</v>
      </c>
      <c r="P713">
        <v>12.3</v>
      </c>
      <c r="Q713" s="7">
        <v>9</v>
      </c>
      <c r="R713" s="7" t="str">
        <f>IF(AllData[[#This Row],[Nitrate (PPM)]]&gt;2, "Very high", IF(AllData[[#This Row],[Nitrate (PPM)]]&gt;1, "High", IF(AllData[[#This Row],[Nitrate (PPM)]]&gt;0.5, "Some evidence", IF(AllData[[#This Row],[Nitrate (PPM)]]&gt;=0, "No evidence"))))</f>
        <v>Very high</v>
      </c>
      <c r="S713" s="135">
        <v>0.28000000000000003</v>
      </c>
      <c r="T713" s="7" t="str">
        <f>IF(AllData[[#This Row],[Phosphate (PPM)]]&gt;0.5, "Very high", IF(AllData[[#This Row],[Phosphate (PPM)]]&gt;0.1, "High", IF(AllData[[#This Row],[Phosphate (PPM)]]&gt;0.05, "Some evidence", IF(AllData[[#This Row],[Phosphate (PPM)]]&lt;=0.05, "No Evidence", ""))))</f>
        <v>High</v>
      </c>
      <c r="U713">
        <v>0</v>
      </c>
    </row>
    <row r="714" spans="1:22" x14ac:dyDescent="0.25">
      <c r="A714" t="s">
        <v>1014</v>
      </c>
      <c r="B714" s="2">
        <v>45403</v>
      </c>
      <c r="C714" s="2" t="str" cm="1">
        <f t="array" ref="C7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4">
        <f>YEAR(AllData[[#This Row],[Date]])</f>
        <v>2024</v>
      </c>
      <c r="E714" s="1">
        <v>0.59652777777777777</v>
      </c>
      <c r="F714" s="2" t="str">
        <f>IF(AND(AllData[[#This Row],[Time]]&lt;0.5, AllData[[#This Row],[Time]]&gt;0.17)=TRUE, "Morning", IF(AND(AllData[[#This Row],[Time]]&lt;0.75, AllData[[#This Row],[Time]]&gt;=0.5)=TRUE, "Afternoon", IF(AND(AllData[[#This Row],[Time]]&lt;1, AllData[[#This Row],[Time]]&gt;=0.75)=TRUE, "Evening", "Night")))</f>
        <v>Afternoon</v>
      </c>
      <c r="G714" t="str">
        <f>_xlfn.XLOOKUP(AllData[[#This Row],[Location Name]], Locations[Location Name],Locations[Group As])</f>
        <v>Carrant M5 Bridge</v>
      </c>
      <c r="H714" t="e" vm="1">
        <f>_xlfn.XLOOKUP(AllData[[#This Row],[Site Name]],LocationsKey[Site Name],LocationsKey[District])</f>
        <v>#VALUE!</v>
      </c>
      <c r="I714" t="e" vm="1">
        <f>_xlfn.XLOOKUP(AllData[[#This Row],[Site Name]],LocationsKey[Site Name],LocationsKey[Town])</f>
        <v>#VALUE!</v>
      </c>
      <c r="J714" t="str">
        <f>_xlfn.XLOOKUP(AllData[[#This Row],[Site Name]],LocationsKey[Site Name], LocationsKey[Waterway])</f>
        <v>Carrant</v>
      </c>
      <c r="K714" t="s">
        <v>1015</v>
      </c>
      <c r="L714">
        <v>52.019897999999998</v>
      </c>
      <c r="M714">
        <v>-2.136495</v>
      </c>
      <c r="N714" t="s">
        <v>23</v>
      </c>
      <c r="O714" s="7">
        <v>747</v>
      </c>
      <c r="P714">
        <v>12.4</v>
      </c>
      <c r="Q714" s="7">
        <v>5</v>
      </c>
      <c r="R714" s="7" t="str">
        <f>IF(AllData[[#This Row],[Nitrate (PPM)]]&gt;2, "Very high", IF(AllData[[#This Row],[Nitrate (PPM)]]&gt;1, "High", IF(AllData[[#This Row],[Nitrate (PPM)]]&gt;0.5, "Some evidence", IF(AllData[[#This Row],[Nitrate (PPM)]]&gt;=0, "No evidence"))))</f>
        <v>Very high</v>
      </c>
      <c r="S714" s="135">
        <v>0.32</v>
      </c>
      <c r="T714" s="7" t="str">
        <f>IF(AllData[[#This Row],[Phosphate (PPM)]]&gt;0.5, "Very high", IF(AllData[[#This Row],[Phosphate (PPM)]]&gt;0.1, "High", IF(AllData[[#This Row],[Phosphate (PPM)]]&gt;0.05, "Some evidence", IF(AllData[[#This Row],[Phosphate (PPM)]]&lt;=0.05, "No Evidence", ""))))</f>
        <v>High</v>
      </c>
      <c r="U714">
        <v>0</v>
      </c>
    </row>
    <row r="715" spans="1:22" x14ac:dyDescent="0.25">
      <c r="A715" t="s">
        <v>1016</v>
      </c>
      <c r="B715" s="2">
        <v>45403</v>
      </c>
      <c r="C715" s="2" t="str" cm="1">
        <f t="array" ref="C7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5">
        <f>YEAR(AllData[[#This Row],[Date]])</f>
        <v>2024</v>
      </c>
      <c r="E715" s="1">
        <v>0.61458333333333337</v>
      </c>
      <c r="F715" s="2" t="str">
        <f>IF(AND(AllData[[#This Row],[Time]]&lt;0.5, AllData[[#This Row],[Time]]&gt;0.17)=TRUE, "Morning", IF(AND(AllData[[#This Row],[Time]]&lt;0.75, AllData[[#This Row],[Time]]&gt;=0.5)=TRUE, "Afternoon", IF(AND(AllData[[#This Row],[Time]]&lt;1, AllData[[#This Row],[Time]]&gt;=0.75)=TRUE, "Evening", "Night")))</f>
        <v>Afternoon</v>
      </c>
      <c r="G715" t="str">
        <f>_xlfn.XLOOKUP(AllData[[#This Row],[Location Name]], Locations[Location Name],Locations[Group As])</f>
        <v>Sherbourne Brook 1</v>
      </c>
      <c r="H715" t="e" vm="2">
        <f>_xlfn.XLOOKUP(AllData[[#This Row],[Site Name]],LocationsKey[Site Name],LocationsKey[District])</f>
        <v>#VALUE!</v>
      </c>
      <c r="I715" t="e" vm="16">
        <f>_xlfn.XLOOKUP(AllData[[#This Row],[Site Name]],LocationsKey[Site Name],LocationsKey[Town])</f>
        <v>#VALUE!</v>
      </c>
      <c r="J715" t="str">
        <f>_xlfn.XLOOKUP(AllData[[#This Row],[Site Name]],LocationsKey[Site Name], LocationsKey[Waterway])</f>
        <v>Sherbourne Brook</v>
      </c>
      <c r="K715" t="s">
        <v>570</v>
      </c>
      <c r="L715">
        <v>52.252499999999998</v>
      </c>
      <c r="M715">
        <v>-1.6685000000000001</v>
      </c>
      <c r="N715" t="s">
        <v>23</v>
      </c>
      <c r="O715" s="7">
        <v>1060</v>
      </c>
      <c r="P715">
        <v>11.1</v>
      </c>
      <c r="Q715" s="7">
        <v>6</v>
      </c>
      <c r="R715" s="7" t="str">
        <f>IF(AllData[[#This Row],[Nitrate (PPM)]]&gt;2, "Very high", IF(AllData[[#This Row],[Nitrate (PPM)]]&gt;1, "High", IF(AllData[[#This Row],[Nitrate (PPM)]]&gt;0.5, "Some evidence", IF(AllData[[#This Row],[Nitrate (PPM)]]&gt;=0, "No evidence"))))</f>
        <v>Very high</v>
      </c>
      <c r="S715" s="135">
        <v>0.56999999999999995</v>
      </c>
      <c r="T715" s="7" t="str">
        <f>IF(AllData[[#This Row],[Phosphate (PPM)]]&gt;0.5, "Very high", IF(AllData[[#This Row],[Phosphate (PPM)]]&gt;0.1, "High", IF(AllData[[#This Row],[Phosphate (PPM)]]&gt;0.05, "Some evidence", IF(AllData[[#This Row],[Phosphate (PPM)]]&lt;=0.05, "No Evidence", ""))))</f>
        <v>Very high</v>
      </c>
      <c r="U715">
        <v>0.2</v>
      </c>
    </row>
    <row r="716" spans="1:22" x14ac:dyDescent="0.25">
      <c r="A716" t="s">
        <v>1017</v>
      </c>
      <c r="B716" s="2">
        <v>45403</v>
      </c>
      <c r="C716" s="2" t="str" cm="1">
        <f t="array" ref="C7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6">
        <f>YEAR(AllData[[#This Row],[Date]])</f>
        <v>2024</v>
      </c>
      <c r="E716" s="1">
        <v>0.625</v>
      </c>
      <c r="F716" s="2" t="str">
        <f>IF(AND(AllData[[#This Row],[Time]]&lt;0.5, AllData[[#This Row],[Time]]&gt;0.17)=TRUE, "Morning", IF(AND(AllData[[#This Row],[Time]]&lt;0.75, AllData[[#This Row],[Time]]&gt;=0.5)=TRUE, "Afternoon", IF(AND(AllData[[#This Row],[Time]]&lt;1, AllData[[#This Row],[Time]]&gt;=0.75)=TRUE, "Evening", "Night")))</f>
        <v>Afternoon</v>
      </c>
      <c r="G716" t="str">
        <f>_xlfn.XLOOKUP(AllData[[#This Row],[Location Name]], Locations[Location Name],Locations[Group As])</f>
        <v>Bell Brook 1</v>
      </c>
      <c r="H716" t="e" vm="2">
        <f>_xlfn.XLOOKUP(AllData[[#This Row],[Site Name]],LocationsKey[Site Name],LocationsKey[District])</f>
        <v>#VALUE!</v>
      </c>
      <c r="I716" t="e" vm="15">
        <f>_xlfn.XLOOKUP(AllData[[#This Row],[Site Name]],LocationsKey[Site Name],LocationsKey[Town])</f>
        <v>#VALUE!</v>
      </c>
      <c r="J716" t="str">
        <f>_xlfn.XLOOKUP(AllData[[#This Row],[Site Name]],LocationsKey[Site Name], LocationsKey[Waterway])</f>
        <v>Bell Brook</v>
      </c>
      <c r="K716" t="s">
        <v>534</v>
      </c>
      <c r="L716">
        <v>52.244900000000001</v>
      </c>
      <c r="M716">
        <v>-1.6617</v>
      </c>
      <c r="N716" t="s">
        <v>23</v>
      </c>
      <c r="O716" s="7">
        <v>735</v>
      </c>
      <c r="P716">
        <v>13</v>
      </c>
      <c r="Q716" s="7">
        <v>5</v>
      </c>
      <c r="R716" s="7" t="str">
        <f>IF(AllData[[#This Row],[Nitrate (PPM)]]&gt;2, "Very high", IF(AllData[[#This Row],[Nitrate (PPM)]]&gt;1, "High", IF(AllData[[#This Row],[Nitrate (PPM)]]&gt;0.5, "Some evidence", IF(AllData[[#This Row],[Nitrate (PPM)]]&gt;=0, "No evidence"))))</f>
        <v>Very high</v>
      </c>
      <c r="S716" s="135">
        <v>0.43</v>
      </c>
      <c r="T716" s="7" t="str">
        <f>IF(AllData[[#This Row],[Phosphate (PPM)]]&gt;0.5, "Very high", IF(AllData[[#This Row],[Phosphate (PPM)]]&gt;0.1, "High", IF(AllData[[#This Row],[Phosphate (PPM)]]&gt;0.05, "Some evidence", IF(AllData[[#This Row],[Phosphate (PPM)]]&lt;=0.05, "No Evidence", ""))))</f>
        <v>High</v>
      </c>
      <c r="U716">
        <v>0.1</v>
      </c>
    </row>
    <row r="717" spans="1:22" x14ac:dyDescent="0.25">
      <c r="A717" t="s">
        <v>1018</v>
      </c>
      <c r="B717" s="2">
        <v>45403</v>
      </c>
      <c r="C717" s="2" t="str" cm="1">
        <f t="array" ref="C7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7">
        <f>YEAR(AllData[[#This Row],[Date]])</f>
        <v>2024</v>
      </c>
      <c r="E717" s="1">
        <v>0.68125000000000002</v>
      </c>
      <c r="F717" s="2" t="str">
        <f>IF(AND(AllData[[#This Row],[Time]]&lt;0.5, AllData[[#This Row],[Time]]&gt;0.17)=TRUE, "Morning", IF(AND(AllData[[#This Row],[Time]]&lt;0.75, AllData[[#This Row],[Time]]&gt;=0.5)=TRUE, "Afternoon", IF(AND(AllData[[#This Row],[Time]]&lt;1, AllData[[#This Row],[Time]]&gt;=0.75)=TRUE, "Evening", "Night")))</f>
        <v>Afternoon</v>
      </c>
      <c r="G717" t="str">
        <f>_xlfn.XLOOKUP(AllData[[#This Row],[Location Name]], Locations[Location Name],Locations[Group As])</f>
        <v>Black Bear</v>
      </c>
      <c r="H717" t="e" vm="1">
        <f>_xlfn.XLOOKUP(AllData[[#This Row],[Site Name]],LocationsKey[Site Name],LocationsKey[District])</f>
        <v>#VALUE!</v>
      </c>
      <c r="I717" t="e" vm="1">
        <f>_xlfn.XLOOKUP(AllData[[#This Row],[Site Name]],LocationsKey[Site Name],LocationsKey[Town])</f>
        <v>#VALUE!</v>
      </c>
      <c r="J717" t="str">
        <f>_xlfn.XLOOKUP(AllData[[#This Row],[Site Name]],LocationsKey[Site Name], LocationsKey[Waterway])</f>
        <v>Avon</v>
      </c>
      <c r="K717" t="s">
        <v>567</v>
      </c>
      <c r="N717" t="s">
        <v>23</v>
      </c>
      <c r="O717" s="7">
        <v>790</v>
      </c>
      <c r="P717">
        <v>15.4</v>
      </c>
      <c r="Q717" s="7">
        <v>10</v>
      </c>
      <c r="R717" s="7" t="str">
        <f>IF(AllData[[#This Row],[Nitrate (PPM)]]&gt;2, "Very high", IF(AllData[[#This Row],[Nitrate (PPM)]]&gt;1, "High", IF(AllData[[#This Row],[Nitrate (PPM)]]&gt;0.5, "Some evidence", IF(AllData[[#This Row],[Nitrate (PPM)]]&gt;=0, "No evidence"))))</f>
        <v>Very high</v>
      </c>
      <c r="S717" s="135">
        <v>0.45</v>
      </c>
      <c r="T717" s="7" t="str">
        <f>IF(AllData[[#This Row],[Phosphate (PPM)]]&gt;0.5, "Very high", IF(AllData[[#This Row],[Phosphate (PPM)]]&gt;0.1, "High", IF(AllData[[#This Row],[Phosphate (PPM)]]&gt;0.05, "Some evidence", IF(AllData[[#This Row],[Phosphate (PPM)]]&lt;=0.05, "No Evidence", ""))))</f>
        <v>High</v>
      </c>
      <c r="U717">
        <v>0</v>
      </c>
    </row>
    <row r="718" spans="1:22" x14ac:dyDescent="0.25">
      <c r="A718" t="s">
        <v>1019</v>
      </c>
      <c r="B718" s="2">
        <v>45403</v>
      </c>
      <c r="C718" s="2" t="str" cm="1">
        <f t="array" ref="C7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8">
        <f>YEAR(AllData[[#This Row],[Date]])</f>
        <v>2024</v>
      </c>
      <c r="E718" s="1">
        <v>0.73055555555555551</v>
      </c>
      <c r="F718" s="2" t="str">
        <f>IF(AND(AllData[[#This Row],[Time]]&lt;0.5, AllData[[#This Row],[Time]]&gt;0.17)=TRUE, "Morning", IF(AND(AllData[[#This Row],[Time]]&lt;0.75, AllData[[#This Row],[Time]]&gt;=0.5)=TRUE, "Afternoon", IF(AND(AllData[[#This Row],[Time]]&lt;1, AllData[[#This Row],[Time]]&gt;=0.75)=TRUE, "Evening", "Night")))</f>
        <v>Afternoon</v>
      </c>
      <c r="G718" t="str">
        <f>_xlfn.XLOOKUP(AllData[[#This Row],[Location Name]], Locations[Location Name],Locations[Group As])</f>
        <v>Pershore Bridges</v>
      </c>
      <c r="H718" t="e" vm="17">
        <f>_xlfn.XLOOKUP(AllData[[#This Row],[Site Name]],LocationsKey[Site Name],LocationsKey[District])</f>
        <v>#VALUE!</v>
      </c>
      <c r="I718" t="e" vm="18">
        <f>_xlfn.XLOOKUP(AllData[[#This Row],[Site Name]],LocationsKey[Site Name],LocationsKey[Town])</f>
        <v>#VALUE!</v>
      </c>
      <c r="J718" t="str">
        <f>_xlfn.XLOOKUP(AllData[[#This Row],[Site Name]],LocationsKey[Site Name], LocationsKey[Waterway])</f>
        <v>Avon</v>
      </c>
      <c r="K718" t="s">
        <v>581</v>
      </c>
      <c r="L718">
        <v>52.104089999999999</v>
      </c>
      <c r="M718">
        <v>-2.0707499999999999</v>
      </c>
      <c r="O718" s="7">
        <v>877</v>
      </c>
      <c r="P718">
        <v>13.2</v>
      </c>
      <c r="Q718" s="7">
        <v>5</v>
      </c>
      <c r="R718" s="7" t="str">
        <f>IF(AllData[[#This Row],[Nitrate (PPM)]]&gt;2, "Very high", IF(AllData[[#This Row],[Nitrate (PPM)]]&gt;1, "High", IF(AllData[[#This Row],[Nitrate (PPM)]]&gt;0.5, "Some evidence", IF(AllData[[#This Row],[Nitrate (PPM)]]&gt;=0, "No evidence"))))</f>
        <v>Very high</v>
      </c>
      <c r="S718" s="135">
        <v>0.46</v>
      </c>
      <c r="T718" s="7" t="str">
        <f>IF(AllData[[#This Row],[Phosphate (PPM)]]&gt;0.5, "Very high", IF(AllData[[#This Row],[Phosphate (PPM)]]&gt;0.1, "High", IF(AllData[[#This Row],[Phosphate (PPM)]]&gt;0.05, "Some evidence", IF(AllData[[#This Row],[Phosphate (PPM)]]&lt;=0.05, "No Evidence", ""))))</f>
        <v>High</v>
      </c>
      <c r="U718">
        <v>3.38</v>
      </c>
    </row>
    <row r="719" spans="1:22" x14ac:dyDescent="0.25">
      <c r="A719" t="s">
        <v>1021</v>
      </c>
      <c r="B719" s="2">
        <v>45404</v>
      </c>
      <c r="C719" s="2" t="str" cm="1">
        <f t="array" ref="C7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9">
        <f>YEAR(AllData[[#This Row],[Date]])</f>
        <v>2024</v>
      </c>
      <c r="E719" s="1">
        <v>0.36875000000000002</v>
      </c>
      <c r="F719" s="2" t="str">
        <f>IF(AND(AllData[[#This Row],[Time]]&lt;0.5, AllData[[#This Row],[Time]]&gt;0.17)=TRUE, "Morning", IF(AND(AllData[[#This Row],[Time]]&lt;0.75, AllData[[#This Row],[Time]]&gt;=0.5)=TRUE, "Afternoon", IF(AND(AllData[[#This Row],[Time]]&lt;1, AllData[[#This Row],[Time]]&gt;=0.75)=TRUE, "Evening", "Night")))</f>
        <v>Morning</v>
      </c>
      <c r="G719" t="str">
        <f>_xlfn.XLOOKUP(AllData[[#This Row],[Location Name]], Locations[Location Name],Locations[Group As])</f>
        <v>Stour Stretton-on-Fosse Village</v>
      </c>
      <c r="H719" t="e" vm="2">
        <f>_xlfn.XLOOKUP(AllData[[#This Row],[Site Name]],LocationsKey[Site Name],LocationsKey[District])</f>
        <v>#VALUE!</v>
      </c>
      <c r="I719" t="e" vm="14">
        <f>_xlfn.XLOOKUP(AllData[[#This Row],[Site Name]],LocationsKey[Site Name],LocationsKey[Town])</f>
        <v>#VALUE!</v>
      </c>
      <c r="J719" t="str">
        <f>_xlfn.XLOOKUP(AllData[[#This Row],[Site Name]],LocationsKey[Site Name], LocationsKey[Waterway])</f>
        <v>Stour</v>
      </c>
      <c r="K719" t="s">
        <v>544</v>
      </c>
      <c r="L719">
        <v>52.046478</v>
      </c>
      <c r="M719">
        <v>-1.67333</v>
      </c>
      <c r="N719" t="s">
        <v>66</v>
      </c>
      <c r="O719" s="7">
        <v>732</v>
      </c>
      <c r="P719">
        <v>8.6</v>
      </c>
      <c r="Q719" s="7">
        <v>2</v>
      </c>
      <c r="R719" s="7" t="str">
        <f>IF(AllData[[#This Row],[Nitrate (PPM)]]&gt;2, "Very high", IF(AllData[[#This Row],[Nitrate (PPM)]]&gt;1, "High", IF(AllData[[#This Row],[Nitrate (PPM)]]&gt;0.5, "Some evidence", IF(AllData[[#This Row],[Nitrate (PPM)]]&gt;=0, "No evidence"))))</f>
        <v>High</v>
      </c>
      <c r="S719" s="135">
        <v>2.5</v>
      </c>
      <c r="T719" s="7" t="str">
        <f>IF(AllData[[#This Row],[Phosphate (PPM)]]&gt;0.5, "Very high", IF(AllData[[#This Row],[Phosphate (PPM)]]&gt;0.1, "High", IF(AllData[[#This Row],[Phosphate (PPM)]]&gt;0.05, "Some evidence", IF(AllData[[#This Row],[Phosphate (PPM)]]&lt;=0.05, "No Evidence", ""))))</f>
        <v>Very high</v>
      </c>
      <c r="U719">
        <v>0.2</v>
      </c>
    </row>
    <row r="720" spans="1:22" x14ac:dyDescent="0.25">
      <c r="A720" t="s">
        <v>1022</v>
      </c>
      <c r="B720" s="2">
        <v>45404</v>
      </c>
      <c r="C720" s="2" t="str" cm="1">
        <f t="array" ref="C7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0">
        <f>YEAR(AllData[[#This Row],[Date]])</f>
        <v>2024</v>
      </c>
      <c r="E720" s="1">
        <v>0.375</v>
      </c>
      <c r="F720" s="2" t="str">
        <f>IF(AND(AllData[[#This Row],[Time]]&lt;0.5, AllData[[#This Row],[Time]]&gt;0.17)=TRUE, "Morning", IF(AND(AllData[[#This Row],[Time]]&lt;0.75, AllData[[#This Row],[Time]]&gt;=0.5)=TRUE, "Afternoon", IF(AND(AllData[[#This Row],[Time]]&lt;1, AllData[[#This Row],[Time]]&gt;=0.75)=TRUE, "Evening", "Night")))</f>
        <v>Morning</v>
      </c>
      <c r="G720" t="str">
        <f>_xlfn.XLOOKUP(AllData[[#This Row],[Location Name]], Locations[Location Name],Locations[Group As])</f>
        <v>Stour Stretton-on-Fosse Sewage Works</v>
      </c>
      <c r="H720" t="e" vm="2">
        <f>_xlfn.XLOOKUP(AllData[[#This Row],[Site Name]],LocationsKey[Site Name],LocationsKey[District])</f>
        <v>#VALUE!</v>
      </c>
      <c r="I720" t="e" vm="14">
        <f>_xlfn.XLOOKUP(AllData[[#This Row],[Site Name]],LocationsKey[Site Name],LocationsKey[Town])</f>
        <v>#VALUE!</v>
      </c>
      <c r="J720" t="str">
        <f>_xlfn.XLOOKUP(AllData[[#This Row],[Site Name]],LocationsKey[Site Name], LocationsKey[Waterway])</f>
        <v>Stour</v>
      </c>
      <c r="K720" t="s">
        <v>335</v>
      </c>
      <c r="L720">
        <v>52.045648999999997</v>
      </c>
      <c r="M720">
        <v>-1.671883</v>
      </c>
      <c r="N720" t="s">
        <v>29</v>
      </c>
      <c r="O720" s="7">
        <v>798</v>
      </c>
      <c r="P720">
        <v>8.1999999999999993</v>
      </c>
      <c r="Q720" s="7">
        <v>2</v>
      </c>
      <c r="R720" s="7" t="str">
        <f>IF(AllData[[#This Row],[Nitrate (PPM)]]&gt;2, "Very high", IF(AllData[[#This Row],[Nitrate (PPM)]]&gt;1, "High", IF(AllData[[#This Row],[Nitrate (PPM)]]&gt;0.5, "Some evidence", IF(AllData[[#This Row],[Nitrate (PPM)]]&gt;=0, "No evidence"))))</f>
        <v>High</v>
      </c>
      <c r="S720" s="135">
        <v>2.5</v>
      </c>
      <c r="T720" s="7" t="str">
        <f>IF(AllData[[#This Row],[Phosphate (PPM)]]&gt;0.5, "Very high", IF(AllData[[#This Row],[Phosphate (PPM)]]&gt;0.1, "High", IF(AllData[[#This Row],[Phosphate (PPM)]]&gt;0.05, "Some evidence", IF(AllData[[#This Row],[Phosphate (PPM)]]&lt;=0.05, "No Evidence", ""))))</f>
        <v>Very high</v>
      </c>
      <c r="U720">
        <v>0.25</v>
      </c>
      <c r="V720" t="s">
        <v>1023</v>
      </c>
    </row>
    <row r="721" spans="1:22" x14ac:dyDescent="0.25">
      <c r="A721" t="s">
        <v>1024</v>
      </c>
      <c r="B721" s="2">
        <v>45404</v>
      </c>
      <c r="C721" s="2" t="str" cm="1">
        <f t="array" ref="C7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1">
        <f>YEAR(AllData[[#This Row],[Date]])</f>
        <v>2024</v>
      </c>
      <c r="E721" s="1">
        <v>0.61805555555555558</v>
      </c>
      <c r="F721" s="2" t="str">
        <f>IF(AND(AllData[[#This Row],[Time]]&lt;0.5, AllData[[#This Row],[Time]]&gt;0.17)=TRUE, "Morning", IF(AND(AllData[[#This Row],[Time]]&lt;0.75, AllData[[#This Row],[Time]]&gt;=0.5)=TRUE, "Afternoon", IF(AND(AllData[[#This Row],[Time]]&lt;1, AllData[[#This Row],[Time]]&gt;=0.75)=TRUE, "Evening", "Night")))</f>
        <v>Afternoon</v>
      </c>
      <c r="G721" t="str">
        <f>_xlfn.XLOOKUP(AllData[[#This Row],[Location Name]], Locations[Location Name],Locations[Group As])</f>
        <v>Alveston Weir</v>
      </c>
      <c r="H721" t="e" vm="2">
        <f>_xlfn.XLOOKUP(AllData[[#This Row],[Site Name]],LocationsKey[Site Name],LocationsKey[District])</f>
        <v>#VALUE!</v>
      </c>
      <c r="I721" t="e" vm="13">
        <f>_xlfn.XLOOKUP(AllData[[#This Row],[Site Name]],LocationsKey[Site Name],LocationsKey[Town])</f>
        <v>#VALUE!</v>
      </c>
      <c r="J721" t="str">
        <f>_xlfn.XLOOKUP(AllData[[#This Row],[Site Name]],LocationsKey[Site Name], LocationsKey[Waterway])</f>
        <v>Avon</v>
      </c>
      <c r="K721" t="s">
        <v>286</v>
      </c>
      <c r="L721">
        <v>52.214260000000003</v>
      </c>
      <c r="M721">
        <v>-1.660045</v>
      </c>
      <c r="N721" t="s">
        <v>29</v>
      </c>
      <c r="O721" s="7">
        <v>689</v>
      </c>
      <c r="P721">
        <v>12</v>
      </c>
      <c r="Q721" s="7">
        <v>10</v>
      </c>
      <c r="R721" s="7" t="str">
        <f>IF(AllData[[#This Row],[Nitrate (PPM)]]&gt;2, "Very high", IF(AllData[[#This Row],[Nitrate (PPM)]]&gt;1, "High", IF(AllData[[#This Row],[Nitrate (PPM)]]&gt;0.5, "Some evidence", IF(AllData[[#This Row],[Nitrate (PPM)]]&gt;=0, "No evidence"))))</f>
        <v>Very high</v>
      </c>
      <c r="S721" s="135">
        <v>0.17</v>
      </c>
      <c r="T721" s="7" t="str">
        <f>IF(AllData[[#This Row],[Phosphate (PPM)]]&gt;0.5, "Very high", IF(AllData[[#This Row],[Phosphate (PPM)]]&gt;0.1, "High", IF(AllData[[#This Row],[Phosphate (PPM)]]&gt;0.05, "Some evidence", IF(AllData[[#This Row],[Phosphate (PPM)]]&lt;=0.05, "No Evidence", ""))))</f>
        <v>High</v>
      </c>
      <c r="U721">
        <v>0</v>
      </c>
    </row>
    <row r="722" spans="1:22" x14ac:dyDescent="0.25">
      <c r="A722" t="s">
        <v>1025</v>
      </c>
      <c r="B722" s="2">
        <v>45404</v>
      </c>
      <c r="C722" s="2" t="str" cm="1">
        <f t="array" ref="C7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2">
        <f>YEAR(AllData[[#This Row],[Date]])</f>
        <v>2024</v>
      </c>
      <c r="E722" s="1">
        <v>0.62152777777777779</v>
      </c>
      <c r="F722" s="2" t="str">
        <f>IF(AND(AllData[[#This Row],[Time]]&lt;0.5, AllData[[#This Row],[Time]]&gt;0.17)=TRUE, "Morning", IF(AND(AllData[[#This Row],[Time]]&lt;0.75, AllData[[#This Row],[Time]]&gt;=0.5)=TRUE, "Afternoon", IF(AND(AllData[[#This Row],[Time]]&lt;1, AllData[[#This Row],[Time]]&gt;=0.75)=TRUE, "Evening", "Night")))</f>
        <v>Afternoon</v>
      </c>
      <c r="G722" t="str">
        <f>_xlfn.XLOOKUP(AllData[[#This Row],[Location Name]], Locations[Location Name],Locations[Group As])</f>
        <v>Swiffen Bank</v>
      </c>
      <c r="H722" t="e" vm="2">
        <f>_xlfn.XLOOKUP(AllData[[#This Row],[Site Name]],LocationsKey[Site Name],LocationsKey[District])</f>
        <v>#VALUE!</v>
      </c>
      <c r="I722" t="e" vm="13">
        <f>_xlfn.XLOOKUP(AllData[[#This Row],[Site Name]],LocationsKey[Site Name],LocationsKey[Town])</f>
        <v>#VALUE!</v>
      </c>
      <c r="J722" t="str">
        <f>_xlfn.XLOOKUP(AllData[[#This Row],[Site Name]],LocationsKey[Site Name], LocationsKey[Waterway])</f>
        <v>Avon</v>
      </c>
      <c r="K722" t="s">
        <v>284</v>
      </c>
      <c r="L722">
        <v>52.206477999999997</v>
      </c>
      <c r="M722">
        <v>-1.653894</v>
      </c>
      <c r="N722" t="s">
        <v>29</v>
      </c>
      <c r="O722" s="7">
        <v>685</v>
      </c>
      <c r="P722">
        <v>12</v>
      </c>
      <c r="Q722" s="7">
        <v>10</v>
      </c>
      <c r="R722" s="7" t="str">
        <f>IF(AllData[[#This Row],[Nitrate (PPM)]]&gt;2, "Very high", IF(AllData[[#This Row],[Nitrate (PPM)]]&gt;1, "High", IF(AllData[[#This Row],[Nitrate (PPM)]]&gt;0.5, "Some evidence", IF(AllData[[#This Row],[Nitrate (PPM)]]&gt;=0, "No evidence"))))</f>
        <v>Very high</v>
      </c>
      <c r="S722" s="135">
        <v>0.35</v>
      </c>
      <c r="T722" s="7" t="str">
        <f>IF(AllData[[#This Row],[Phosphate (PPM)]]&gt;0.5, "Very high", IF(AllData[[#This Row],[Phosphate (PPM)]]&gt;0.1, "High", IF(AllData[[#This Row],[Phosphate (PPM)]]&gt;0.05, "Some evidence", IF(AllData[[#This Row],[Phosphate (PPM)]]&lt;=0.05, "No Evidence", ""))))</f>
        <v>High</v>
      </c>
      <c r="U722">
        <v>0</v>
      </c>
      <c r="V722" t="s">
        <v>1026</v>
      </c>
    </row>
    <row r="723" spans="1:22" x14ac:dyDescent="0.25">
      <c r="A723" t="s">
        <v>1027</v>
      </c>
      <c r="B723" s="2">
        <v>45405</v>
      </c>
      <c r="C723" s="2" t="str" cm="1">
        <f t="array" ref="C7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3">
        <f>YEAR(AllData[[#This Row],[Date]])</f>
        <v>2024</v>
      </c>
      <c r="E723" s="1">
        <v>0.45694444444444443</v>
      </c>
      <c r="F723" s="2" t="str">
        <f>IF(AND(AllData[[#This Row],[Time]]&lt;0.5, AllData[[#This Row],[Time]]&gt;0.17)=TRUE, "Morning", IF(AND(AllData[[#This Row],[Time]]&lt;0.75, AllData[[#This Row],[Time]]&gt;=0.5)=TRUE, "Afternoon", IF(AND(AllData[[#This Row],[Time]]&lt;1, AllData[[#This Row],[Time]]&gt;=0.75)=TRUE, "Evening", "Night")))</f>
        <v>Morning</v>
      </c>
      <c r="G723" t="str">
        <f>_xlfn.XLOOKUP(AllData[[#This Row],[Location Name]], Locations[Location Name],Locations[Group As])</f>
        <v>Carrant M5 Bridge</v>
      </c>
      <c r="H723" t="e" vm="1">
        <f>_xlfn.XLOOKUP(AllData[[#This Row],[Site Name]],LocationsKey[Site Name],LocationsKey[District])</f>
        <v>#VALUE!</v>
      </c>
      <c r="I723" t="e" vm="1">
        <f>_xlfn.XLOOKUP(AllData[[#This Row],[Site Name]],LocationsKey[Site Name],LocationsKey[Town])</f>
        <v>#VALUE!</v>
      </c>
      <c r="J723" t="str">
        <f>_xlfn.XLOOKUP(AllData[[#This Row],[Site Name]],LocationsKey[Site Name], LocationsKey[Waterway])</f>
        <v>Carrant</v>
      </c>
      <c r="K723" t="s">
        <v>1015</v>
      </c>
      <c r="L723">
        <v>52.011870000000002</v>
      </c>
      <c r="M723">
        <v>-2.120187</v>
      </c>
      <c r="N723" t="s">
        <v>23</v>
      </c>
      <c r="O723" s="7">
        <v>771</v>
      </c>
      <c r="P723">
        <v>11.1</v>
      </c>
      <c r="Q723" s="7">
        <v>5</v>
      </c>
      <c r="R723" s="7" t="str">
        <f>IF(AllData[[#This Row],[Nitrate (PPM)]]&gt;2, "Very high", IF(AllData[[#This Row],[Nitrate (PPM)]]&gt;1, "High", IF(AllData[[#This Row],[Nitrate (PPM)]]&gt;0.5, "Some evidence", IF(AllData[[#This Row],[Nitrate (PPM)]]&gt;=0, "No evidence"))))</f>
        <v>Very high</v>
      </c>
      <c r="S723" s="135">
        <v>0.4</v>
      </c>
      <c r="T723" s="7" t="str">
        <f>IF(AllData[[#This Row],[Phosphate (PPM)]]&gt;0.5, "Very high", IF(AllData[[#This Row],[Phosphate (PPM)]]&gt;0.1, "High", IF(AllData[[#This Row],[Phosphate (PPM)]]&gt;0.05, "Some evidence", IF(AllData[[#This Row],[Phosphate (PPM)]]&lt;=0.05, "No Evidence", ""))))</f>
        <v>High</v>
      </c>
      <c r="U723">
        <v>0</v>
      </c>
    </row>
    <row r="724" spans="1:22" x14ac:dyDescent="0.25">
      <c r="A724" t="s">
        <v>1028</v>
      </c>
      <c r="B724" s="2">
        <v>45405</v>
      </c>
      <c r="C724" s="2" t="str" cm="1">
        <f t="array" ref="C7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4">
        <f>YEAR(AllData[[#This Row],[Date]])</f>
        <v>2024</v>
      </c>
      <c r="E724" s="1">
        <v>0.61527777777777781</v>
      </c>
      <c r="F724" s="2" t="str">
        <f>IF(AND(AllData[[#This Row],[Time]]&lt;0.5, AllData[[#This Row],[Time]]&gt;0.17)=TRUE, "Morning", IF(AND(AllData[[#This Row],[Time]]&lt;0.75, AllData[[#This Row],[Time]]&gt;=0.5)=TRUE, "Afternoon", IF(AND(AllData[[#This Row],[Time]]&lt;1, AllData[[#This Row],[Time]]&gt;=0.75)=TRUE, "Evening", "Night")))</f>
        <v>Afternoon</v>
      </c>
      <c r="G724" t="str">
        <f>_xlfn.XLOOKUP(AllData[[#This Row],[Location Name]], Locations[Location Name],Locations[Group As])</f>
        <v>Abbey Mill</v>
      </c>
      <c r="H724" t="e" vm="1">
        <f>_xlfn.XLOOKUP(AllData[[#This Row],[Site Name]],LocationsKey[Site Name],LocationsKey[District])</f>
        <v>#VALUE!</v>
      </c>
      <c r="I724" t="e" vm="1">
        <f>_xlfn.XLOOKUP(AllData[[#This Row],[Site Name]],LocationsKey[Site Name],LocationsKey[Town])</f>
        <v>#VALUE!</v>
      </c>
      <c r="J724" t="str">
        <f>_xlfn.XLOOKUP(AllData[[#This Row],[Site Name]],LocationsKey[Site Name], LocationsKey[Waterway])</f>
        <v>Avon</v>
      </c>
      <c r="K724" t="s">
        <v>25</v>
      </c>
      <c r="L724">
        <v>51.991256999999997</v>
      </c>
      <c r="M724">
        <v>-2.1625000000000001</v>
      </c>
      <c r="N724" t="s">
        <v>23</v>
      </c>
      <c r="O724" s="7">
        <v>882</v>
      </c>
      <c r="P724">
        <v>13.7</v>
      </c>
      <c r="Q724" s="7">
        <v>7</v>
      </c>
      <c r="R724" s="7" t="str">
        <f>IF(AllData[[#This Row],[Nitrate (PPM)]]&gt;2, "Very high", IF(AllData[[#This Row],[Nitrate (PPM)]]&gt;1, "High", IF(AllData[[#This Row],[Nitrate (PPM)]]&gt;0.5, "Some evidence", IF(AllData[[#This Row],[Nitrate (PPM)]]&gt;=0, "No evidence"))))</f>
        <v>Very high</v>
      </c>
      <c r="S724" s="135">
        <v>0.6</v>
      </c>
      <c r="T724" s="7" t="str">
        <f>IF(AllData[[#This Row],[Phosphate (PPM)]]&gt;0.5, "Very high", IF(AllData[[#This Row],[Phosphate (PPM)]]&gt;0.1, "High", IF(AllData[[#This Row],[Phosphate (PPM)]]&gt;0.05, "Some evidence", IF(AllData[[#This Row],[Phosphate (PPM)]]&lt;=0.05, "No Evidence", ""))))</f>
        <v>Very high</v>
      </c>
      <c r="U724">
        <v>0.6</v>
      </c>
      <c r="V724" t="s">
        <v>1029</v>
      </c>
    </row>
    <row r="725" spans="1:22" x14ac:dyDescent="0.25">
      <c r="A725" t="s">
        <v>1030</v>
      </c>
      <c r="B725" s="2">
        <v>45406</v>
      </c>
      <c r="C725" s="2" t="str" cm="1">
        <f t="array" ref="C7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5">
        <f>YEAR(AllData[[#This Row],[Date]])</f>
        <v>2024</v>
      </c>
      <c r="E725" s="1">
        <v>0.625</v>
      </c>
      <c r="F725" s="2" t="str">
        <f>IF(AND(AllData[[#This Row],[Time]]&lt;0.5, AllData[[#This Row],[Time]]&gt;0.17)=TRUE, "Morning", IF(AND(AllData[[#This Row],[Time]]&lt;0.75, AllData[[#This Row],[Time]]&gt;=0.5)=TRUE, "Afternoon", IF(AND(AllData[[#This Row],[Time]]&lt;1, AllData[[#This Row],[Time]]&gt;=0.75)=TRUE, "Evening", "Night")))</f>
        <v>Afternoon</v>
      </c>
      <c r="G725" t="str">
        <f>_xlfn.XLOOKUP(AllData[[#This Row],[Location Name]], Locations[Location Name],Locations[Group As])</f>
        <v>Stour Newbold Mill</v>
      </c>
      <c r="H725" t="e" vm="2">
        <f>_xlfn.XLOOKUP(AllData[[#This Row],[Site Name]],LocationsKey[Site Name],LocationsKey[District])</f>
        <v>#VALUE!</v>
      </c>
      <c r="I725" t="e" vm="8">
        <f>_xlfn.XLOOKUP(AllData[[#This Row],[Site Name]],LocationsKey[Site Name],LocationsKey[Town])</f>
        <v>#VALUE!</v>
      </c>
      <c r="J725" t="str">
        <f>_xlfn.XLOOKUP(AllData[[#This Row],[Site Name]],LocationsKey[Site Name], LocationsKey[Waterway])</f>
        <v>Stour</v>
      </c>
      <c r="K725" t="s">
        <v>140</v>
      </c>
      <c r="N725" t="s">
        <v>29</v>
      </c>
      <c r="O725" s="128">
        <v>592</v>
      </c>
      <c r="P725">
        <v>13.9</v>
      </c>
      <c r="Q725" s="128">
        <v>2</v>
      </c>
      <c r="R725" s="7" t="str">
        <f>IF(AllData[[#This Row],[Nitrate (PPM)]]&gt;2, "Very high", IF(AllData[[#This Row],[Nitrate (PPM)]]&gt;1, "High", IF(AllData[[#This Row],[Nitrate (PPM)]]&gt;0.5, "Some evidence", IF(AllData[[#This Row],[Nitrate (PPM)]]&gt;=0, "No evidence"))))</f>
        <v>High</v>
      </c>
      <c r="S725" s="134">
        <v>0.28999999999999998</v>
      </c>
      <c r="T725" s="7" t="str">
        <f>IF(AllData[[#This Row],[Phosphate (PPM)]]&gt;0.5, "Very high", IF(AllData[[#This Row],[Phosphate (PPM)]]&gt;0.1, "High", IF(AllData[[#This Row],[Phosphate (PPM)]]&gt;0.05, "Some evidence", IF(AllData[[#This Row],[Phosphate (PPM)]]&lt;=0.05, "No Evidence", ""))))</f>
        <v>High</v>
      </c>
      <c r="U725">
        <v>2.5</v>
      </c>
      <c r="V725" t="s">
        <v>529</v>
      </c>
    </row>
    <row r="726" spans="1:22" x14ac:dyDescent="0.25">
      <c r="A726" t="s">
        <v>1031</v>
      </c>
      <c r="B726" s="2">
        <v>45407</v>
      </c>
      <c r="C726" s="2" t="str" cm="1">
        <f t="array" ref="C7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6">
        <f>YEAR(AllData[[#This Row],[Date]])</f>
        <v>2024</v>
      </c>
      <c r="E726" s="1">
        <v>0.4375</v>
      </c>
      <c r="F726" s="2" t="str">
        <f>IF(AND(AllData[[#This Row],[Time]]&lt;0.5, AllData[[#This Row],[Time]]&gt;0.17)=TRUE, "Morning", IF(AND(AllData[[#This Row],[Time]]&lt;0.75, AllData[[#This Row],[Time]]&gt;=0.5)=TRUE, "Afternoon", IF(AND(AllData[[#This Row],[Time]]&lt;1, AllData[[#This Row],[Time]]&gt;=0.75)=TRUE, "Evening", "Night")))</f>
        <v>Morning</v>
      </c>
      <c r="G726" t="str">
        <f>_xlfn.XLOOKUP(AllData[[#This Row],[Location Name]], Locations[Location Name],Locations[Group As])</f>
        <v>Stour Willington</v>
      </c>
      <c r="H726" t="e" vm="2">
        <f>_xlfn.XLOOKUP(AllData[[#This Row],[Site Name]],LocationsKey[Site Name],LocationsKey[District])</f>
        <v>#VALUE!</v>
      </c>
      <c r="I726" t="str">
        <f>_xlfn.XLOOKUP(AllData[[#This Row],[Site Name]],LocationsKey[Site Name],LocationsKey[Town])</f>
        <v>Willington</v>
      </c>
      <c r="J726" t="str">
        <f>_xlfn.XLOOKUP(AllData[[#This Row],[Site Name]],LocationsKey[Site Name], LocationsKey[Waterway])</f>
        <v>Stour</v>
      </c>
      <c r="K726" t="s">
        <v>517</v>
      </c>
      <c r="L726">
        <v>52.053561000000002</v>
      </c>
      <c r="M726">
        <v>-1.620147</v>
      </c>
      <c r="N726" t="s">
        <v>23</v>
      </c>
      <c r="O726" s="7">
        <v>611</v>
      </c>
      <c r="P726">
        <v>10.1</v>
      </c>
      <c r="Q726" s="7">
        <v>5</v>
      </c>
      <c r="R726" s="7" t="str">
        <f>IF(AllData[[#This Row],[Nitrate (PPM)]]&gt;2, "Very high", IF(AllData[[#This Row],[Nitrate (PPM)]]&gt;1, "High", IF(AllData[[#This Row],[Nitrate (PPM)]]&gt;0.5, "Some evidence", IF(AllData[[#This Row],[Nitrate (PPM)]]&gt;=0, "No evidence"))))</f>
        <v>Very high</v>
      </c>
      <c r="S726" s="135">
        <v>0.13</v>
      </c>
      <c r="T726" s="7" t="str">
        <f>IF(AllData[[#This Row],[Phosphate (PPM)]]&gt;0.5, "Very high", IF(AllData[[#This Row],[Phosphate (PPM)]]&gt;0.1, "High", IF(AllData[[#This Row],[Phosphate (PPM)]]&gt;0.05, "Some evidence", IF(AllData[[#This Row],[Phosphate (PPM)]]&lt;=0.05, "No Evidence", ""))))</f>
        <v>High</v>
      </c>
      <c r="U726">
        <v>0.5</v>
      </c>
    </row>
    <row r="727" spans="1:22" x14ac:dyDescent="0.25">
      <c r="A727" t="s">
        <v>1032</v>
      </c>
      <c r="B727" s="2">
        <v>45407</v>
      </c>
      <c r="C727" s="2" t="str" cm="1">
        <f t="array" ref="C7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7">
        <f>YEAR(AllData[[#This Row],[Date]])</f>
        <v>2024</v>
      </c>
      <c r="E727" s="1">
        <v>0.52083333333333337</v>
      </c>
      <c r="F727" s="2" t="str">
        <f>IF(AND(AllData[[#This Row],[Time]]&lt;0.5, AllData[[#This Row],[Time]]&gt;0.17)=TRUE, "Morning", IF(AND(AllData[[#This Row],[Time]]&lt;0.75, AllData[[#This Row],[Time]]&gt;=0.5)=TRUE, "Afternoon", IF(AND(AllData[[#This Row],[Time]]&lt;1, AllData[[#This Row],[Time]]&gt;=0.75)=TRUE, "Evening", "Night")))</f>
        <v>Afternoon</v>
      </c>
      <c r="G727" t="str">
        <f>_xlfn.XLOOKUP(AllData[[#This Row],[Location Name]], Locations[Location Name],Locations[Group As])</f>
        <v>Swilgate</v>
      </c>
      <c r="H727" t="e" vm="1">
        <f>_xlfn.XLOOKUP(AllData[[#This Row],[Site Name]],LocationsKey[Site Name],LocationsKey[District])</f>
        <v>#VALUE!</v>
      </c>
      <c r="I727" t="e" vm="1">
        <f>_xlfn.XLOOKUP(AllData[[#This Row],[Site Name]],LocationsKey[Site Name],LocationsKey[Town])</f>
        <v>#VALUE!</v>
      </c>
      <c r="J727" t="str">
        <f>_xlfn.XLOOKUP(AllData[[#This Row],[Site Name]],LocationsKey[Site Name], LocationsKey[Waterway])</f>
        <v>Swilgate</v>
      </c>
      <c r="K727" t="s">
        <v>84</v>
      </c>
      <c r="N727" t="s">
        <v>23</v>
      </c>
      <c r="O727" s="7">
        <v>954</v>
      </c>
      <c r="P727">
        <v>10.6</v>
      </c>
      <c r="Q727" s="7">
        <v>5</v>
      </c>
      <c r="R727" s="7" t="str">
        <f>IF(AllData[[#This Row],[Nitrate (PPM)]]&gt;2, "Very high", IF(AllData[[#This Row],[Nitrate (PPM)]]&gt;1, "High", IF(AllData[[#This Row],[Nitrate (PPM)]]&gt;0.5, "Some evidence", IF(AllData[[#This Row],[Nitrate (PPM)]]&gt;=0, "No evidence"))))</f>
        <v>Very high</v>
      </c>
      <c r="S727" s="135">
        <v>0.38</v>
      </c>
      <c r="T727" s="7" t="str">
        <f>IF(AllData[[#This Row],[Phosphate (PPM)]]&gt;0.5, "Very high", IF(AllData[[#This Row],[Phosphate (PPM)]]&gt;0.1, "High", IF(AllData[[#This Row],[Phosphate (PPM)]]&gt;0.05, "Some evidence", IF(AllData[[#This Row],[Phosphate (PPM)]]&lt;=0.05, "No Evidence", ""))))</f>
        <v>High</v>
      </c>
      <c r="U727">
        <v>0</v>
      </c>
    </row>
    <row r="728" spans="1:22" x14ac:dyDescent="0.25">
      <c r="A728" t="s">
        <v>1033</v>
      </c>
      <c r="B728" s="2">
        <v>45408</v>
      </c>
      <c r="C728" s="2" t="str" cm="1">
        <f t="array" ref="C7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8">
        <f>YEAR(AllData[[#This Row],[Date]])</f>
        <v>2024</v>
      </c>
      <c r="E728" s="1">
        <v>0.47361111111111109</v>
      </c>
      <c r="F728" s="2" t="str">
        <f>IF(AND(AllData[[#This Row],[Time]]&lt;0.5, AllData[[#This Row],[Time]]&gt;0.17)=TRUE, "Morning", IF(AND(AllData[[#This Row],[Time]]&lt;0.75, AllData[[#This Row],[Time]]&gt;=0.5)=TRUE, "Afternoon", IF(AND(AllData[[#This Row],[Time]]&lt;1, AllData[[#This Row],[Time]]&gt;=0.75)=TRUE, "Evening", "Night")))</f>
        <v>Morning</v>
      </c>
      <c r="G728" t="str">
        <f>_xlfn.XLOOKUP(AllData[[#This Row],[Location Name]], Locations[Location Name],Locations[Group As])</f>
        <v>Preston-on-Stour River Bridge</v>
      </c>
      <c r="H728" t="e" vm="2">
        <f>_xlfn.XLOOKUP(AllData[[#This Row],[Site Name]],LocationsKey[Site Name],LocationsKey[District])</f>
        <v>#VALUE!</v>
      </c>
      <c r="I728" t="e" vm="9">
        <f>_xlfn.XLOOKUP(AllData[[#This Row],[Site Name]],LocationsKey[Site Name],LocationsKey[Town])</f>
        <v>#VALUE!</v>
      </c>
      <c r="J728" t="str">
        <f>_xlfn.XLOOKUP(AllData[[#This Row],[Site Name]],LocationsKey[Site Name], LocationsKey[Waterway])</f>
        <v>Stour</v>
      </c>
      <c r="K728" t="s">
        <v>163</v>
      </c>
      <c r="L728">
        <v>52.146261000000003</v>
      </c>
      <c r="M728">
        <v>-1.6998660000000001</v>
      </c>
      <c r="N728" t="s">
        <v>29</v>
      </c>
      <c r="O728" s="7">
        <v>653</v>
      </c>
      <c r="P728">
        <v>10.9</v>
      </c>
      <c r="Q728" s="7">
        <v>7</v>
      </c>
      <c r="R728" s="7" t="str">
        <f>IF(AllData[[#This Row],[Nitrate (PPM)]]&gt;2, "Very high", IF(AllData[[#This Row],[Nitrate (PPM)]]&gt;1, "High", IF(AllData[[#This Row],[Nitrate (PPM)]]&gt;0.5, "Some evidence", IF(AllData[[#This Row],[Nitrate (PPM)]]&gt;=0, "No evidence"))))</f>
        <v>Very high</v>
      </c>
      <c r="S728" s="135">
        <v>0.16</v>
      </c>
      <c r="T728" s="7" t="str">
        <f>IF(AllData[[#This Row],[Phosphate (PPM)]]&gt;0.5, "Very high", IF(AllData[[#This Row],[Phosphate (PPM)]]&gt;0.1, "High", IF(AllData[[#This Row],[Phosphate (PPM)]]&gt;0.05, "Some evidence", IF(AllData[[#This Row],[Phosphate (PPM)]]&lt;=0.05, "No Evidence", ""))))</f>
        <v>High</v>
      </c>
      <c r="U728">
        <v>1.5</v>
      </c>
    </row>
    <row r="729" spans="1:22" x14ac:dyDescent="0.25">
      <c r="A729" t="s">
        <v>1034</v>
      </c>
      <c r="B729" s="2">
        <v>45408</v>
      </c>
      <c r="C729" s="2" t="str" cm="1">
        <f t="array" ref="C7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9">
        <f>YEAR(AllData[[#This Row],[Date]])</f>
        <v>2024</v>
      </c>
      <c r="E729" s="1">
        <v>0.63888888888888884</v>
      </c>
      <c r="F729" s="2" t="str">
        <f>IF(AND(AllData[[#This Row],[Time]]&lt;0.5, AllData[[#This Row],[Time]]&gt;0.17)=TRUE, "Morning", IF(AND(AllData[[#This Row],[Time]]&lt;0.75, AllData[[#This Row],[Time]]&gt;=0.5)=TRUE, "Afternoon", IF(AND(AllData[[#This Row],[Time]]&lt;1, AllData[[#This Row],[Time]]&gt;=0.75)=TRUE, "Evening", "Night")))</f>
        <v>Afternoon</v>
      </c>
      <c r="G729" t="str">
        <f>_xlfn.XLOOKUP(AllData[[#This Row],[Location Name]], Locations[Location Name],Locations[Group As])</f>
        <v>Lower Lode</v>
      </c>
      <c r="H729" t="e" vm="1">
        <f>_xlfn.XLOOKUP(AllData[[#This Row],[Site Name]],LocationsKey[Site Name],LocationsKey[District])</f>
        <v>#VALUE!</v>
      </c>
      <c r="I729" t="e" vm="1">
        <f>_xlfn.XLOOKUP(AllData[[#This Row],[Site Name]],LocationsKey[Site Name],LocationsKey[Town])</f>
        <v>#VALUE!</v>
      </c>
      <c r="J729" t="str">
        <f>_xlfn.XLOOKUP(AllData[[#This Row],[Site Name]],LocationsKey[Site Name], LocationsKey[Waterway])</f>
        <v>Avon</v>
      </c>
      <c r="K729" t="s">
        <v>592</v>
      </c>
      <c r="L729">
        <v>51.985005999999998</v>
      </c>
      <c r="M729">
        <v>-2.1742490000000001</v>
      </c>
      <c r="N729" t="s">
        <v>29</v>
      </c>
      <c r="O729" s="7">
        <v>8560</v>
      </c>
      <c r="P729">
        <v>13.1</v>
      </c>
      <c r="Q729" s="7">
        <v>10</v>
      </c>
      <c r="R729" s="7" t="str">
        <f>IF(AllData[[#This Row],[Nitrate (PPM)]]&gt;2, "Very high", IF(AllData[[#This Row],[Nitrate (PPM)]]&gt;1, "High", IF(AllData[[#This Row],[Nitrate (PPM)]]&gt;0.5, "Some evidence", IF(AllData[[#This Row],[Nitrate (PPM)]]&gt;=0, "No evidence"))))</f>
        <v>Very high</v>
      </c>
      <c r="S729" s="135">
        <v>0.82</v>
      </c>
      <c r="T729" s="7" t="str">
        <f>IF(AllData[[#This Row],[Phosphate (PPM)]]&gt;0.5, "Very high", IF(AllData[[#This Row],[Phosphate (PPM)]]&gt;0.1, "High", IF(AllData[[#This Row],[Phosphate (PPM)]]&gt;0.05, "Some evidence", IF(AllData[[#This Row],[Phosphate (PPM)]]&lt;=0.05, "No Evidence", ""))))</f>
        <v>Very high</v>
      </c>
      <c r="U729">
        <v>2</v>
      </c>
    </row>
    <row r="730" spans="1:22" x14ac:dyDescent="0.25">
      <c r="A730" t="s">
        <v>1035</v>
      </c>
      <c r="B730" s="2">
        <v>45408</v>
      </c>
      <c r="C730" s="2" t="str" cm="1">
        <f t="array" ref="C7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0">
        <f>YEAR(AllData[[#This Row],[Date]])</f>
        <v>2024</v>
      </c>
      <c r="E730" s="1">
        <v>0.74722222222222223</v>
      </c>
      <c r="F730" s="2" t="str">
        <f>IF(AND(AllData[[#This Row],[Time]]&lt;0.5, AllData[[#This Row],[Time]]&gt;0.17)=TRUE, "Morning", IF(AND(AllData[[#This Row],[Time]]&lt;0.75, AllData[[#This Row],[Time]]&gt;=0.5)=TRUE, "Afternoon", IF(AND(AllData[[#This Row],[Time]]&lt;1, AllData[[#This Row],[Time]]&gt;=0.75)=TRUE, "Evening", "Night")))</f>
        <v>Afternoon</v>
      </c>
      <c r="G730" t="str">
        <f>_xlfn.XLOOKUP(AllData[[#This Row],[Location Name]], Locations[Location Name],Locations[Group As])</f>
        <v>Carrant Mitton Path</v>
      </c>
      <c r="H730" t="e" vm="1">
        <f>_xlfn.XLOOKUP(AllData[[#This Row],[Site Name]],LocationsKey[Site Name],LocationsKey[District])</f>
        <v>#VALUE!</v>
      </c>
      <c r="I730" t="e" vm="1">
        <f>_xlfn.XLOOKUP(AllData[[#This Row],[Site Name]],LocationsKey[Site Name],LocationsKey[Town])</f>
        <v>#VALUE!</v>
      </c>
      <c r="J730" t="str">
        <f>_xlfn.XLOOKUP(AllData[[#This Row],[Site Name]],LocationsKey[Site Name], LocationsKey[Waterway])</f>
        <v>Carrant</v>
      </c>
      <c r="K730" t="s">
        <v>958</v>
      </c>
      <c r="N730" t="s">
        <v>23</v>
      </c>
      <c r="O730" s="7">
        <v>675</v>
      </c>
      <c r="P730">
        <v>14</v>
      </c>
      <c r="Q730" s="7">
        <v>5</v>
      </c>
      <c r="R730" s="7" t="str">
        <f>IF(AllData[[#This Row],[Nitrate (PPM)]]&gt;2, "Very high", IF(AllData[[#This Row],[Nitrate (PPM)]]&gt;1, "High", IF(AllData[[#This Row],[Nitrate (PPM)]]&gt;0.5, "Some evidence", IF(AllData[[#This Row],[Nitrate (PPM)]]&gt;=0, "No evidence"))))</f>
        <v>Very high</v>
      </c>
      <c r="S730" s="135">
        <v>0.27</v>
      </c>
      <c r="T730" s="7" t="str">
        <f>IF(AllData[[#This Row],[Phosphate (PPM)]]&gt;0.5, "Very high", IF(AllData[[#This Row],[Phosphate (PPM)]]&gt;0.1, "High", IF(AllData[[#This Row],[Phosphate (PPM)]]&gt;0.05, "Some evidence", IF(AllData[[#This Row],[Phosphate (PPM)]]&lt;=0.05, "No Evidence", ""))))</f>
        <v>High</v>
      </c>
      <c r="U730">
        <v>0</v>
      </c>
    </row>
    <row r="731" spans="1:22" x14ac:dyDescent="0.25">
      <c r="A731" t="s">
        <v>1036</v>
      </c>
      <c r="B731" s="2">
        <v>45409</v>
      </c>
      <c r="C731" s="2" t="str" cm="1">
        <f t="array" ref="C7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1">
        <f>YEAR(AllData[[#This Row],[Date]])</f>
        <v>2024</v>
      </c>
      <c r="E731" s="1">
        <v>0.36319444444444443</v>
      </c>
      <c r="F731" s="2" t="str">
        <f>IF(AND(AllData[[#This Row],[Time]]&lt;0.5, AllData[[#This Row],[Time]]&gt;0.17)=TRUE, "Morning", IF(AND(AllData[[#This Row],[Time]]&lt;0.75, AllData[[#This Row],[Time]]&gt;=0.5)=TRUE, "Afternoon", IF(AND(AllData[[#This Row],[Time]]&lt;1, AllData[[#This Row],[Time]]&gt;=0.75)=TRUE, "Evening", "Night")))</f>
        <v>Morning</v>
      </c>
      <c r="G731" t="str">
        <f>_xlfn.XLOOKUP(AllData[[#This Row],[Location Name]], Locations[Location Name],Locations[Group As])</f>
        <v>Stour Whichford</v>
      </c>
      <c r="H731" t="e" vm="2">
        <f>_xlfn.XLOOKUP(AllData[[#This Row],[Site Name]],LocationsKey[Site Name],LocationsKey[District])</f>
        <v>#VALUE!</v>
      </c>
      <c r="I731" t="e" vm="21">
        <f>_xlfn.XLOOKUP(AllData[[#This Row],[Site Name]],LocationsKey[Site Name],LocationsKey[Town])</f>
        <v>#VALUE!</v>
      </c>
      <c r="J731" t="str">
        <f>_xlfn.XLOOKUP(AllData[[#This Row],[Site Name]],LocationsKey[Site Name], LocationsKey[Waterway])</f>
        <v>Stour</v>
      </c>
      <c r="K731" t="s">
        <v>895</v>
      </c>
      <c r="N731" t="s">
        <v>29</v>
      </c>
      <c r="O731" s="7">
        <v>6.2</v>
      </c>
      <c r="P731">
        <v>9.1999999999999993</v>
      </c>
      <c r="Q731" s="7">
        <v>4.5</v>
      </c>
      <c r="R731" s="7" t="str">
        <f>IF(AllData[[#This Row],[Nitrate (PPM)]]&gt;2, "Very high", IF(AllData[[#This Row],[Nitrate (PPM)]]&gt;1, "High", IF(AllData[[#This Row],[Nitrate (PPM)]]&gt;0.5, "Some evidence", IF(AllData[[#This Row],[Nitrate (PPM)]]&gt;=0, "No evidence"))))</f>
        <v>Very high</v>
      </c>
      <c r="S731" s="135">
        <v>0.33</v>
      </c>
      <c r="T731" s="7" t="str">
        <f>IF(AllData[[#This Row],[Phosphate (PPM)]]&gt;0.5, "Very high", IF(AllData[[#This Row],[Phosphate (PPM)]]&gt;0.1, "High", IF(AllData[[#This Row],[Phosphate (PPM)]]&gt;0.05, "Some evidence", IF(AllData[[#This Row],[Phosphate (PPM)]]&lt;=0.05, "No Evidence", ""))))</f>
        <v>High</v>
      </c>
      <c r="U731">
        <v>15</v>
      </c>
    </row>
    <row r="732" spans="1:22" x14ac:dyDescent="0.25">
      <c r="A732" t="s">
        <v>1037</v>
      </c>
      <c r="B732" s="2">
        <v>45409</v>
      </c>
      <c r="C732" s="2" t="str" cm="1">
        <f t="array" ref="C7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2">
        <f>YEAR(AllData[[#This Row],[Date]])</f>
        <v>2024</v>
      </c>
      <c r="E732" s="1">
        <v>0.38194444444444442</v>
      </c>
      <c r="F732" s="2" t="str">
        <f>IF(AND(AllData[[#This Row],[Time]]&lt;0.5, AllData[[#This Row],[Time]]&gt;0.17)=TRUE, "Morning", IF(AND(AllData[[#This Row],[Time]]&lt;0.75, AllData[[#This Row],[Time]]&gt;=0.5)=TRUE, "Afternoon", IF(AND(AllData[[#This Row],[Time]]&lt;1, AllData[[#This Row],[Time]]&gt;=0.75)=TRUE, "Evening", "Night")))</f>
        <v>Morning</v>
      </c>
      <c r="G732" t="str">
        <f>_xlfn.XLOOKUP(AllData[[#This Row],[Location Name]], Locations[Location Name],Locations[Group As])</f>
        <v>Stour Ascott Village</v>
      </c>
      <c r="H732" t="e" vm="2">
        <f>_xlfn.XLOOKUP(AllData[[#This Row],[Site Name]],LocationsKey[Site Name],LocationsKey[District])</f>
        <v>#VALUE!</v>
      </c>
      <c r="I732" t="e" vm="22">
        <f>_xlfn.XLOOKUP(AllData[[#This Row],[Site Name]],LocationsKey[Site Name],LocationsKey[Town])</f>
        <v>#VALUE!</v>
      </c>
      <c r="J732" t="str">
        <f>_xlfn.XLOOKUP(AllData[[#This Row],[Site Name]],LocationsKey[Site Name], LocationsKey[Waterway])</f>
        <v>Stour</v>
      </c>
      <c r="K732" t="s">
        <v>855</v>
      </c>
      <c r="N732" t="s">
        <v>66</v>
      </c>
      <c r="O732" s="7">
        <v>56.7</v>
      </c>
      <c r="P732">
        <v>9.1</v>
      </c>
      <c r="Q732" s="7">
        <v>1.05</v>
      </c>
      <c r="R732" s="7" t="str">
        <f>IF(AllData[[#This Row],[Nitrate (PPM)]]&gt;2, "Very high", IF(AllData[[#This Row],[Nitrate (PPM)]]&gt;1, "High", IF(AllData[[#This Row],[Nitrate (PPM)]]&gt;0.5, "Some evidence", IF(AllData[[#This Row],[Nitrate (PPM)]]&gt;=0, "No evidence"))))</f>
        <v>High</v>
      </c>
      <c r="S732" s="135">
        <v>0.15</v>
      </c>
      <c r="T732" s="7" t="str">
        <f>IF(AllData[[#This Row],[Phosphate (PPM)]]&gt;0.5, "Very high", IF(AllData[[#This Row],[Phosphate (PPM)]]&gt;0.1, "High", IF(AllData[[#This Row],[Phosphate (PPM)]]&gt;0.05, "Some evidence", IF(AllData[[#This Row],[Phosphate (PPM)]]&lt;=0.05, "No Evidence", ""))))</f>
        <v>High</v>
      </c>
      <c r="U732">
        <v>12</v>
      </c>
      <c r="V732" t="s">
        <v>1038</v>
      </c>
    </row>
    <row r="733" spans="1:22" x14ac:dyDescent="0.25">
      <c r="A733" t="s">
        <v>1039</v>
      </c>
      <c r="B733" s="2">
        <v>45409</v>
      </c>
      <c r="C733" s="2" t="str" cm="1">
        <f t="array" ref="C7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3">
        <f>YEAR(AllData[[#This Row],[Date]])</f>
        <v>2024</v>
      </c>
      <c r="E733" s="1">
        <v>0.51041666666666663</v>
      </c>
      <c r="F733" s="2" t="str">
        <f>IF(AND(AllData[[#This Row],[Time]]&lt;0.5, AllData[[#This Row],[Time]]&gt;0.17)=TRUE, "Morning", IF(AND(AllData[[#This Row],[Time]]&lt;0.75, AllData[[#This Row],[Time]]&gt;=0.5)=TRUE, "Afternoon", IF(AND(AllData[[#This Row],[Time]]&lt;1, AllData[[#This Row],[Time]]&gt;=0.75)=TRUE, "Evening", "Night")))</f>
        <v>Afternoon</v>
      </c>
      <c r="G733" t="str">
        <f>_xlfn.XLOOKUP(AllData[[#This Row],[Location Name]], Locations[Location Name],Locations[Group As])</f>
        <v>Carrant Bredon Rd</v>
      </c>
      <c r="H733" t="e" vm="1">
        <f>_xlfn.XLOOKUP(AllData[[#This Row],[Site Name]],LocationsKey[Site Name],LocationsKey[District])</f>
        <v>#VALUE!</v>
      </c>
      <c r="I733" t="e" vm="1">
        <f>_xlfn.XLOOKUP(AllData[[#This Row],[Site Name]],LocationsKey[Site Name],LocationsKey[Town])</f>
        <v>#VALUE!</v>
      </c>
      <c r="J733" t="str">
        <f>_xlfn.XLOOKUP(AllData[[#This Row],[Site Name]],LocationsKey[Site Name], LocationsKey[Waterway])</f>
        <v>Carrant</v>
      </c>
      <c r="K733" t="s">
        <v>600</v>
      </c>
      <c r="L733">
        <v>51.996184</v>
      </c>
      <c r="M733">
        <v>-2.1561520000000001</v>
      </c>
      <c r="N733" t="s">
        <v>23</v>
      </c>
      <c r="O733" s="7">
        <v>738</v>
      </c>
      <c r="P733">
        <v>10.7</v>
      </c>
      <c r="Q733" s="7">
        <v>6</v>
      </c>
      <c r="R733" s="7" t="str">
        <f>IF(AllData[[#This Row],[Nitrate (PPM)]]&gt;2, "Very high", IF(AllData[[#This Row],[Nitrate (PPM)]]&gt;1, "High", IF(AllData[[#This Row],[Nitrate (PPM)]]&gt;0.5, "Some evidence", IF(AllData[[#This Row],[Nitrate (PPM)]]&gt;=0, "No evidence"))))</f>
        <v>Very high</v>
      </c>
      <c r="S733" s="135">
        <v>0.3</v>
      </c>
      <c r="T733" s="7" t="str">
        <f>IF(AllData[[#This Row],[Phosphate (PPM)]]&gt;0.5, "Very high", IF(AllData[[#This Row],[Phosphate (PPM)]]&gt;0.1, "High", IF(AllData[[#This Row],[Phosphate (PPM)]]&gt;0.05, "Some evidence", IF(AllData[[#This Row],[Phosphate (PPM)]]&lt;=0.05, "No Evidence", ""))))</f>
        <v>High</v>
      </c>
      <c r="U733">
        <v>0.06</v>
      </c>
    </row>
    <row r="734" spans="1:22" x14ac:dyDescent="0.25">
      <c r="A734" t="s">
        <v>1040</v>
      </c>
      <c r="B734" s="2">
        <v>45409</v>
      </c>
      <c r="C734" s="2" t="str" cm="1">
        <f t="array" ref="C7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4">
        <f>YEAR(AllData[[#This Row],[Date]])</f>
        <v>2024</v>
      </c>
      <c r="E734" s="1">
        <v>0.61458333333333337</v>
      </c>
      <c r="F734" s="2" t="str">
        <f>IF(AND(AllData[[#This Row],[Time]]&lt;0.5, AllData[[#This Row],[Time]]&gt;0.17)=TRUE, "Morning", IF(AND(AllData[[#This Row],[Time]]&lt;0.75, AllData[[#This Row],[Time]]&gt;=0.5)=TRUE, "Afternoon", IF(AND(AllData[[#This Row],[Time]]&lt;1, AllData[[#This Row],[Time]]&gt;=0.75)=TRUE, "Evening", "Night")))</f>
        <v>Afternoon</v>
      </c>
      <c r="G734" t="str">
        <f>_xlfn.XLOOKUP(AllData[[#This Row],[Location Name]], Locations[Location Name],Locations[Group As])</f>
        <v>Avon Smiths Meadow Wyre Piddle</v>
      </c>
      <c r="H734" t="e" vm="17">
        <f>_xlfn.XLOOKUP(AllData[[#This Row],[Site Name]],LocationsKey[Site Name],LocationsKey[District])</f>
        <v>#VALUE!</v>
      </c>
      <c r="I734" t="e" vm="20">
        <f>_xlfn.XLOOKUP(AllData[[#This Row],[Site Name]],LocationsKey[Site Name],LocationsKey[Town])</f>
        <v>#VALUE!</v>
      </c>
      <c r="J734" t="str">
        <f>_xlfn.XLOOKUP(AllData[[#This Row],[Site Name]],LocationsKey[Site Name], LocationsKey[Waterway])</f>
        <v>Avon</v>
      </c>
      <c r="K734" t="s">
        <v>741</v>
      </c>
      <c r="L734">
        <v>52.122858999999998</v>
      </c>
      <c r="M734">
        <v>-2.0575389999999998</v>
      </c>
      <c r="N734" t="s">
        <v>23</v>
      </c>
      <c r="O734" s="7">
        <v>892</v>
      </c>
      <c r="P734">
        <v>11.7</v>
      </c>
      <c r="Q734" s="7">
        <v>6</v>
      </c>
      <c r="R734" s="7" t="str">
        <f>IF(AllData[[#This Row],[Nitrate (PPM)]]&gt;2, "Very high", IF(AllData[[#This Row],[Nitrate (PPM)]]&gt;1, "High", IF(AllData[[#This Row],[Nitrate (PPM)]]&gt;0.5, "Some evidence", IF(AllData[[#This Row],[Nitrate (PPM)]]&gt;=0, "No evidence"))))</f>
        <v>Very high</v>
      </c>
      <c r="S734" s="135">
        <v>0.37</v>
      </c>
      <c r="T734" s="7" t="str">
        <f>IF(AllData[[#This Row],[Phosphate (PPM)]]&gt;0.5, "Very high", IF(AllData[[#This Row],[Phosphate (PPM)]]&gt;0.1, "High", IF(AllData[[#This Row],[Phosphate (PPM)]]&gt;0.05, "Some evidence", IF(AllData[[#This Row],[Phosphate (PPM)]]&lt;=0.05, "No Evidence", ""))))</f>
        <v>High</v>
      </c>
      <c r="U734">
        <v>0.65</v>
      </c>
      <c r="V734" t="s">
        <v>1041</v>
      </c>
    </row>
    <row r="735" spans="1:22" x14ac:dyDescent="0.25">
      <c r="A735" t="s">
        <v>1042</v>
      </c>
      <c r="B735" s="2">
        <v>45409</v>
      </c>
      <c r="C735" s="2" t="str" cm="1">
        <f t="array" ref="C7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5">
        <f>YEAR(AllData[[#This Row],[Date]])</f>
        <v>2024</v>
      </c>
      <c r="E735" s="1">
        <v>0.64583333333333337</v>
      </c>
      <c r="F735" s="2" t="str">
        <f>IF(AND(AllData[[#This Row],[Time]]&lt;0.5, AllData[[#This Row],[Time]]&gt;0.17)=TRUE, "Morning", IF(AND(AllData[[#This Row],[Time]]&lt;0.75, AllData[[#This Row],[Time]]&gt;=0.5)=TRUE, "Afternoon", IF(AND(AllData[[#This Row],[Time]]&lt;1, AllData[[#This Row],[Time]]&gt;=0.75)=TRUE, "Evening", "Night")))</f>
        <v>Afternoon</v>
      </c>
      <c r="G735" t="str">
        <f>_xlfn.XLOOKUP(AllData[[#This Row],[Location Name]], Locations[Location Name],Locations[Group As])</f>
        <v>Piddle Brook Wyre Piddle Bridge</v>
      </c>
      <c r="H735" t="e" vm="17">
        <f>_xlfn.XLOOKUP(AllData[[#This Row],[Site Name]],LocationsKey[Site Name],LocationsKey[District])</f>
        <v>#VALUE!</v>
      </c>
      <c r="I735" t="e" vm="20">
        <f>_xlfn.XLOOKUP(AllData[[#This Row],[Site Name]],LocationsKey[Site Name],LocationsKey[Town])</f>
        <v>#VALUE!</v>
      </c>
      <c r="J735" t="str">
        <f>_xlfn.XLOOKUP(AllData[[#This Row],[Site Name]],LocationsKey[Site Name], LocationsKey[Waterway])</f>
        <v>Piddle Brook</v>
      </c>
      <c r="K735" t="s">
        <v>744</v>
      </c>
      <c r="L735">
        <v>52.126404000000001</v>
      </c>
      <c r="M735">
        <v>-2.0565410000000002</v>
      </c>
      <c r="N735" t="s">
        <v>23</v>
      </c>
      <c r="O735" s="7">
        <v>1420</v>
      </c>
      <c r="P735">
        <v>9</v>
      </c>
      <c r="Q735" s="7">
        <v>10</v>
      </c>
      <c r="R735" s="7" t="str">
        <f>IF(AllData[[#This Row],[Nitrate (PPM)]]&gt;2, "Very high", IF(AllData[[#This Row],[Nitrate (PPM)]]&gt;1, "High", IF(AllData[[#This Row],[Nitrate (PPM)]]&gt;0.5, "Some evidence", IF(AllData[[#This Row],[Nitrate (PPM)]]&gt;=0, "No evidence"))))</f>
        <v>Very high</v>
      </c>
      <c r="S735" s="135">
        <v>0.51</v>
      </c>
      <c r="T735" s="7" t="str">
        <f>IF(AllData[[#This Row],[Phosphate (PPM)]]&gt;0.5, "Very high", IF(AllData[[#This Row],[Phosphate (PPM)]]&gt;0.1, "High", IF(AllData[[#This Row],[Phosphate (PPM)]]&gt;0.05, "Some evidence", IF(AllData[[#This Row],[Phosphate (PPM)]]&lt;=0.05, "No Evidence", ""))))</f>
        <v>Very high</v>
      </c>
      <c r="U735">
        <v>0.22</v>
      </c>
      <c r="V735" t="s">
        <v>1043</v>
      </c>
    </row>
    <row r="736" spans="1:22" x14ac:dyDescent="0.25">
      <c r="A736" t="s">
        <v>1044</v>
      </c>
      <c r="B736" s="2">
        <v>45409</v>
      </c>
      <c r="C736" s="2" t="str" cm="1">
        <f t="array" ref="C7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6">
        <f>YEAR(AllData[[#This Row],[Date]])</f>
        <v>2024</v>
      </c>
      <c r="E736" s="1">
        <v>0.68055555555555558</v>
      </c>
      <c r="F736" s="2" t="str">
        <f>IF(AND(AllData[[#This Row],[Time]]&lt;0.5, AllData[[#This Row],[Time]]&gt;0.17)=TRUE, "Morning", IF(AND(AllData[[#This Row],[Time]]&lt;0.75, AllData[[#This Row],[Time]]&gt;=0.5)=TRUE, "Afternoon", IF(AND(AllData[[#This Row],[Time]]&lt;1, AllData[[#This Row],[Time]]&gt;=0.75)=TRUE, "Evening", "Night")))</f>
        <v>Afternoon</v>
      </c>
      <c r="G736" t="str">
        <f>_xlfn.XLOOKUP(AllData[[#This Row],[Location Name]], Locations[Location Name],Locations[Group As])</f>
        <v>Black Bear</v>
      </c>
      <c r="H736" t="e" vm="1">
        <f>_xlfn.XLOOKUP(AllData[[#This Row],[Site Name]],LocationsKey[Site Name],LocationsKey[District])</f>
        <v>#VALUE!</v>
      </c>
      <c r="I736" t="e" vm="1">
        <f>_xlfn.XLOOKUP(AllData[[#This Row],[Site Name]],LocationsKey[Site Name],LocationsKey[Town])</f>
        <v>#VALUE!</v>
      </c>
      <c r="J736" t="str">
        <f>_xlfn.XLOOKUP(AllData[[#This Row],[Site Name]],LocationsKey[Site Name], LocationsKey[Waterway])</f>
        <v>Avon</v>
      </c>
      <c r="K736" t="s">
        <v>1045</v>
      </c>
      <c r="L736">
        <v>51.997390000000003</v>
      </c>
      <c r="M736">
        <v>-2.1562640000000002</v>
      </c>
      <c r="N736" t="s">
        <v>23</v>
      </c>
      <c r="O736" s="7">
        <v>891</v>
      </c>
      <c r="P736">
        <v>22.6</v>
      </c>
      <c r="Q736" s="7">
        <v>5</v>
      </c>
      <c r="R736" s="7" t="str">
        <f>IF(AllData[[#This Row],[Nitrate (PPM)]]&gt;2, "Very high", IF(AllData[[#This Row],[Nitrate (PPM)]]&gt;1, "High", IF(AllData[[#This Row],[Nitrate (PPM)]]&gt;0.5, "Some evidence", IF(AllData[[#This Row],[Nitrate (PPM)]]&gt;=0, "No evidence"))))</f>
        <v>Very high</v>
      </c>
      <c r="S736" s="135">
        <v>0.59</v>
      </c>
      <c r="T736" s="7" t="str">
        <f>IF(AllData[[#This Row],[Phosphate (PPM)]]&gt;0.5, "Very high", IF(AllData[[#This Row],[Phosphate (PPM)]]&gt;0.1, "High", IF(AllData[[#This Row],[Phosphate (PPM)]]&gt;0.05, "Some evidence", IF(AllData[[#This Row],[Phosphate (PPM)]]&lt;=0.05, "No Evidence", ""))))</f>
        <v>Very high</v>
      </c>
      <c r="U736">
        <v>0</v>
      </c>
    </row>
    <row r="737" spans="1:22" x14ac:dyDescent="0.25">
      <c r="A737" t="s">
        <v>1767</v>
      </c>
      <c r="B737" s="2">
        <v>45409</v>
      </c>
      <c r="C737" s="2" t="str" cm="1">
        <f t="array" ref="C7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7">
        <f>YEAR(AllData[[#This Row],[Date]])</f>
        <v>2024</v>
      </c>
      <c r="F737" s="2" t="str">
        <f>IF(AND(AllData[[#This Row],[Time]]&lt;0.5, AllData[[#This Row],[Time]]&gt;0.17)=TRUE, "Morning", IF(AND(AllData[[#This Row],[Time]]&lt;0.75, AllData[[#This Row],[Time]]&gt;=0.5)=TRUE, "Afternoon", IF(AND(AllData[[#This Row],[Time]]&lt;1, AllData[[#This Row],[Time]]&gt;=0.75)=TRUE, "Evening", "Night")))</f>
        <v>Night</v>
      </c>
      <c r="G737" t="str">
        <f>_xlfn.XLOOKUP(AllData[[#This Row],[Location Name]], Locations[Location Name],Locations[Group As])</f>
        <v>Site 1  :  Middle Street</v>
      </c>
      <c r="H737" t="e" vm="2">
        <f>_xlfn.XLOOKUP(AllData[[#This Row],[Site Name]],LocationsKey[Site Name],LocationsKey[District])</f>
        <v>#VALUE!</v>
      </c>
      <c r="I737" t="e" vm="11">
        <f>_xlfn.XLOOKUP(AllData[[#This Row],[Site Name]],LocationsKey[Site Name],LocationsKey[Town])</f>
        <v>#VALUE!</v>
      </c>
      <c r="J737" t="str">
        <f>_xlfn.XLOOKUP(AllData[[#This Row],[Site Name]],LocationsKey[Site Name], LocationsKey[Waterway])</f>
        <v>Fosseway Brook</v>
      </c>
      <c r="K737" t="s">
        <v>1859</v>
      </c>
      <c r="L737">
        <v>52.090085000000002</v>
      </c>
      <c r="M737">
        <v>-1.692593</v>
      </c>
      <c r="N737" t="s">
        <v>66</v>
      </c>
      <c r="O737" s="132">
        <v>571</v>
      </c>
      <c r="P737">
        <v>11.6</v>
      </c>
      <c r="Q737" s="132">
        <v>5</v>
      </c>
      <c r="R737" s="126" t="str">
        <f>IF(AllData[[#This Row],[Nitrate (PPM)]]&gt;2, "Very high", IF(AllData[[#This Row],[Nitrate (PPM)]]&gt;1, "High", IF(AllData[[#This Row],[Nitrate (PPM)]]&gt;0.5, "Some evidence", IF(AllData[[#This Row],[Nitrate (PPM)]]&gt;=0, "No evidence"))))</f>
        <v>Very high</v>
      </c>
      <c r="S737" s="136">
        <v>0.15</v>
      </c>
      <c r="T737" s="126" t="str">
        <f>IF(AllData[[#This Row],[Phosphate (PPM)]]&gt;0.5, "Very high", IF(AllData[[#This Row],[Phosphate (PPM)]]&gt;0.1, "High", IF(AllData[[#This Row],[Phosphate (PPM)]]&gt;0.05, "Some evidence", IF(AllData[[#This Row],[Phosphate (PPM)]]&lt;=0.05, "No Evidence", ""))))</f>
        <v>High</v>
      </c>
      <c r="U737">
        <v>0</v>
      </c>
      <c r="V737" t="s">
        <v>1909</v>
      </c>
    </row>
    <row r="738" spans="1:22" x14ac:dyDescent="0.25">
      <c r="A738" t="s">
        <v>1429</v>
      </c>
      <c r="B738" s="2">
        <v>45409</v>
      </c>
      <c r="C738" s="2" t="str" cm="1">
        <f t="array" ref="C7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8">
        <f>YEAR(AllData[[#This Row],[Date]])</f>
        <v>2024</v>
      </c>
      <c r="E738" s="1"/>
      <c r="F738" s="2" t="str">
        <f>IF(AND(AllData[[#This Row],[Time]]&lt;0.5, AllData[[#This Row],[Time]]&gt;0.17)=TRUE, "Morning", IF(AND(AllData[[#This Row],[Time]]&lt;0.75, AllData[[#This Row],[Time]]&gt;=0.5)=TRUE, "Afternoon", IF(AND(AllData[[#This Row],[Time]]&lt;1, AllData[[#This Row],[Time]]&gt;=0.75)=TRUE, "Evening", "Night")))</f>
        <v>Night</v>
      </c>
      <c r="G738" t="str">
        <f>_xlfn.XLOOKUP(AllData[[#This Row],[Location Name]], Locations[Location Name],Locations[Group As])</f>
        <v>Site 1  :  Middle Street</v>
      </c>
      <c r="H738" t="e" vm="2">
        <f>_xlfn.XLOOKUP(AllData[[#This Row],[Site Name]],LocationsKey[Site Name],LocationsKey[District])</f>
        <v>#VALUE!</v>
      </c>
      <c r="I738" t="e" vm="11">
        <f>_xlfn.XLOOKUP(AllData[[#This Row],[Site Name]],LocationsKey[Site Name],LocationsKey[Town])</f>
        <v>#VALUE!</v>
      </c>
      <c r="J738" t="str">
        <f>_xlfn.XLOOKUP(AllData[[#This Row],[Site Name]],LocationsKey[Site Name], LocationsKey[Waterway])</f>
        <v>Fosseway Brook</v>
      </c>
      <c r="K738" t="s">
        <v>1373</v>
      </c>
      <c r="L738">
        <v>52.090085000000002</v>
      </c>
      <c r="M738">
        <v>-1.692593</v>
      </c>
      <c r="N738" t="s">
        <v>66</v>
      </c>
      <c r="O738">
        <v>571</v>
      </c>
      <c r="P738">
        <v>11.6</v>
      </c>
      <c r="Q738">
        <v>5</v>
      </c>
      <c r="R738" s="7" t="str">
        <f>IF(AllData[[#This Row],[Nitrate (PPM)]]&gt;2, "Very high", IF(AllData[[#This Row],[Nitrate (PPM)]]&gt;1, "High", IF(AllData[[#This Row],[Nitrate (PPM)]]&gt;0.5, "Some evidence", IF(AllData[[#This Row],[Nitrate (PPM)]]&gt;=0, "No evidence"))))</f>
        <v>Very high</v>
      </c>
      <c r="S738" s="4">
        <v>0.15</v>
      </c>
      <c r="T738" s="7" t="str">
        <f>IF(AllData[[#This Row],[Phosphate (PPM)]]&gt;0.5, "Very high", IF(AllData[[#This Row],[Phosphate (PPM)]]&gt;0.1, "High", IF(AllData[[#This Row],[Phosphate (PPM)]]&gt;0.05, "Some evidence", IF(AllData[[#This Row],[Phosphate (PPM)]]&lt;=0.05, "No Evidence", ""))))</f>
        <v>High</v>
      </c>
    </row>
    <row r="739" spans="1:22" x14ac:dyDescent="0.25">
      <c r="A739" t="s">
        <v>1768</v>
      </c>
      <c r="B739" s="2">
        <v>45409</v>
      </c>
      <c r="C739" s="2" t="str" cm="1">
        <f t="array" ref="C7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9">
        <f>YEAR(AllData[[#This Row],[Date]])</f>
        <v>2024</v>
      </c>
      <c r="F739" s="2" t="str">
        <f>IF(AND(AllData[[#This Row],[Time]]&lt;0.5, AllData[[#This Row],[Time]]&gt;0.17)=TRUE, "Morning", IF(AND(AllData[[#This Row],[Time]]&lt;0.75, AllData[[#This Row],[Time]]&gt;=0.5)=TRUE, "Afternoon", IF(AND(AllData[[#This Row],[Time]]&lt;1, AllData[[#This Row],[Time]]&gt;=0.75)=TRUE, "Evening", "Night")))</f>
        <v>Night</v>
      </c>
      <c r="G739" t="str">
        <f>_xlfn.XLOOKUP(AllData[[#This Row],[Location Name]], Locations[Location Name],Locations[Group As])</f>
        <v>Site 2  :  Cross Leys culvert</v>
      </c>
      <c r="H739" t="e" vm="2">
        <f>_xlfn.XLOOKUP(AllData[[#This Row],[Site Name]],LocationsKey[Site Name],LocationsKey[District])</f>
        <v>#VALUE!</v>
      </c>
      <c r="I739" t="e" vm="11">
        <f>_xlfn.XLOOKUP(AllData[[#This Row],[Site Name]],LocationsKey[Site Name],LocationsKey[Town])</f>
        <v>#VALUE!</v>
      </c>
      <c r="J739" t="str">
        <f>_xlfn.XLOOKUP(AllData[[#This Row],[Site Name]],LocationsKey[Site Name], LocationsKey[Waterway])</f>
        <v>Fosseway Brook</v>
      </c>
      <c r="K739" t="s">
        <v>1860</v>
      </c>
      <c r="L739">
        <v>52.092967999999999</v>
      </c>
      <c r="M739">
        <v>-1.6862710000000001</v>
      </c>
      <c r="N739" t="s">
        <v>66</v>
      </c>
      <c r="O739">
        <v>638</v>
      </c>
      <c r="P739">
        <v>12.4</v>
      </c>
      <c r="Q739">
        <v>2</v>
      </c>
      <c r="R739" s="7" t="str">
        <f>IF(AllData[[#This Row],[Nitrate (PPM)]]&gt;2, "Very high", IF(AllData[[#This Row],[Nitrate (PPM)]]&gt;1, "High", IF(AllData[[#This Row],[Nitrate (PPM)]]&gt;0.5, "Some evidence", IF(AllData[[#This Row],[Nitrate (PPM)]]&gt;=0, "No evidence"))))</f>
        <v>High</v>
      </c>
      <c r="S739" s="4">
        <v>0.17</v>
      </c>
      <c r="T739" s="7" t="str">
        <f>IF(AllData[[#This Row],[Phosphate (PPM)]]&gt;0.5, "Very high", IF(AllData[[#This Row],[Phosphate (PPM)]]&gt;0.1, "High", IF(AllData[[#This Row],[Phosphate (PPM)]]&gt;0.05, "Some evidence", IF(AllData[[#This Row],[Phosphate (PPM)]]&lt;=0.05, "No Evidence", ""))))</f>
        <v>High</v>
      </c>
      <c r="U739">
        <v>0</v>
      </c>
      <c r="V739" t="s">
        <v>1909</v>
      </c>
    </row>
    <row r="740" spans="1:22" x14ac:dyDescent="0.25">
      <c r="A740" t="s">
        <v>1428</v>
      </c>
      <c r="B740" s="2">
        <v>45409</v>
      </c>
      <c r="C740" s="2" t="str" cm="1">
        <f t="array" ref="C7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0">
        <f>YEAR(AllData[[#This Row],[Date]])</f>
        <v>2024</v>
      </c>
      <c r="E740" s="1"/>
      <c r="F740" s="2" t="str">
        <f>IF(AND(AllData[[#This Row],[Time]]&lt;0.5, AllData[[#This Row],[Time]]&gt;0.17)=TRUE, "Morning", IF(AND(AllData[[#This Row],[Time]]&lt;0.75, AllData[[#This Row],[Time]]&gt;=0.5)=TRUE, "Afternoon", IF(AND(AllData[[#This Row],[Time]]&lt;1, AllData[[#This Row],[Time]]&gt;=0.75)=TRUE, "Evening", "Night")))</f>
        <v>Night</v>
      </c>
      <c r="G740" t="str">
        <f>_xlfn.XLOOKUP(AllData[[#This Row],[Location Name]], Locations[Location Name],Locations[Group As])</f>
        <v>Site 2  :  Cross Leys culvert</v>
      </c>
      <c r="H740" t="e" vm="2">
        <f>_xlfn.XLOOKUP(AllData[[#This Row],[Site Name]],LocationsKey[Site Name],LocationsKey[District])</f>
        <v>#VALUE!</v>
      </c>
      <c r="I740" t="e" vm="11">
        <f>_xlfn.XLOOKUP(AllData[[#This Row],[Site Name]],LocationsKey[Site Name],LocationsKey[Town])</f>
        <v>#VALUE!</v>
      </c>
      <c r="J740" t="str">
        <f>_xlfn.XLOOKUP(AllData[[#This Row],[Site Name]],LocationsKey[Site Name], LocationsKey[Waterway])</f>
        <v>Fosseway Brook</v>
      </c>
      <c r="K740" t="s">
        <v>1371</v>
      </c>
      <c r="L740">
        <v>52.092967999999999</v>
      </c>
      <c r="M740">
        <v>-1.6862710000000001</v>
      </c>
      <c r="N740" t="s">
        <v>66</v>
      </c>
      <c r="O740">
        <v>638</v>
      </c>
      <c r="P740">
        <v>12.4</v>
      </c>
      <c r="Q740">
        <v>2</v>
      </c>
      <c r="R740" s="7" t="str">
        <f>IF(AllData[[#This Row],[Nitrate (PPM)]]&gt;2, "Very high", IF(AllData[[#This Row],[Nitrate (PPM)]]&gt;1, "High", IF(AllData[[#This Row],[Nitrate (PPM)]]&gt;0.5, "Some evidence", IF(AllData[[#This Row],[Nitrate (PPM)]]&gt;=0, "No evidence"))))</f>
        <v>High</v>
      </c>
      <c r="S740" s="4">
        <v>0.17</v>
      </c>
      <c r="T740" s="7" t="str">
        <f>IF(AllData[[#This Row],[Phosphate (PPM)]]&gt;0.5, "Very high", IF(AllData[[#This Row],[Phosphate (PPM)]]&gt;0.1, "High", IF(AllData[[#This Row],[Phosphate (PPM)]]&gt;0.05, "Some evidence", IF(AllData[[#This Row],[Phosphate (PPM)]]&lt;=0.05, "No Evidence", ""))))</f>
        <v>High</v>
      </c>
    </row>
    <row r="741" spans="1:22" x14ac:dyDescent="0.25">
      <c r="A741" t="s">
        <v>1769</v>
      </c>
      <c r="B741" s="2">
        <v>45409</v>
      </c>
      <c r="C741" s="2" t="str" cm="1">
        <f t="array" ref="C7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1">
        <f>YEAR(AllData[[#This Row],[Date]])</f>
        <v>2024</v>
      </c>
      <c r="F741" s="2" t="str">
        <f>IF(AND(AllData[[#This Row],[Time]]&lt;0.5, AllData[[#This Row],[Time]]&gt;0.17)=TRUE, "Morning", IF(AND(AllData[[#This Row],[Time]]&lt;0.75, AllData[[#This Row],[Time]]&gt;=0.5)=TRUE, "Afternoon", IF(AND(AllData[[#This Row],[Time]]&lt;1, AllData[[#This Row],[Time]]&gt;=0.75)=TRUE, "Evening", "Night")))</f>
        <v>Night</v>
      </c>
      <c r="G741" t="str">
        <f>_xlfn.XLOOKUP(AllData[[#This Row],[Location Name]], Locations[Location Name],Locations[Group As])</f>
        <v>Site 3  :  Severn Trent Water processing plant outflow</v>
      </c>
      <c r="H741" t="e" vm="2">
        <f>_xlfn.XLOOKUP(AllData[[#This Row],[Site Name]],LocationsKey[Site Name],LocationsKey[District])</f>
        <v>#VALUE!</v>
      </c>
      <c r="I741" t="e" vm="11">
        <f>_xlfn.XLOOKUP(AllData[[#This Row],[Site Name]],LocationsKey[Site Name],LocationsKey[Town])</f>
        <v>#VALUE!</v>
      </c>
      <c r="J741" t="str">
        <f>_xlfn.XLOOKUP(AllData[[#This Row],[Site Name]],LocationsKey[Site Name], LocationsKey[Waterway])</f>
        <v>Fosseway Brook</v>
      </c>
      <c r="K741" t="s">
        <v>1861</v>
      </c>
      <c r="L741">
        <v>52.094423999999997</v>
      </c>
      <c r="M741">
        <v>-1.6759090000000001</v>
      </c>
      <c r="N741" t="s">
        <v>29</v>
      </c>
      <c r="O741">
        <v>850</v>
      </c>
      <c r="P741">
        <v>13.1</v>
      </c>
      <c r="Q741">
        <v>10</v>
      </c>
      <c r="R741" s="7" t="str">
        <f>IF(AllData[[#This Row],[Nitrate (PPM)]]&gt;2, "Very high", IF(AllData[[#This Row],[Nitrate (PPM)]]&gt;1, "High", IF(AllData[[#This Row],[Nitrate (PPM)]]&gt;0.5, "Some evidence", IF(AllData[[#This Row],[Nitrate (PPM)]]&gt;=0, "No evidence"))))</f>
        <v>Very high</v>
      </c>
      <c r="S741" s="4">
        <v>2.5</v>
      </c>
      <c r="T741" s="7" t="str">
        <f>IF(AllData[[#This Row],[Phosphate (PPM)]]&gt;0.5, "Very high", IF(AllData[[#This Row],[Phosphate (PPM)]]&gt;0.1, "High", IF(AllData[[#This Row],[Phosphate (PPM)]]&gt;0.05, "Some evidence", IF(AllData[[#This Row],[Phosphate (PPM)]]&lt;=0.05, "No Evidence", ""))))</f>
        <v>Very high</v>
      </c>
      <c r="U741">
        <v>0</v>
      </c>
      <c r="V741" t="s">
        <v>1910</v>
      </c>
    </row>
    <row r="742" spans="1:22" x14ac:dyDescent="0.25">
      <c r="A742" t="s">
        <v>1427</v>
      </c>
      <c r="B742" s="2">
        <v>45409</v>
      </c>
      <c r="C742" s="2" t="str" cm="1">
        <f t="array" ref="C7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2">
        <f>YEAR(AllData[[#This Row],[Date]])</f>
        <v>2024</v>
      </c>
      <c r="E742" s="1"/>
      <c r="F742" s="2" t="str">
        <f>IF(AND(AllData[[#This Row],[Time]]&lt;0.5, AllData[[#This Row],[Time]]&gt;0.17)=TRUE, "Morning", IF(AND(AllData[[#This Row],[Time]]&lt;0.75, AllData[[#This Row],[Time]]&gt;=0.5)=TRUE, "Afternoon", IF(AND(AllData[[#This Row],[Time]]&lt;1, AllData[[#This Row],[Time]]&gt;=0.75)=TRUE, "Evening", "Night")))</f>
        <v>Night</v>
      </c>
      <c r="G742" t="str">
        <f>_xlfn.XLOOKUP(AllData[[#This Row],[Location Name]], Locations[Location Name],Locations[Group As])</f>
        <v>Site 3  :  Severn Trent Water processing plant outflow</v>
      </c>
      <c r="H742" t="e" vm="2">
        <f>_xlfn.XLOOKUP(AllData[[#This Row],[Site Name]],LocationsKey[Site Name],LocationsKey[District])</f>
        <v>#VALUE!</v>
      </c>
      <c r="I742" t="e" vm="11">
        <f>_xlfn.XLOOKUP(AllData[[#This Row],[Site Name]],LocationsKey[Site Name],LocationsKey[Town])</f>
        <v>#VALUE!</v>
      </c>
      <c r="J742" t="str">
        <f>_xlfn.XLOOKUP(AllData[[#This Row],[Site Name]],LocationsKey[Site Name], LocationsKey[Waterway])</f>
        <v>Fosseway Brook</v>
      </c>
      <c r="K742" t="s">
        <v>1368</v>
      </c>
      <c r="L742">
        <v>52.094423999999997</v>
      </c>
      <c r="M742">
        <v>-1.6759090000000001</v>
      </c>
      <c r="N742" t="s">
        <v>29</v>
      </c>
      <c r="O742">
        <v>850</v>
      </c>
      <c r="P742">
        <v>13.1</v>
      </c>
      <c r="Q742">
        <v>10</v>
      </c>
      <c r="R742" s="7" t="str">
        <f>IF(AllData[[#This Row],[Nitrate (PPM)]]&gt;2, "Very high", IF(AllData[[#This Row],[Nitrate (PPM)]]&gt;1, "High", IF(AllData[[#This Row],[Nitrate (PPM)]]&gt;0.5, "Some evidence", IF(AllData[[#This Row],[Nitrate (PPM)]]&gt;=0, "No evidence"))))</f>
        <v>Very high</v>
      </c>
      <c r="S742" s="4">
        <v>2.5</v>
      </c>
      <c r="T742" s="7" t="str">
        <f>IF(AllData[[#This Row],[Phosphate (PPM)]]&gt;0.5, "Very high", IF(AllData[[#This Row],[Phosphate (PPM)]]&gt;0.1, "High", IF(AllData[[#This Row],[Phosphate (PPM)]]&gt;0.05, "Some evidence", IF(AllData[[#This Row],[Phosphate (PPM)]]&lt;=0.05, "No Evidence", ""))))</f>
        <v>Very high</v>
      </c>
    </row>
    <row r="743" spans="1:22" x14ac:dyDescent="0.25">
      <c r="A743" t="s">
        <v>1046</v>
      </c>
      <c r="B743" s="2">
        <v>45410</v>
      </c>
      <c r="C743" s="2" t="str" cm="1">
        <f t="array" ref="C7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3">
        <f>YEAR(AllData[[#This Row],[Date]])</f>
        <v>2024</v>
      </c>
      <c r="E743" s="1">
        <v>0.2048611111111111</v>
      </c>
      <c r="F743" s="2" t="str">
        <f>IF(AND(AllData[[#This Row],[Time]]&lt;0.5, AllData[[#This Row],[Time]]&gt;0.17)=TRUE, "Morning", IF(AND(AllData[[#This Row],[Time]]&lt;0.75, AllData[[#This Row],[Time]]&gt;=0.5)=TRUE, "Afternoon", IF(AND(AllData[[#This Row],[Time]]&lt;1, AllData[[#This Row],[Time]]&gt;=0.75)=TRUE, "Evening", "Night")))</f>
        <v>Morning</v>
      </c>
      <c r="G743" t="str">
        <f>_xlfn.XLOOKUP(AllData[[#This Row],[Location Name]], Locations[Location Name],Locations[Group As])</f>
        <v>Fell Mill Footbridge</v>
      </c>
      <c r="H743" t="e" vm="2">
        <f>_xlfn.XLOOKUP(AllData[[#This Row],[Site Name]],LocationsKey[Site Name],LocationsKey[District])</f>
        <v>#VALUE!</v>
      </c>
      <c r="I743" t="e" vm="10">
        <f>_xlfn.XLOOKUP(AllData[[#This Row],[Site Name]],LocationsKey[Site Name],LocationsKey[Town])</f>
        <v>#VALUE!</v>
      </c>
      <c r="J743" t="str">
        <f>_xlfn.XLOOKUP(AllData[[#This Row],[Site Name]],LocationsKey[Site Name], LocationsKey[Waterway])</f>
        <v>Stour</v>
      </c>
      <c r="K743" t="s">
        <v>818</v>
      </c>
      <c r="L743">
        <v>52.070086000000003</v>
      </c>
      <c r="M743">
        <v>-1.61145</v>
      </c>
      <c r="N743" t="s">
        <v>29</v>
      </c>
      <c r="O743" s="127">
        <v>465</v>
      </c>
      <c r="P743">
        <v>10.4</v>
      </c>
      <c r="Q743" s="127">
        <v>5</v>
      </c>
      <c r="R743" s="7" t="str">
        <f>IF(AllData[[#This Row],[Nitrate (PPM)]]&gt;2, "Very high", IF(AllData[[#This Row],[Nitrate (PPM)]]&gt;1, "High", IF(AllData[[#This Row],[Nitrate (PPM)]]&gt;0.5, "Some evidence", IF(AllData[[#This Row],[Nitrate (PPM)]]&gt;=0, "No evidence"))))</f>
        <v>Very high</v>
      </c>
      <c r="S743" s="133">
        <v>1.02</v>
      </c>
      <c r="T743" s="7" t="str">
        <f>IF(AllData[[#This Row],[Phosphate (PPM)]]&gt;0.5, "Very high", IF(AllData[[#This Row],[Phosphate (PPM)]]&gt;0.1, "High", IF(AllData[[#This Row],[Phosphate (PPM)]]&gt;0.05, "Some evidence", IF(AllData[[#This Row],[Phosphate (PPM)]]&lt;=0.05, "No Evidence", ""))))</f>
        <v>Very high</v>
      </c>
      <c r="U743">
        <v>0.9</v>
      </c>
    </row>
    <row r="744" spans="1:22" x14ac:dyDescent="0.25">
      <c r="A744" t="s">
        <v>1047</v>
      </c>
      <c r="B744" s="2">
        <v>45410</v>
      </c>
      <c r="C744" s="2" t="str" cm="1">
        <f t="array" ref="C7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4">
        <f>YEAR(AllData[[#This Row],[Date]])</f>
        <v>2024</v>
      </c>
      <c r="E744" s="1">
        <v>0.41666666666666669</v>
      </c>
      <c r="F744" s="2" t="str">
        <f>IF(AND(AllData[[#This Row],[Time]]&lt;0.5, AllData[[#This Row],[Time]]&gt;0.17)=TRUE, "Morning", IF(AND(AllData[[#This Row],[Time]]&lt;0.75, AllData[[#This Row],[Time]]&gt;=0.5)=TRUE, "Afternoon", IF(AND(AllData[[#This Row],[Time]]&lt;1, AllData[[#This Row],[Time]]&gt;=0.75)=TRUE, "Evening", "Night")))</f>
        <v>Morning</v>
      </c>
      <c r="G744" t="str">
        <f>_xlfn.XLOOKUP(AllData[[#This Row],[Location Name]], Locations[Location Name],Locations[Group As])</f>
        <v>Avonbank Drive</v>
      </c>
      <c r="H744" t="e" vm="2">
        <f>_xlfn.XLOOKUP(AllData[[#This Row],[Site Name]],LocationsKey[Site Name],LocationsKey[District])</f>
        <v>#VALUE!</v>
      </c>
      <c r="I744" t="e" vm="7">
        <f>_xlfn.XLOOKUP(AllData[[#This Row],[Site Name]],LocationsKey[Site Name],LocationsKey[Town])</f>
        <v>#VALUE!</v>
      </c>
      <c r="J744" t="str">
        <f>_xlfn.XLOOKUP(AllData[[#This Row],[Site Name]],LocationsKey[Site Name], LocationsKey[Waterway])</f>
        <v>Avon</v>
      </c>
      <c r="K744" t="s">
        <v>103</v>
      </c>
      <c r="L744">
        <v>52.177</v>
      </c>
      <c r="M744">
        <v>-1.736</v>
      </c>
      <c r="N744" t="s">
        <v>66</v>
      </c>
      <c r="O744" s="127">
        <v>890</v>
      </c>
      <c r="P744">
        <v>14.1</v>
      </c>
      <c r="Q744" s="127">
        <v>10</v>
      </c>
      <c r="R744" s="7" t="str">
        <f>IF(AllData[[#This Row],[Nitrate (PPM)]]&gt;2, "Very high", IF(AllData[[#This Row],[Nitrate (PPM)]]&gt;1, "High", IF(AllData[[#This Row],[Nitrate (PPM)]]&gt;0.5, "Some evidence", IF(AllData[[#This Row],[Nitrate (PPM)]]&gt;=0, "No evidence"))))</f>
        <v>Very high</v>
      </c>
      <c r="S744" s="133">
        <v>0.34</v>
      </c>
      <c r="T744" s="7" t="str">
        <f>IF(AllData[[#This Row],[Phosphate (PPM)]]&gt;0.5, "Very high", IF(AllData[[#This Row],[Phosphate (PPM)]]&gt;0.1, "High", IF(AllData[[#This Row],[Phosphate (PPM)]]&gt;0.05, "Some evidence", IF(AllData[[#This Row],[Phosphate (PPM)]]&lt;=0.05, "No Evidence", ""))))</f>
        <v>High</v>
      </c>
      <c r="U744">
        <v>1</v>
      </c>
    </row>
    <row r="745" spans="1:22" x14ac:dyDescent="0.25">
      <c r="A745" t="s">
        <v>1048</v>
      </c>
      <c r="B745" s="2">
        <v>45410</v>
      </c>
      <c r="C745" s="2" t="str" cm="1">
        <f t="array" ref="C7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5">
        <f>YEAR(AllData[[#This Row],[Date]])</f>
        <v>2024</v>
      </c>
      <c r="E745" s="1">
        <v>0.41666666666666669</v>
      </c>
      <c r="F745" s="2" t="str">
        <f>IF(AND(AllData[[#This Row],[Time]]&lt;0.5, AllData[[#This Row],[Time]]&gt;0.17)=TRUE, "Morning", IF(AND(AllData[[#This Row],[Time]]&lt;0.75, AllData[[#This Row],[Time]]&gt;=0.5)=TRUE, "Afternoon", IF(AND(AllData[[#This Row],[Time]]&lt;1, AllData[[#This Row],[Time]]&gt;=0.75)=TRUE, "Evening", "Night")))</f>
        <v>Morning</v>
      </c>
      <c r="G745" t="str">
        <f>_xlfn.XLOOKUP(AllData[[#This Row],[Location Name]], Locations[Location Name],Locations[Group As])</f>
        <v>Pitch 16</v>
      </c>
      <c r="H745" t="e" vm="2">
        <f>_xlfn.XLOOKUP(AllData[[#This Row],[Site Name]],LocationsKey[Site Name],LocationsKey[District])</f>
        <v>#VALUE!</v>
      </c>
      <c r="I745" t="e" vm="7">
        <f>_xlfn.XLOOKUP(AllData[[#This Row],[Site Name]],LocationsKey[Site Name],LocationsKey[Town])</f>
        <v>#VALUE!</v>
      </c>
      <c r="J745" t="str">
        <f>_xlfn.XLOOKUP(AllData[[#This Row],[Site Name]],LocationsKey[Site Name], LocationsKey[Waterway])</f>
        <v>Avon</v>
      </c>
      <c r="K745" t="s">
        <v>69</v>
      </c>
      <c r="N745" t="s">
        <v>1049</v>
      </c>
      <c r="O745" s="127">
        <v>861</v>
      </c>
      <c r="P745">
        <v>14.5</v>
      </c>
      <c r="Q745" s="127">
        <v>10</v>
      </c>
      <c r="R745" s="7" t="str">
        <f>IF(AllData[[#This Row],[Nitrate (PPM)]]&gt;2, "Very high", IF(AllData[[#This Row],[Nitrate (PPM)]]&gt;1, "High", IF(AllData[[#This Row],[Nitrate (PPM)]]&gt;0.5, "Some evidence", IF(AllData[[#This Row],[Nitrate (PPM)]]&gt;=0, "No evidence"))))</f>
        <v>Very high</v>
      </c>
      <c r="S745" s="133">
        <v>0.34</v>
      </c>
      <c r="T745" s="7" t="str">
        <f>IF(AllData[[#This Row],[Phosphate (PPM)]]&gt;0.5, "Very high", IF(AllData[[#This Row],[Phosphate (PPM)]]&gt;0.1, "High", IF(AllData[[#This Row],[Phosphate (PPM)]]&gt;0.05, "Some evidence", IF(AllData[[#This Row],[Phosphate (PPM)]]&lt;=0.05, "No Evidence", ""))))</f>
        <v>High</v>
      </c>
      <c r="U745">
        <v>1</v>
      </c>
    </row>
    <row r="746" spans="1:22" x14ac:dyDescent="0.25">
      <c r="A746" t="s">
        <v>1053</v>
      </c>
      <c r="B746" s="2">
        <v>45410</v>
      </c>
      <c r="C746" s="2" t="str" cm="1">
        <f t="array" ref="C7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6">
        <f>YEAR(AllData[[#This Row],[Date]])</f>
        <v>2024</v>
      </c>
      <c r="E746" s="1">
        <v>0.48958333333333331</v>
      </c>
      <c r="F746" s="2" t="str">
        <f>IF(AND(AllData[[#This Row],[Time]]&lt;0.5, AllData[[#This Row],[Time]]&gt;0.17)=TRUE, "Morning", IF(AND(AllData[[#This Row],[Time]]&lt;0.75, AllData[[#This Row],[Time]]&gt;=0.5)=TRUE, "Afternoon", IF(AND(AllData[[#This Row],[Time]]&lt;1, AllData[[#This Row],[Time]]&gt;=0.75)=TRUE, "Evening", "Night")))</f>
        <v>Morning</v>
      </c>
      <c r="G746" t="str">
        <f>_xlfn.XLOOKUP(AllData[[#This Row],[Location Name]], Locations[Location Name],Locations[Group As])</f>
        <v>Lucy's Mill Bridge</v>
      </c>
      <c r="H746" t="e" vm="2">
        <f>_xlfn.XLOOKUP(AllData[[#This Row],[Site Name]],LocationsKey[Site Name],LocationsKey[District])</f>
        <v>#VALUE!</v>
      </c>
      <c r="I746" t="e" vm="7">
        <f>_xlfn.XLOOKUP(AllData[[#This Row],[Site Name]],LocationsKey[Site Name],LocationsKey[Town])</f>
        <v>#VALUE!</v>
      </c>
      <c r="J746" t="str">
        <f>_xlfn.XLOOKUP(AllData[[#This Row],[Site Name]],LocationsKey[Site Name], LocationsKey[Waterway])</f>
        <v>Avon</v>
      </c>
      <c r="K746" t="s">
        <v>216</v>
      </c>
      <c r="L746">
        <v>52.183698999999997</v>
      </c>
      <c r="M746">
        <v>-1.707816</v>
      </c>
      <c r="N746" t="s">
        <v>29</v>
      </c>
      <c r="P746">
        <v>12</v>
      </c>
      <c r="Q746">
        <v>5</v>
      </c>
      <c r="R746" s="7" t="str">
        <f>IF(AllData[[#This Row],[Nitrate (PPM)]]&gt;2, "Very high", IF(AllData[[#This Row],[Nitrate (PPM)]]&gt;1, "High", IF(AllData[[#This Row],[Nitrate (PPM)]]&gt;0.5, "Some evidence", IF(AllData[[#This Row],[Nitrate (PPM)]]&gt;=0, "No evidence"))))</f>
        <v>Very high</v>
      </c>
      <c r="S746" s="4">
        <v>0.26</v>
      </c>
      <c r="T746" s="7" t="str">
        <f>IF(AllData[[#This Row],[Phosphate (PPM)]]&gt;0.5, "Very high", IF(AllData[[#This Row],[Phosphate (PPM)]]&gt;0.1, "High", IF(AllData[[#This Row],[Phosphate (PPM)]]&gt;0.05, "Some evidence", IF(AllData[[#This Row],[Phosphate (PPM)]]&lt;=0.05, "No Evidence", ""))))</f>
        <v>High</v>
      </c>
      <c r="U746">
        <v>0.7</v>
      </c>
    </row>
    <row r="747" spans="1:22" x14ac:dyDescent="0.25">
      <c r="A747" t="s">
        <v>1054</v>
      </c>
      <c r="B747" s="2">
        <v>45410</v>
      </c>
      <c r="C747" s="2" t="str" cm="1">
        <f t="array" ref="C7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7">
        <f>YEAR(AllData[[#This Row],[Date]])</f>
        <v>2024</v>
      </c>
      <c r="E747" s="1">
        <v>0.5625</v>
      </c>
      <c r="F747" s="2" t="str">
        <f>IF(AND(AllData[[#This Row],[Time]]&lt;0.5, AllData[[#This Row],[Time]]&gt;0.17)=TRUE, "Morning", IF(AND(AllData[[#This Row],[Time]]&lt;0.75, AllData[[#This Row],[Time]]&gt;=0.5)=TRUE, "Afternoon", IF(AND(AllData[[#This Row],[Time]]&lt;1, AllData[[#This Row],[Time]]&gt;=0.75)=TRUE, "Evening", "Night")))</f>
        <v>Afternoon</v>
      </c>
      <c r="G747" t="str">
        <f>_xlfn.XLOOKUP(AllData[[#This Row],[Location Name]], Locations[Location Name],Locations[Group As])</f>
        <v>The Ford, Langley</v>
      </c>
      <c r="H747" t="e" vm="2">
        <f>_xlfn.XLOOKUP(AllData[[#This Row],[Site Name]],LocationsKey[Site Name],LocationsKey[District])</f>
        <v>#VALUE!</v>
      </c>
      <c r="I747" t="str">
        <f>_xlfn.XLOOKUP(AllData[[#This Row],[Site Name]],LocationsKey[Site Name],LocationsKey[Town])</f>
        <v>Langley</v>
      </c>
      <c r="J747" t="str">
        <f>_xlfn.XLOOKUP(AllData[[#This Row],[Site Name]],LocationsKey[Site Name], LocationsKey[Waterway])</f>
        <v>Langley Ford</v>
      </c>
      <c r="K747" t="s">
        <v>526</v>
      </c>
      <c r="L747">
        <v>52.259824000000002</v>
      </c>
      <c r="M747">
        <v>-1.718574</v>
      </c>
      <c r="N747" t="s">
        <v>29</v>
      </c>
      <c r="O747" s="219">
        <v>295</v>
      </c>
      <c r="P747">
        <v>10.3</v>
      </c>
      <c r="Q747" s="219">
        <v>5</v>
      </c>
      <c r="R747" s="7" t="str">
        <f>IF(AllData[[#This Row],[Nitrate (PPM)]]&gt;2, "Very high", IF(AllData[[#This Row],[Nitrate (PPM)]]&gt;1, "High", IF(AllData[[#This Row],[Nitrate (PPM)]]&gt;0.5, "Some evidence", IF(AllData[[#This Row],[Nitrate (PPM)]]&gt;=0, "No evidence"))))</f>
        <v>Very high</v>
      </c>
      <c r="S747" s="221">
        <v>0.89</v>
      </c>
      <c r="T747" s="7" t="str">
        <f>IF(AllData[[#This Row],[Phosphate (PPM)]]&gt;0.5, "Very high", IF(AllData[[#This Row],[Phosphate (PPM)]]&gt;0.1, "High", IF(AllData[[#This Row],[Phosphate (PPM)]]&gt;0.05, "Some evidence", IF(AllData[[#This Row],[Phosphate (PPM)]]&lt;=0.05, "No Evidence", ""))))</f>
        <v>Very high</v>
      </c>
      <c r="U747">
        <v>0.65</v>
      </c>
    </row>
    <row r="748" spans="1:22" x14ac:dyDescent="0.25">
      <c r="A748" t="s">
        <v>1050</v>
      </c>
      <c r="B748" s="2">
        <v>45410</v>
      </c>
      <c r="C748" s="2" t="str" cm="1">
        <f t="array" ref="C7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8">
        <f>YEAR(AllData[[#This Row],[Date]])</f>
        <v>2024</v>
      </c>
      <c r="E748" s="1">
        <v>0.58333333333333337</v>
      </c>
      <c r="F748" s="2" t="str">
        <f>IF(AND(AllData[[#This Row],[Time]]&lt;0.5, AllData[[#This Row],[Time]]&gt;0.17)=TRUE, "Morning", IF(AND(AllData[[#This Row],[Time]]&lt;0.75, AllData[[#This Row],[Time]]&gt;=0.5)=TRUE, "Afternoon", IF(AND(AllData[[#This Row],[Time]]&lt;1, AllData[[#This Row],[Time]]&gt;=0.75)=TRUE, "Evening", "Night")))</f>
        <v>Afternoon</v>
      </c>
      <c r="G748" t="str">
        <f>_xlfn.XLOOKUP(AllData[[#This Row],[Location Name]], Locations[Location Name],Locations[Group As])</f>
        <v>Clifford Chambers Mill Bridge</v>
      </c>
      <c r="H748" t="e" vm="2">
        <f>_xlfn.XLOOKUP(AllData[[#This Row],[Site Name]],LocationsKey[Site Name],LocationsKey[District])</f>
        <v>#VALUE!</v>
      </c>
      <c r="I748" t="e" vm="12">
        <f>_xlfn.XLOOKUP(AllData[[#This Row],[Site Name]],LocationsKey[Site Name],LocationsKey[Town])</f>
        <v>#VALUE!</v>
      </c>
      <c r="J748" t="str">
        <f>_xlfn.XLOOKUP(AllData[[#This Row],[Site Name]],LocationsKey[Site Name], LocationsKey[Waterway])</f>
        <v>Stour</v>
      </c>
      <c r="K748" t="s">
        <v>263</v>
      </c>
      <c r="L748">
        <v>52.166370000000001</v>
      </c>
      <c r="M748">
        <v>-1.708032</v>
      </c>
      <c r="N748" t="s">
        <v>66</v>
      </c>
      <c r="O748" s="220">
        <v>647</v>
      </c>
      <c r="P748">
        <v>11.2</v>
      </c>
      <c r="Q748" s="220">
        <v>8</v>
      </c>
      <c r="R748" s="7" t="str">
        <f>IF(AllData[[#This Row],[Nitrate (PPM)]]&gt;2, "Very high", IF(AllData[[#This Row],[Nitrate (PPM)]]&gt;1, "High", IF(AllData[[#This Row],[Nitrate (PPM)]]&gt;0.5, "Some evidence", IF(AllData[[#This Row],[Nitrate (PPM)]]&gt;=0, "No evidence"))))</f>
        <v>Very high</v>
      </c>
      <c r="S748" s="222">
        <v>0.13</v>
      </c>
      <c r="T748" s="7" t="str">
        <f>IF(AllData[[#This Row],[Phosphate (PPM)]]&gt;0.5, "Very high", IF(AllData[[#This Row],[Phosphate (PPM)]]&gt;0.1, "High", IF(AllData[[#This Row],[Phosphate (PPM)]]&gt;0.05, "Some evidence", IF(AllData[[#This Row],[Phosphate (PPM)]]&lt;=0.05, "No Evidence", ""))))</f>
        <v>High</v>
      </c>
      <c r="U748">
        <v>1.2</v>
      </c>
    </row>
    <row r="749" spans="1:22" x14ac:dyDescent="0.25">
      <c r="A749" t="s">
        <v>1051</v>
      </c>
      <c r="B749" s="2">
        <v>45410</v>
      </c>
      <c r="C749" s="2" t="str" cm="1">
        <f t="array" ref="C7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9">
        <f>YEAR(AllData[[#This Row],[Date]])</f>
        <v>2024</v>
      </c>
      <c r="E749" s="1">
        <v>0.625</v>
      </c>
      <c r="F749" s="2" t="str">
        <f>IF(AND(AllData[[#This Row],[Time]]&lt;0.5, AllData[[#This Row],[Time]]&gt;0.17)=TRUE, "Morning", IF(AND(AllData[[#This Row],[Time]]&lt;0.75, AllData[[#This Row],[Time]]&gt;=0.5)=TRUE, "Afternoon", IF(AND(AllData[[#This Row],[Time]]&lt;1, AllData[[#This Row],[Time]]&gt;=0.75)=TRUE, "Evening", "Night")))</f>
        <v>Afternoon</v>
      </c>
      <c r="G749" t="str">
        <f>_xlfn.XLOOKUP(AllData[[#This Row],[Location Name]], Locations[Location Name],Locations[Group As])</f>
        <v>Sherbourne Brook 1</v>
      </c>
      <c r="H749" t="e" vm="2">
        <f>_xlfn.XLOOKUP(AllData[[#This Row],[Site Name]],LocationsKey[Site Name],LocationsKey[District])</f>
        <v>#VALUE!</v>
      </c>
      <c r="I749" t="e" vm="16">
        <f>_xlfn.XLOOKUP(AllData[[#This Row],[Site Name]],LocationsKey[Site Name],LocationsKey[Town])</f>
        <v>#VALUE!</v>
      </c>
      <c r="J749" t="str">
        <f>_xlfn.XLOOKUP(AllData[[#This Row],[Site Name]],LocationsKey[Site Name], LocationsKey[Waterway])</f>
        <v>Sherbourne Brook</v>
      </c>
      <c r="K749" t="s">
        <v>570</v>
      </c>
      <c r="L749">
        <v>52.252499999999998</v>
      </c>
      <c r="M749">
        <v>-1.6685000000000001</v>
      </c>
      <c r="N749" t="s">
        <v>23</v>
      </c>
      <c r="O749" s="127">
        <v>821</v>
      </c>
      <c r="P749">
        <v>9.6</v>
      </c>
      <c r="Q749" s="127">
        <v>8</v>
      </c>
      <c r="R749" s="7" t="str">
        <f>IF(AllData[[#This Row],[Nitrate (PPM)]]&gt;2, "Very high", IF(AllData[[#This Row],[Nitrate (PPM)]]&gt;1, "High", IF(AllData[[#This Row],[Nitrate (PPM)]]&gt;0.5, "Some evidence", IF(AllData[[#This Row],[Nitrate (PPM)]]&gt;=0, "No evidence"))))</f>
        <v>Very high</v>
      </c>
      <c r="S749" s="133">
        <v>0.72</v>
      </c>
      <c r="T749" s="7" t="str">
        <f>IF(AllData[[#This Row],[Phosphate (PPM)]]&gt;0.5, "Very high", IF(AllData[[#This Row],[Phosphate (PPM)]]&gt;0.1, "High", IF(AllData[[#This Row],[Phosphate (PPM)]]&gt;0.05, "Some evidence", IF(AllData[[#This Row],[Phosphate (PPM)]]&lt;=0.05, "No Evidence", ""))))</f>
        <v>Very high</v>
      </c>
      <c r="U749">
        <v>9.1999999999999993</v>
      </c>
    </row>
    <row r="750" spans="1:22" x14ac:dyDescent="0.25">
      <c r="A750" t="s">
        <v>1052</v>
      </c>
      <c r="B750" s="2">
        <v>45410</v>
      </c>
      <c r="C750" s="2" t="str" cm="1">
        <f t="array" ref="C7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0">
        <f>YEAR(AllData[[#This Row],[Date]])</f>
        <v>2024</v>
      </c>
      <c r="E750" s="1">
        <v>0.63541666666666663</v>
      </c>
      <c r="F750" s="2" t="str">
        <f>IF(AND(AllData[[#This Row],[Time]]&lt;0.5, AllData[[#This Row],[Time]]&gt;0.17)=TRUE, "Morning", IF(AND(AllData[[#This Row],[Time]]&lt;0.75, AllData[[#This Row],[Time]]&gt;=0.5)=TRUE, "Afternoon", IF(AND(AllData[[#This Row],[Time]]&lt;1, AllData[[#This Row],[Time]]&gt;=0.75)=TRUE, "Evening", "Night")))</f>
        <v>Afternoon</v>
      </c>
      <c r="G750" t="str">
        <f>_xlfn.XLOOKUP(AllData[[#This Row],[Location Name]], Locations[Location Name],Locations[Group As])</f>
        <v>Bell Brook 1</v>
      </c>
      <c r="H750" t="e" vm="2">
        <f>_xlfn.XLOOKUP(AllData[[#This Row],[Site Name]],LocationsKey[Site Name],LocationsKey[District])</f>
        <v>#VALUE!</v>
      </c>
      <c r="I750" t="e" vm="15">
        <f>_xlfn.XLOOKUP(AllData[[#This Row],[Site Name]],LocationsKey[Site Name],LocationsKey[Town])</f>
        <v>#VALUE!</v>
      </c>
      <c r="J750" t="str">
        <f>_xlfn.XLOOKUP(AllData[[#This Row],[Site Name]],LocationsKey[Site Name], LocationsKey[Waterway])</f>
        <v>Bell Brook</v>
      </c>
      <c r="K750" t="s">
        <v>534</v>
      </c>
      <c r="L750">
        <v>52.244900000000001</v>
      </c>
      <c r="M750">
        <v>-1.6617</v>
      </c>
      <c r="N750" t="s">
        <v>23</v>
      </c>
      <c r="O750" s="127">
        <v>684</v>
      </c>
      <c r="P750">
        <v>10.5</v>
      </c>
      <c r="Q750" s="127">
        <v>5</v>
      </c>
      <c r="R750" s="7" t="str">
        <f>IF(AllData[[#This Row],[Nitrate (PPM)]]&gt;2, "Very high", IF(AllData[[#This Row],[Nitrate (PPM)]]&gt;1, "High", IF(AllData[[#This Row],[Nitrate (PPM)]]&gt;0.5, "Some evidence", IF(AllData[[#This Row],[Nitrate (PPM)]]&gt;=0, "No evidence"))))</f>
        <v>Very high</v>
      </c>
      <c r="S750" s="133">
        <v>0.53</v>
      </c>
      <c r="T750" s="7" t="str">
        <f>IF(AllData[[#This Row],[Phosphate (PPM)]]&gt;0.5, "Very high", IF(AllData[[#This Row],[Phosphate (PPM)]]&gt;0.1, "High", IF(AllData[[#This Row],[Phosphate (PPM)]]&gt;0.05, "Some evidence", IF(AllData[[#This Row],[Phosphate (PPM)]]&lt;=0.05, "No Evidence", ""))))</f>
        <v>Very high</v>
      </c>
      <c r="U750">
        <v>0.2</v>
      </c>
    </row>
    <row r="751" spans="1:22" x14ac:dyDescent="0.25">
      <c r="A751" t="s">
        <v>1055</v>
      </c>
      <c r="B751" s="2">
        <v>45411</v>
      </c>
      <c r="C751" s="2" t="str" cm="1">
        <f t="array" ref="C7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1">
        <f>YEAR(AllData[[#This Row],[Date]])</f>
        <v>2024</v>
      </c>
      <c r="E751" s="1">
        <v>0.375</v>
      </c>
      <c r="F751" s="2" t="str">
        <f>IF(AND(AllData[[#This Row],[Time]]&lt;0.5, AllData[[#This Row],[Time]]&gt;0.17)=TRUE, "Morning", IF(AND(AllData[[#This Row],[Time]]&lt;0.75, AllData[[#This Row],[Time]]&gt;=0.5)=TRUE, "Afternoon", IF(AND(AllData[[#This Row],[Time]]&lt;1, AllData[[#This Row],[Time]]&gt;=0.75)=TRUE, "Evening", "Night")))</f>
        <v>Morning</v>
      </c>
      <c r="G751" t="str">
        <f>_xlfn.XLOOKUP(AllData[[#This Row],[Location Name]], Locations[Location Name],Locations[Group As])</f>
        <v>Stour Stretton-on-Fosse Village</v>
      </c>
      <c r="H751" t="e" vm="2">
        <f>_xlfn.XLOOKUP(AllData[[#This Row],[Site Name]],LocationsKey[Site Name],LocationsKey[District])</f>
        <v>#VALUE!</v>
      </c>
      <c r="I751" t="e" vm="14">
        <f>_xlfn.XLOOKUP(AllData[[#This Row],[Site Name]],LocationsKey[Site Name],LocationsKey[Town])</f>
        <v>#VALUE!</v>
      </c>
      <c r="J751" t="str">
        <f>_xlfn.XLOOKUP(AllData[[#This Row],[Site Name]],LocationsKey[Site Name], LocationsKey[Waterway])</f>
        <v>Stour</v>
      </c>
      <c r="K751" t="s">
        <v>544</v>
      </c>
      <c r="L751">
        <v>52.046436999999997</v>
      </c>
      <c r="M751">
        <v>-1.6734960000000001</v>
      </c>
      <c r="N751" t="s">
        <v>66</v>
      </c>
      <c r="O751" s="127">
        <v>564</v>
      </c>
      <c r="P751">
        <v>10.1</v>
      </c>
      <c r="Q751" s="127">
        <v>2</v>
      </c>
      <c r="R751" s="7" t="str">
        <f>IF(AllData[[#This Row],[Nitrate (PPM)]]&gt;2, "Very high", IF(AllData[[#This Row],[Nitrate (PPM)]]&gt;1, "High", IF(AllData[[#This Row],[Nitrate (PPM)]]&gt;0.5, "Some evidence", IF(AllData[[#This Row],[Nitrate (PPM)]]&gt;=0, "No evidence"))))</f>
        <v>High</v>
      </c>
      <c r="S751" s="133">
        <v>0.82</v>
      </c>
      <c r="T751" s="7" t="str">
        <f>IF(AllData[[#This Row],[Phosphate (PPM)]]&gt;0.5, "Very high", IF(AllData[[#This Row],[Phosphate (PPM)]]&gt;0.1, "High", IF(AllData[[#This Row],[Phosphate (PPM)]]&gt;0.05, "Some evidence", IF(AllData[[#This Row],[Phosphate (PPM)]]&lt;=0.05, "No Evidence", ""))))</f>
        <v>Very high</v>
      </c>
      <c r="U751">
        <v>0.2</v>
      </c>
    </row>
    <row r="752" spans="1:22" x14ac:dyDescent="0.25">
      <c r="A752" t="s">
        <v>1056</v>
      </c>
      <c r="B752" s="2">
        <v>45411</v>
      </c>
      <c r="C752" s="2" t="str" cm="1">
        <f t="array" ref="C7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2">
        <f>YEAR(AllData[[#This Row],[Date]])</f>
        <v>2024</v>
      </c>
      <c r="E752" s="1">
        <v>0.3840277777777778</v>
      </c>
      <c r="F752" s="2" t="str">
        <f>IF(AND(AllData[[#This Row],[Time]]&lt;0.5, AllData[[#This Row],[Time]]&gt;0.17)=TRUE, "Morning", IF(AND(AllData[[#This Row],[Time]]&lt;0.75, AllData[[#This Row],[Time]]&gt;=0.5)=TRUE, "Afternoon", IF(AND(AllData[[#This Row],[Time]]&lt;1, AllData[[#This Row],[Time]]&gt;=0.75)=TRUE, "Evening", "Night")))</f>
        <v>Morning</v>
      </c>
      <c r="G752" t="str">
        <f>_xlfn.XLOOKUP(AllData[[#This Row],[Location Name]], Locations[Location Name],Locations[Group As])</f>
        <v>Stour Stretton-on-Fosse Sewage Works</v>
      </c>
      <c r="H752" t="e" vm="2">
        <f>_xlfn.XLOOKUP(AllData[[#This Row],[Site Name]],LocationsKey[Site Name],LocationsKey[District])</f>
        <v>#VALUE!</v>
      </c>
      <c r="I752" t="e" vm="14">
        <f>_xlfn.XLOOKUP(AllData[[#This Row],[Site Name]],LocationsKey[Site Name],LocationsKey[Town])</f>
        <v>#VALUE!</v>
      </c>
      <c r="J752" t="str">
        <f>_xlfn.XLOOKUP(AllData[[#This Row],[Site Name]],LocationsKey[Site Name], LocationsKey[Waterway])</f>
        <v>Stour</v>
      </c>
      <c r="K752" t="s">
        <v>335</v>
      </c>
      <c r="L752">
        <v>52.045634</v>
      </c>
      <c r="M752">
        <v>-1.67191</v>
      </c>
      <c r="N752" t="s">
        <v>29</v>
      </c>
      <c r="O752" s="127">
        <v>608</v>
      </c>
      <c r="P752">
        <v>9.4</v>
      </c>
      <c r="Q752" s="127">
        <v>5</v>
      </c>
      <c r="R752" s="7" t="str">
        <f>IF(AllData[[#This Row],[Nitrate (PPM)]]&gt;2, "Very high", IF(AllData[[#This Row],[Nitrate (PPM)]]&gt;1, "High", IF(AllData[[#This Row],[Nitrate (PPM)]]&gt;0.5, "Some evidence", IF(AllData[[#This Row],[Nitrate (PPM)]]&gt;=0, "No evidence"))))</f>
        <v>Very high</v>
      </c>
      <c r="S752" s="133">
        <v>1.48</v>
      </c>
      <c r="T752" s="7" t="str">
        <f>IF(AllData[[#This Row],[Phosphate (PPM)]]&gt;0.5, "Very high", IF(AllData[[#This Row],[Phosphate (PPM)]]&gt;0.1, "High", IF(AllData[[#This Row],[Phosphate (PPM)]]&gt;0.05, "Some evidence", IF(AllData[[#This Row],[Phosphate (PPM)]]&lt;=0.05, "No Evidence", ""))))</f>
        <v>Very high</v>
      </c>
      <c r="U752">
        <v>0.25</v>
      </c>
    </row>
    <row r="753" spans="1:22" x14ac:dyDescent="0.25">
      <c r="A753" t="s">
        <v>1057</v>
      </c>
      <c r="B753" s="2">
        <v>45411</v>
      </c>
      <c r="C753" s="2" t="str" cm="1">
        <f t="array" ref="C7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3">
        <f>YEAR(AllData[[#This Row],[Date]])</f>
        <v>2024</v>
      </c>
      <c r="E753" s="1">
        <v>0.60972222222222228</v>
      </c>
      <c r="F753" s="2" t="str">
        <f>IF(AND(AllData[[#This Row],[Time]]&lt;0.5, AllData[[#This Row],[Time]]&gt;0.17)=TRUE, "Morning", IF(AND(AllData[[#This Row],[Time]]&lt;0.75, AllData[[#This Row],[Time]]&gt;=0.5)=TRUE, "Afternoon", IF(AND(AllData[[#This Row],[Time]]&lt;1, AllData[[#This Row],[Time]]&gt;=0.75)=TRUE, "Evening", "Night")))</f>
        <v>Afternoon</v>
      </c>
      <c r="G753" t="str">
        <f>_xlfn.XLOOKUP(AllData[[#This Row],[Location Name]], Locations[Location Name],Locations[Group As])</f>
        <v>Alveston Weir</v>
      </c>
      <c r="H753" t="e" vm="2">
        <f>_xlfn.XLOOKUP(AllData[[#This Row],[Site Name]],LocationsKey[Site Name],LocationsKey[District])</f>
        <v>#VALUE!</v>
      </c>
      <c r="I753" t="e" vm="13">
        <f>_xlfn.XLOOKUP(AllData[[#This Row],[Site Name]],LocationsKey[Site Name],LocationsKey[Town])</f>
        <v>#VALUE!</v>
      </c>
      <c r="J753" t="str">
        <f>_xlfn.XLOOKUP(AllData[[#This Row],[Site Name]],LocationsKey[Site Name], LocationsKey[Waterway])</f>
        <v>Avon</v>
      </c>
      <c r="K753" t="s">
        <v>286</v>
      </c>
      <c r="N753" t="s">
        <v>29</v>
      </c>
      <c r="O753" s="127">
        <v>442</v>
      </c>
      <c r="P753">
        <v>12.1</v>
      </c>
      <c r="Q753" s="127">
        <v>5</v>
      </c>
      <c r="R753" s="7" t="str">
        <f>IF(AllData[[#This Row],[Nitrate (PPM)]]&gt;2, "Very high", IF(AllData[[#This Row],[Nitrate (PPM)]]&gt;1, "High", IF(AllData[[#This Row],[Nitrate (PPM)]]&gt;0.5, "Some evidence", IF(AllData[[#This Row],[Nitrate (PPM)]]&gt;=0, "No evidence"))))</f>
        <v>Very high</v>
      </c>
      <c r="S753" s="133">
        <v>0.3</v>
      </c>
      <c r="T753" s="7" t="str">
        <f>IF(AllData[[#This Row],[Phosphate (PPM)]]&gt;0.5, "Very high", IF(AllData[[#This Row],[Phosphate (PPM)]]&gt;0.1, "High", IF(AllData[[#This Row],[Phosphate (PPM)]]&gt;0.05, "Some evidence", IF(AllData[[#This Row],[Phosphate (PPM)]]&lt;=0.05, "No Evidence", ""))))</f>
        <v>High</v>
      </c>
      <c r="U753">
        <v>1.5</v>
      </c>
    </row>
    <row r="754" spans="1:22" x14ac:dyDescent="0.25">
      <c r="A754" t="s">
        <v>1058</v>
      </c>
      <c r="B754" s="2">
        <v>45411</v>
      </c>
      <c r="C754" s="2" t="str" cm="1">
        <f t="array" ref="C7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4">
        <f>YEAR(AllData[[#This Row],[Date]])</f>
        <v>2024</v>
      </c>
      <c r="E754" s="1">
        <v>0.625</v>
      </c>
      <c r="F754" s="2" t="str">
        <f>IF(AND(AllData[[#This Row],[Time]]&lt;0.5, AllData[[#This Row],[Time]]&gt;0.17)=TRUE, "Morning", IF(AND(AllData[[#This Row],[Time]]&lt;0.75, AllData[[#This Row],[Time]]&gt;=0.5)=TRUE, "Afternoon", IF(AND(AllData[[#This Row],[Time]]&lt;1, AllData[[#This Row],[Time]]&gt;=0.75)=TRUE, "Evening", "Night")))</f>
        <v>Afternoon</v>
      </c>
      <c r="G754" t="str">
        <f>_xlfn.XLOOKUP(AllData[[#This Row],[Location Name]], Locations[Location Name],Locations[Group As])</f>
        <v>Swiffen Bank</v>
      </c>
      <c r="H754" t="e" vm="2">
        <f>_xlfn.XLOOKUP(AllData[[#This Row],[Site Name]],LocationsKey[Site Name],LocationsKey[District])</f>
        <v>#VALUE!</v>
      </c>
      <c r="I754" t="e" vm="13">
        <f>_xlfn.XLOOKUP(AllData[[#This Row],[Site Name]],LocationsKey[Site Name],LocationsKey[Town])</f>
        <v>#VALUE!</v>
      </c>
      <c r="J754" t="str">
        <f>_xlfn.XLOOKUP(AllData[[#This Row],[Site Name]],LocationsKey[Site Name], LocationsKey[Waterway])</f>
        <v>Avon</v>
      </c>
      <c r="K754" t="s">
        <v>284</v>
      </c>
      <c r="L754">
        <v>52.206477999999997</v>
      </c>
      <c r="M754">
        <v>-1.653894</v>
      </c>
      <c r="N754" t="s">
        <v>29</v>
      </c>
      <c r="O754" s="127">
        <v>491</v>
      </c>
      <c r="P754">
        <v>14.2</v>
      </c>
      <c r="Q754" s="127">
        <v>5</v>
      </c>
      <c r="R754" s="7" t="str">
        <f>IF(AllData[[#This Row],[Nitrate (PPM)]]&gt;2, "Very high", IF(AllData[[#This Row],[Nitrate (PPM)]]&gt;1, "High", IF(AllData[[#This Row],[Nitrate (PPM)]]&gt;0.5, "Some evidence", IF(AllData[[#This Row],[Nitrate (PPM)]]&gt;=0, "No evidence"))))</f>
        <v>Very high</v>
      </c>
      <c r="S754" s="133">
        <v>0.53</v>
      </c>
      <c r="T754" s="7" t="str">
        <f>IF(AllData[[#This Row],[Phosphate (PPM)]]&gt;0.5, "Very high", IF(AllData[[#This Row],[Phosphate (PPM)]]&gt;0.1, "High", IF(AllData[[#This Row],[Phosphate (PPM)]]&gt;0.05, "Some evidence", IF(AllData[[#This Row],[Phosphate (PPM)]]&lt;=0.05, "No Evidence", ""))))</f>
        <v>Very high</v>
      </c>
      <c r="U754">
        <v>1.5</v>
      </c>
      <c r="V754" t="s">
        <v>1059</v>
      </c>
    </row>
    <row r="755" spans="1:22" x14ac:dyDescent="0.25">
      <c r="A755" t="s">
        <v>1060</v>
      </c>
      <c r="B755" s="2">
        <v>45412</v>
      </c>
      <c r="C755" s="2" t="str" cm="1">
        <f t="array" ref="C7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5">
        <f>YEAR(AllData[[#This Row],[Date]])</f>
        <v>2024</v>
      </c>
      <c r="E755" s="1">
        <v>0.44166666666666665</v>
      </c>
      <c r="F755" s="2" t="str">
        <f>IF(AND(AllData[[#This Row],[Time]]&lt;0.5, AllData[[#This Row],[Time]]&gt;0.17)=TRUE, "Morning", IF(AND(AllData[[#This Row],[Time]]&lt;0.75, AllData[[#This Row],[Time]]&gt;=0.5)=TRUE, "Afternoon", IF(AND(AllData[[#This Row],[Time]]&lt;1, AllData[[#This Row],[Time]]&gt;=0.75)=TRUE, "Evening", "Night")))</f>
        <v>Morning</v>
      </c>
      <c r="G755" t="str">
        <f>_xlfn.XLOOKUP(AllData[[#This Row],[Location Name]], Locations[Location Name],Locations[Group As])</f>
        <v>Carrant Mitton Path</v>
      </c>
      <c r="H755" t="e" vm="1">
        <f>_xlfn.XLOOKUP(AllData[[#This Row],[Site Name]],LocationsKey[Site Name],LocationsKey[District])</f>
        <v>#VALUE!</v>
      </c>
      <c r="I755" t="e" vm="1">
        <f>_xlfn.XLOOKUP(AllData[[#This Row],[Site Name]],LocationsKey[Site Name],LocationsKey[Town])</f>
        <v>#VALUE!</v>
      </c>
      <c r="J755" t="str">
        <f>_xlfn.XLOOKUP(AllData[[#This Row],[Site Name]],LocationsKey[Site Name], LocationsKey[Waterway])</f>
        <v>Carrant</v>
      </c>
      <c r="K755" t="s">
        <v>1061</v>
      </c>
      <c r="L755">
        <v>51.999794000000001</v>
      </c>
      <c r="M755">
        <v>-2.1410179999999999</v>
      </c>
      <c r="N755" t="s">
        <v>23</v>
      </c>
      <c r="O755" s="127">
        <v>696</v>
      </c>
      <c r="P755">
        <v>13.2</v>
      </c>
      <c r="Q755" s="127">
        <v>10</v>
      </c>
      <c r="R755" s="7" t="str">
        <f>IF(AllData[[#This Row],[Nitrate (PPM)]]&gt;2, "Very high", IF(AllData[[#This Row],[Nitrate (PPM)]]&gt;1, "High", IF(AllData[[#This Row],[Nitrate (PPM)]]&gt;0.5, "Some evidence", IF(AllData[[#This Row],[Nitrate (PPM)]]&gt;=0, "No evidence"))))</f>
        <v>Very high</v>
      </c>
      <c r="S755" s="133">
        <v>0.27</v>
      </c>
      <c r="T755" s="7" t="str">
        <f>IF(AllData[[#This Row],[Phosphate (PPM)]]&gt;0.5, "Very high", IF(AllData[[#This Row],[Phosphate (PPM)]]&gt;0.1, "High", IF(AllData[[#This Row],[Phosphate (PPM)]]&gt;0.05, "Some evidence", IF(AllData[[#This Row],[Phosphate (PPM)]]&lt;=0.05, "No Evidence", ""))))</f>
        <v>High</v>
      </c>
      <c r="U755">
        <v>0</v>
      </c>
    </row>
    <row r="756" spans="1:22" x14ac:dyDescent="0.25">
      <c r="A756" t="s">
        <v>1062</v>
      </c>
      <c r="B756" s="2">
        <v>45412</v>
      </c>
      <c r="C756" s="2" t="str" cm="1">
        <f t="array" ref="C7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6">
        <f>YEAR(AllData[[#This Row],[Date]])</f>
        <v>2024</v>
      </c>
      <c r="E756" s="1">
        <v>0.47013888888888888</v>
      </c>
      <c r="F756" s="2" t="str">
        <f>IF(AND(AllData[[#This Row],[Time]]&lt;0.5, AllData[[#This Row],[Time]]&gt;0.17)=TRUE, "Morning", IF(AND(AllData[[#This Row],[Time]]&lt;0.75, AllData[[#This Row],[Time]]&gt;=0.5)=TRUE, "Afternoon", IF(AND(AllData[[#This Row],[Time]]&lt;1, AllData[[#This Row],[Time]]&gt;=0.75)=TRUE, "Evening", "Night")))</f>
        <v>Morning</v>
      </c>
      <c r="G756" t="str">
        <f>_xlfn.XLOOKUP(AllData[[#This Row],[Location Name]], Locations[Location Name],Locations[Group As])</f>
        <v>Carrant M5 Bridge</v>
      </c>
      <c r="H756" t="e" vm="1">
        <f>_xlfn.XLOOKUP(AllData[[#This Row],[Site Name]],LocationsKey[Site Name],LocationsKey[District])</f>
        <v>#VALUE!</v>
      </c>
      <c r="I756" t="e" vm="1">
        <f>_xlfn.XLOOKUP(AllData[[#This Row],[Site Name]],LocationsKey[Site Name],LocationsKey[Town])</f>
        <v>#VALUE!</v>
      </c>
      <c r="J756" t="str">
        <f>_xlfn.XLOOKUP(AllData[[#This Row],[Site Name]],LocationsKey[Site Name], LocationsKey[Waterway])</f>
        <v>Carrant</v>
      </c>
      <c r="K756" t="s">
        <v>960</v>
      </c>
      <c r="L756">
        <v>52.011204999999997</v>
      </c>
      <c r="M756">
        <v>-2.119367</v>
      </c>
      <c r="N756" t="s">
        <v>23</v>
      </c>
      <c r="O756" s="127">
        <v>720</v>
      </c>
      <c r="P756">
        <v>14.8</v>
      </c>
      <c r="Q756" s="127">
        <v>8</v>
      </c>
      <c r="R756" s="7" t="str">
        <f>IF(AllData[[#This Row],[Nitrate (PPM)]]&gt;2, "Very high", IF(AllData[[#This Row],[Nitrate (PPM)]]&gt;1, "High", IF(AllData[[#This Row],[Nitrate (PPM)]]&gt;0.5, "Some evidence", IF(AllData[[#This Row],[Nitrate (PPM)]]&gt;=0, "No evidence"))))</f>
        <v>Very high</v>
      </c>
      <c r="S756" s="133">
        <v>0.13</v>
      </c>
      <c r="T756" s="7" t="str">
        <f>IF(AllData[[#This Row],[Phosphate (PPM)]]&gt;0.5, "Very high", IF(AllData[[#This Row],[Phosphate (PPM)]]&gt;0.1, "High", IF(AllData[[#This Row],[Phosphate (PPM)]]&gt;0.05, "Some evidence", IF(AllData[[#This Row],[Phosphate (PPM)]]&lt;=0.05, "No Evidence", ""))))</f>
        <v>High</v>
      </c>
      <c r="U756">
        <v>0</v>
      </c>
    </row>
    <row r="757" spans="1:22" x14ac:dyDescent="0.25">
      <c r="A757" t="s">
        <v>1063</v>
      </c>
      <c r="B757" s="2">
        <v>45412</v>
      </c>
      <c r="C757" s="2" t="str" cm="1">
        <f t="array" ref="C7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7">
        <f>YEAR(AllData[[#This Row],[Date]])</f>
        <v>2024</v>
      </c>
      <c r="E757" s="1">
        <v>0.73958333333333337</v>
      </c>
      <c r="F757" s="2" t="str">
        <f>IF(AND(AllData[[#This Row],[Time]]&lt;0.5, AllData[[#This Row],[Time]]&gt;0.17)=TRUE, "Morning", IF(AND(AllData[[#This Row],[Time]]&lt;0.75, AllData[[#This Row],[Time]]&gt;=0.5)=TRUE, "Afternoon", IF(AND(AllData[[#This Row],[Time]]&lt;1, AllData[[#This Row],[Time]]&gt;=0.75)=TRUE, "Evening", "Night")))</f>
        <v>Afternoon</v>
      </c>
      <c r="G757" t="str">
        <f>_xlfn.XLOOKUP(AllData[[#This Row],[Location Name]], Locations[Location Name],Locations[Group As])</f>
        <v>Abbey Mill</v>
      </c>
      <c r="H757" t="e" vm="1">
        <f>_xlfn.XLOOKUP(AllData[[#This Row],[Site Name]],LocationsKey[Site Name],LocationsKey[District])</f>
        <v>#VALUE!</v>
      </c>
      <c r="I757" t="e" vm="1">
        <f>_xlfn.XLOOKUP(AllData[[#This Row],[Site Name]],LocationsKey[Site Name],LocationsKey[Town])</f>
        <v>#VALUE!</v>
      </c>
      <c r="J757" t="str">
        <f>_xlfn.XLOOKUP(AllData[[#This Row],[Site Name]],LocationsKey[Site Name], LocationsKey[Waterway])</f>
        <v>Avon</v>
      </c>
      <c r="K757" t="s">
        <v>25</v>
      </c>
      <c r="L757">
        <v>51.989908999999997</v>
      </c>
      <c r="M757">
        <v>-2.16161</v>
      </c>
      <c r="N757" t="s">
        <v>23</v>
      </c>
      <c r="O757" s="127">
        <v>713</v>
      </c>
      <c r="P757">
        <v>12.4</v>
      </c>
      <c r="Q757" s="127">
        <v>5</v>
      </c>
      <c r="R757" s="7" t="str">
        <f>IF(AllData[[#This Row],[Nitrate (PPM)]]&gt;2, "Very high", IF(AllData[[#This Row],[Nitrate (PPM)]]&gt;1, "High", IF(AllData[[#This Row],[Nitrate (PPM)]]&gt;0.5, "Some evidence", IF(AllData[[#This Row],[Nitrate (PPM)]]&gt;=0, "No evidence"))))</f>
        <v>Very high</v>
      </c>
      <c r="S757" s="133">
        <v>0.51</v>
      </c>
      <c r="T757" s="7" t="str">
        <f>IF(AllData[[#This Row],[Phosphate (PPM)]]&gt;0.5, "Very high", IF(AllData[[#This Row],[Phosphate (PPM)]]&gt;0.1, "High", IF(AllData[[#This Row],[Phosphate (PPM)]]&gt;0.05, "Some evidence", IF(AllData[[#This Row],[Phosphate (PPM)]]&lt;=0.05, "No Evidence", ""))))</f>
        <v>Very high</v>
      </c>
      <c r="U757">
        <v>0.7</v>
      </c>
    </row>
    <row r="758" spans="1:22" x14ac:dyDescent="0.25">
      <c r="A758" t="s">
        <v>1064</v>
      </c>
      <c r="B758" s="2">
        <v>45413</v>
      </c>
      <c r="C758" s="2" t="str" cm="1">
        <f t="array" ref="C7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8">
        <f>YEAR(AllData[[#This Row],[Date]])</f>
        <v>2024</v>
      </c>
      <c r="E758" s="1">
        <v>0.5180555555555556</v>
      </c>
      <c r="F758" s="2" t="str">
        <f>IF(AND(AllData[[#This Row],[Time]]&lt;0.5, AllData[[#This Row],[Time]]&gt;0.17)=TRUE, "Morning", IF(AND(AllData[[#This Row],[Time]]&lt;0.75, AllData[[#This Row],[Time]]&gt;=0.5)=TRUE, "Afternoon", IF(AND(AllData[[#This Row],[Time]]&lt;1, AllData[[#This Row],[Time]]&gt;=0.75)=TRUE, "Evening", "Night")))</f>
        <v>Afternoon</v>
      </c>
      <c r="G758" t="str">
        <f>_xlfn.XLOOKUP(AllData[[#This Row],[Location Name]], Locations[Location Name],Locations[Group As])</f>
        <v>Walcot Lane, Bow Brook Ford</v>
      </c>
      <c r="H758" t="e" vm="17">
        <f>_xlfn.XLOOKUP(AllData[[#This Row],[Site Name]],LocationsKey[Site Name],LocationsKey[District])</f>
        <v>#VALUE!</v>
      </c>
      <c r="I758" t="e" vm="18">
        <f>_xlfn.XLOOKUP(AllData[[#This Row],[Site Name]],LocationsKey[Site Name],LocationsKey[Town])</f>
        <v>#VALUE!</v>
      </c>
      <c r="J758" t="str">
        <f>_xlfn.XLOOKUP(AllData[[#This Row],[Site Name]],LocationsKey[Site Name], LocationsKey[Waterway])</f>
        <v>Bow Brook</v>
      </c>
      <c r="K758" t="s">
        <v>732</v>
      </c>
      <c r="L758">
        <v>52.106181999999997</v>
      </c>
      <c r="M758">
        <v>-2.0860720000000001</v>
      </c>
      <c r="N758" t="s">
        <v>23</v>
      </c>
      <c r="O758">
        <v>945</v>
      </c>
      <c r="P758">
        <v>16</v>
      </c>
      <c r="Q758">
        <v>5</v>
      </c>
      <c r="R758" s="7" t="str">
        <f>IF(AllData[[#This Row],[Nitrate (PPM)]]&gt;2, "Very high", IF(AllData[[#This Row],[Nitrate (PPM)]]&gt;1, "High", IF(AllData[[#This Row],[Nitrate (PPM)]]&gt;0.5, "Some evidence", IF(AllData[[#This Row],[Nitrate (PPM)]]&gt;=0, "No evidence"))))</f>
        <v>Very high</v>
      </c>
      <c r="S758" s="4">
        <v>0.84</v>
      </c>
      <c r="T758" s="7" t="str">
        <f>IF(AllData[[#This Row],[Phosphate (PPM)]]&gt;0.5, "Very high", IF(AllData[[#This Row],[Phosphate (PPM)]]&gt;0.1, "High", IF(AllData[[#This Row],[Phosphate (PPM)]]&gt;0.05, "Some evidence", IF(AllData[[#This Row],[Phosphate (PPM)]]&lt;=0.05, "No Evidence", ""))))</f>
        <v>Very high</v>
      </c>
      <c r="U758">
        <v>0.3</v>
      </c>
      <c r="V758" t="s">
        <v>1006</v>
      </c>
    </row>
    <row r="759" spans="1:22" x14ac:dyDescent="0.25">
      <c r="A759" t="s">
        <v>1065</v>
      </c>
      <c r="B759" s="2">
        <v>45414</v>
      </c>
      <c r="C759" s="2" t="str" cm="1">
        <f t="array" ref="C7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9">
        <f>YEAR(AllData[[#This Row],[Date]])</f>
        <v>2024</v>
      </c>
      <c r="E759" s="1">
        <v>0.45833333333333331</v>
      </c>
      <c r="F759" s="2" t="str">
        <f>IF(AND(AllData[[#This Row],[Time]]&lt;0.5, AllData[[#This Row],[Time]]&gt;0.17)=TRUE, "Morning", IF(AND(AllData[[#This Row],[Time]]&lt;0.75, AllData[[#This Row],[Time]]&gt;=0.5)=TRUE, "Afternoon", IF(AND(AllData[[#This Row],[Time]]&lt;1, AllData[[#This Row],[Time]]&gt;=0.75)=TRUE, "Evening", "Night")))</f>
        <v>Morning</v>
      </c>
      <c r="G759" t="str">
        <f>_xlfn.XLOOKUP(AllData[[#This Row],[Location Name]], Locations[Location Name],Locations[Group As])</f>
        <v>Stour Willington</v>
      </c>
      <c r="H759" t="e" vm="2">
        <f>_xlfn.XLOOKUP(AllData[[#This Row],[Site Name]],LocationsKey[Site Name],LocationsKey[District])</f>
        <v>#VALUE!</v>
      </c>
      <c r="I759" t="str">
        <f>_xlfn.XLOOKUP(AllData[[#This Row],[Site Name]],LocationsKey[Site Name],LocationsKey[Town])</f>
        <v>Willington</v>
      </c>
      <c r="J759" t="str">
        <f>_xlfn.XLOOKUP(AllData[[#This Row],[Site Name]],LocationsKey[Site Name], LocationsKey[Waterway])</f>
        <v>Stour</v>
      </c>
      <c r="K759" t="s">
        <v>517</v>
      </c>
      <c r="L759">
        <v>52.053553000000001</v>
      </c>
      <c r="M759">
        <v>-1.6201380000000001</v>
      </c>
      <c r="N759" t="s">
        <v>23</v>
      </c>
      <c r="O759" s="127">
        <v>617</v>
      </c>
      <c r="P759">
        <v>13.7</v>
      </c>
      <c r="Q759" s="127">
        <v>2</v>
      </c>
      <c r="R759" s="7" t="str">
        <f>IF(AllData[[#This Row],[Nitrate (PPM)]]&gt;2, "Very high", IF(AllData[[#This Row],[Nitrate (PPM)]]&gt;1, "High", IF(AllData[[#This Row],[Nitrate (PPM)]]&gt;0.5, "Some evidence", IF(AllData[[#This Row],[Nitrate (PPM)]]&gt;=0, "No evidence"))))</f>
        <v>High</v>
      </c>
      <c r="S759" s="133">
        <v>0.32</v>
      </c>
      <c r="T759" s="7" t="str">
        <f>IF(AllData[[#This Row],[Phosphate (PPM)]]&gt;0.5, "Very high", IF(AllData[[#This Row],[Phosphate (PPM)]]&gt;0.1, "High", IF(AllData[[#This Row],[Phosphate (PPM)]]&gt;0.05, "Some evidence", IF(AllData[[#This Row],[Phosphate (PPM)]]&lt;=0.05, "No Evidence", ""))))</f>
        <v>High</v>
      </c>
      <c r="U759">
        <v>0.5</v>
      </c>
    </row>
    <row r="760" spans="1:22" x14ac:dyDescent="0.25">
      <c r="A760" t="s">
        <v>1066</v>
      </c>
      <c r="B760" s="2">
        <v>45414</v>
      </c>
      <c r="C760" s="2" t="str" cm="1">
        <f t="array" ref="C7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0">
        <f>YEAR(AllData[[#This Row],[Date]])</f>
        <v>2024</v>
      </c>
      <c r="E760" s="1">
        <v>0.64583333333333337</v>
      </c>
      <c r="F760" s="2" t="str">
        <f>IF(AND(AllData[[#This Row],[Time]]&lt;0.5, AllData[[#This Row],[Time]]&gt;0.17)=TRUE, "Morning", IF(AND(AllData[[#This Row],[Time]]&lt;0.75, AllData[[#This Row],[Time]]&gt;=0.5)=TRUE, "Afternoon", IF(AND(AllData[[#This Row],[Time]]&lt;1, AllData[[#This Row],[Time]]&gt;=0.75)=TRUE, "Evening", "Night")))</f>
        <v>Afternoon</v>
      </c>
      <c r="G760" t="str">
        <f>_xlfn.XLOOKUP(AllData[[#This Row],[Location Name]], Locations[Location Name],Locations[Group As])</f>
        <v>Stour Newbold Mill</v>
      </c>
      <c r="H760" t="e" vm="2">
        <f>_xlfn.XLOOKUP(AllData[[#This Row],[Site Name]],LocationsKey[Site Name],LocationsKey[District])</f>
        <v>#VALUE!</v>
      </c>
      <c r="I760" t="e" vm="8">
        <f>_xlfn.XLOOKUP(AllData[[#This Row],[Site Name]],LocationsKey[Site Name],LocationsKey[Town])</f>
        <v>#VALUE!</v>
      </c>
      <c r="J760" t="str">
        <f>_xlfn.XLOOKUP(AllData[[#This Row],[Site Name]],LocationsKey[Site Name], LocationsKey[Waterway])</f>
        <v>Stour</v>
      </c>
      <c r="K760" t="s">
        <v>140</v>
      </c>
      <c r="N760" t="s">
        <v>29</v>
      </c>
      <c r="O760">
        <v>680</v>
      </c>
      <c r="P760">
        <v>15.4</v>
      </c>
      <c r="Q760">
        <v>2</v>
      </c>
      <c r="R760" s="7" t="str">
        <f>IF(AllData[[#This Row],[Nitrate (PPM)]]&gt;2, "Very high", IF(AllData[[#This Row],[Nitrate (PPM)]]&gt;1, "High", IF(AllData[[#This Row],[Nitrate (PPM)]]&gt;0.5, "Some evidence", IF(AllData[[#This Row],[Nitrate (PPM)]]&gt;=0, "No evidence"))))</f>
        <v>High</v>
      </c>
      <c r="S760" s="4">
        <v>0.46</v>
      </c>
      <c r="T760" s="7" t="str">
        <f>IF(AllData[[#This Row],[Phosphate (PPM)]]&gt;0.5, "Very high", IF(AllData[[#This Row],[Phosphate (PPM)]]&gt;0.1, "High", IF(AllData[[#This Row],[Phosphate (PPM)]]&gt;0.05, "Some evidence", IF(AllData[[#This Row],[Phosphate (PPM)]]&lt;=0.05, "No Evidence", ""))))</f>
        <v>High</v>
      </c>
      <c r="U760">
        <v>2.5</v>
      </c>
      <c r="V760" t="s">
        <v>529</v>
      </c>
    </row>
    <row r="761" spans="1:22" x14ac:dyDescent="0.25">
      <c r="A761" t="s">
        <v>1067</v>
      </c>
      <c r="B761" s="2">
        <v>45415</v>
      </c>
      <c r="C761" s="2" t="str" cm="1">
        <f t="array" ref="C7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1">
        <f>YEAR(AllData[[#This Row],[Date]])</f>
        <v>2024</v>
      </c>
      <c r="E761" s="1">
        <v>0.54513888888888884</v>
      </c>
      <c r="F761" s="2" t="str">
        <f>IF(AND(AllData[[#This Row],[Time]]&lt;0.5, AllData[[#This Row],[Time]]&gt;0.17)=TRUE, "Morning", IF(AND(AllData[[#This Row],[Time]]&lt;0.75, AllData[[#This Row],[Time]]&gt;=0.5)=TRUE, "Afternoon", IF(AND(AllData[[#This Row],[Time]]&lt;1, AllData[[#This Row],[Time]]&gt;=0.75)=TRUE, "Evening", "Night")))</f>
        <v>Afternoon</v>
      </c>
      <c r="G761" t="str">
        <f>_xlfn.XLOOKUP(AllData[[#This Row],[Location Name]], Locations[Location Name],Locations[Group As])</f>
        <v>Swilgate</v>
      </c>
      <c r="H761" t="e" vm="1">
        <f>_xlfn.XLOOKUP(AllData[[#This Row],[Site Name]],LocationsKey[Site Name],LocationsKey[District])</f>
        <v>#VALUE!</v>
      </c>
      <c r="I761" t="e" vm="1">
        <f>_xlfn.XLOOKUP(AllData[[#This Row],[Site Name]],LocationsKey[Site Name],LocationsKey[Town])</f>
        <v>#VALUE!</v>
      </c>
      <c r="J761" t="str">
        <f>_xlfn.XLOOKUP(AllData[[#This Row],[Site Name]],LocationsKey[Site Name], LocationsKey[Waterway])</f>
        <v>Swilgate</v>
      </c>
      <c r="K761" t="s">
        <v>84</v>
      </c>
      <c r="N761" t="s">
        <v>23</v>
      </c>
      <c r="O761" s="220">
        <v>589</v>
      </c>
      <c r="P761">
        <v>12.1</v>
      </c>
      <c r="Q761" s="220">
        <v>4</v>
      </c>
      <c r="R761" s="7" t="str">
        <f>IF(AllData[[#This Row],[Nitrate (PPM)]]&gt;2, "Very high", IF(AllData[[#This Row],[Nitrate (PPM)]]&gt;1, "High", IF(AllData[[#This Row],[Nitrate (PPM)]]&gt;0.5, "Some evidence", IF(AllData[[#This Row],[Nitrate (PPM)]]&gt;=0, "No evidence"))))</f>
        <v>Very high</v>
      </c>
      <c r="S761" s="222">
        <v>0.55000000000000004</v>
      </c>
      <c r="T761" s="7" t="str">
        <f>IF(AllData[[#This Row],[Phosphate (PPM)]]&gt;0.5, "Very high", IF(AllData[[#This Row],[Phosphate (PPM)]]&gt;0.1, "High", IF(AllData[[#This Row],[Phosphate (PPM)]]&gt;0.05, "Some evidence", IF(AllData[[#This Row],[Phosphate (PPM)]]&lt;=0.05, "No Evidence", ""))))</f>
        <v>Very high</v>
      </c>
      <c r="U761">
        <v>0</v>
      </c>
    </row>
    <row r="762" spans="1:22" x14ac:dyDescent="0.25">
      <c r="A762" t="s">
        <v>1068</v>
      </c>
      <c r="B762" s="2">
        <v>45415</v>
      </c>
      <c r="C762" s="2" t="str" cm="1">
        <f t="array" ref="C7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2">
        <f>YEAR(AllData[[#This Row],[Date]])</f>
        <v>2024</v>
      </c>
      <c r="E762" s="1">
        <v>0.625</v>
      </c>
      <c r="F762" s="2" t="str">
        <f>IF(AND(AllData[[#This Row],[Time]]&lt;0.5, AllData[[#This Row],[Time]]&gt;0.17)=TRUE, "Morning", IF(AND(AllData[[#This Row],[Time]]&lt;0.75, AllData[[#This Row],[Time]]&gt;=0.5)=TRUE, "Afternoon", IF(AND(AllData[[#This Row],[Time]]&lt;1, AllData[[#This Row],[Time]]&gt;=0.75)=TRUE, "Evening", "Night")))</f>
        <v>Afternoon</v>
      </c>
      <c r="G762" t="str">
        <f>_xlfn.XLOOKUP(AllData[[#This Row],[Location Name]], Locations[Location Name],Locations[Group As])</f>
        <v>Preston-on-Stour River Bridge</v>
      </c>
      <c r="H762" t="e" vm="2">
        <f>_xlfn.XLOOKUP(AllData[[#This Row],[Site Name]],LocationsKey[Site Name],LocationsKey[District])</f>
        <v>#VALUE!</v>
      </c>
      <c r="I762" t="e" vm="9">
        <f>_xlfn.XLOOKUP(AllData[[#This Row],[Site Name]],LocationsKey[Site Name],LocationsKey[Town])</f>
        <v>#VALUE!</v>
      </c>
      <c r="J762" t="str">
        <f>_xlfn.XLOOKUP(AllData[[#This Row],[Site Name]],LocationsKey[Site Name], LocationsKey[Waterway])</f>
        <v>Stour</v>
      </c>
      <c r="K762" t="s">
        <v>163</v>
      </c>
      <c r="L762">
        <v>52.146610000000003</v>
      </c>
      <c r="M762">
        <v>-1.700312</v>
      </c>
      <c r="N762" t="s">
        <v>29</v>
      </c>
      <c r="O762" s="127">
        <v>702</v>
      </c>
      <c r="P762">
        <v>12</v>
      </c>
      <c r="Q762" s="127">
        <v>5</v>
      </c>
      <c r="R762" s="7" t="str">
        <f>IF(AllData[[#This Row],[Nitrate (PPM)]]&gt;2, "Very high", IF(AllData[[#This Row],[Nitrate (PPM)]]&gt;1, "High", IF(AllData[[#This Row],[Nitrate (PPM)]]&gt;0.5, "Some evidence", IF(AllData[[#This Row],[Nitrate (PPM)]]&gt;=0, "No evidence"))))</f>
        <v>Very high</v>
      </c>
      <c r="S762" s="133">
        <v>0.22</v>
      </c>
      <c r="T762" s="7" t="str">
        <f>IF(AllData[[#This Row],[Phosphate (PPM)]]&gt;0.5, "Very high", IF(AllData[[#This Row],[Phosphate (PPM)]]&gt;0.1, "High", IF(AllData[[#This Row],[Phosphate (PPM)]]&gt;0.05, "Some evidence", IF(AllData[[#This Row],[Phosphate (PPM)]]&lt;=0.05, "No Evidence", ""))))</f>
        <v>High</v>
      </c>
      <c r="U762">
        <v>1.5</v>
      </c>
    </row>
    <row r="763" spans="1:22" x14ac:dyDescent="0.25">
      <c r="A763" t="s">
        <v>1069</v>
      </c>
      <c r="B763" s="2">
        <v>45416</v>
      </c>
      <c r="C763" s="2" t="str" cm="1">
        <f t="array" ref="C7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3">
        <f>YEAR(AllData[[#This Row],[Date]])</f>
        <v>2024</v>
      </c>
      <c r="E763" s="1">
        <v>0.29444444444444445</v>
      </c>
      <c r="F763" s="2" t="str">
        <f>IF(AND(AllData[[#This Row],[Time]]&lt;0.5, AllData[[#This Row],[Time]]&gt;0.17)=TRUE, "Morning", IF(AND(AllData[[#This Row],[Time]]&lt;0.75, AllData[[#This Row],[Time]]&gt;=0.5)=TRUE, "Afternoon", IF(AND(AllData[[#This Row],[Time]]&lt;1, AllData[[#This Row],[Time]]&gt;=0.75)=TRUE, "Evening", "Night")))</f>
        <v>Morning</v>
      </c>
      <c r="G763" t="str">
        <f>_xlfn.XLOOKUP(AllData[[#This Row],[Location Name]], Locations[Location Name],Locations[Group As])</f>
        <v>Lower Lode</v>
      </c>
      <c r="H763" t="e" vm="1">
        <f>_xlfn.XLOOKUP(AllData[[#This Row],[Site Name]],LocationsKey[Site Name],LocationsKey[District])</f>
        <v>#VALUE!</v>
      </c>
      <c r="I763" t="e" vm="1">
        <f>_xlfn.XLOOKUP(AllData[[#This Row],[Site Name]],LocationsKey[Site Name],LocationsKey[Town])</f>
        <v>#VALUE!</v>
      </c>
      <c r="J763" t="str">
        <f>_xlfn.XLOOKUP(AllData[[#This Row],[Site Name]],LocationsKey[Site Name], LocationsKey[Waterway])</f>
        <v>Avon</v>
      </c>
      <c r="K763" t="s">
        <v>592</v>
      </c>
      <c r="L763">
        <v>51.985059999999997</v>
      </c>
      <c r="M763">
        <v>-2.1742940000000002</v>
      </c>
      <c r="N763" t="s">
        <v>29</v>
      </c>
      <c r="O763" s="127">
        <v>7000</v>
      </c>
      <c r="P763">
        <v>12.7</v>
      </c>
      <c r="Q763" s="127">
        <v>10</v>
      </c>
      <c r="R763" s="7" t="str">
        <f>IF(AllData[[#This Row],[Nitrate (PPM)]]&gt;2, "Very high", IF(AllData[[#This Row],[Nitrate (PPM)]]&gt;1, "High", IF(AllData[[#This Row],[Nitrate (PPM)]]&gt;0.5, "Some evidence", IF(AllData[[#This Row],[Nitrate (PPM)]]&gt;=0, "No evidence"))))</f>
        <v>Very high</v>
      </c>
      <c r="S763" s="133">
        <v>0.56999999999999995</v>
      </c>
      <c r="T763" s="7" t="str">
        <f>IF(AllData[[#This Row],[Phosphate (PPM)]]&gt;0.5, "Very high", IF(AllData[[#This Row],[Phosphate (PPM)]]&gt;0.1, "High", IF(AllData[[#This Row],[Phosphate (PPM)]]&gt;0.05, "Some evidence", IF(AllData[[#This Row],[Phosphate (PPM)]]&lt;=0.05, "No Evidence", ""))))</f>
        <v>Very high</v>
      </c>
      <c r="U763">
        <v>1</v>
      </c>
    </row>
    <row r="764" spans="1:22" x14ac:dyDescent="0.25">
      <c r="A764" t="s">
        <v>1070</v>
      </c>
      <c r="B764" s="2">
        <v>45416</v>
      </c>
      <c r="C764" s="2" t="str" cm="1">
        <f t="array" ref="C7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4">
        <f>YEAR(AllData[[#This Row],[Date]])</f>
        <v>2024</v>
      </c>
      <c r="E764" s="1">
        <v>0.4375</v>
      </c>
      <c r="F764" s="2" t="str">
        <f>IF(AND(AllData[[#This Row],[Time]]&lt;0.5, AllData[[#This Row],[Time]]&gt;0.17)=TRUE, "Morning", IF(AND(AllData[[#This Row],[Time]]&lt;0.75, AllData[[#This Row],[Time]]&gt;=0.5)=TRUE, "Afternoon", IF(AND(AllData[[#This Row],[Time]]&lt;1, AllData[[#This Row],[Time]]&gt;=0.75)=TRUE, "Evening", "Night")))</f>
        <v>Morning</v>
      </c>
      <c r="G764" t="str">
        <f>_xlfn.XLOOKUP(AllData[[#This Row],[Location Name]], Locations[Location Name],Locations[Group As])</f>
        <v>Avon Smiths Meadow Wyre Piddle</v>
      </c>
      <c r="H764" t="e" vm="17">
        <f>_xlfn.XLOOKUP(AllData[[#This Row],[Site Name]],LocationsKey[Site Name],LocationsKey[District])</f>
        <v>#VALUE!</v>
      </c>
      <c r="I764" t="e" vm="20">
        <f>_xlfn.XLOOKUP(AllData[[#This Row],[Site Name]],LocationsKey[Site Name],LocationsKey[Town])</f>
        <v>#VALUE!</v>
      </c>
      <c r="J764" t="str">
        <f>_xlfn.XLOOKUP(AllData[[#This Row],[Site Name]],LocationsKey[Site Name], LocationsKey[Waterway])</f>
        <v>Avon</v>
      </c>
      <c r="K764" t="s">
        <v>741</v>
      </c>
      <c r="L764">
        <v>52.122858999999998</v>
      </c>
      <c r="M764">
        <v>-2.0575389999999998</v>
      </c>
      <c r="N764" t="s">
        <v>23</v>
      </c>
      <c r="O764" s="127">
        <v>723</v>
      </c>
      <c r="P764">
        <v>13.1</v>
      </c>
      <c r="Q764" s="127">
        <v>6</v>
      </c>
      <c r="R764" s="7" t="str">
        <f>IF(AllData[[#This Row],[Nitrate (PPM)]]&gt;2, "Very high", IF(AllData[[#This Row],[Nitrate (PPM)]]&gt;1, "High", IF(AllData[[#This Row],[Nitrate (PPM)]]&gt;0.5, "Some evidence", IF(AllData[[#This Row],[Nitrate (PPM)]]&gt;=0, "No evidence"))))</f>
        <v>Very high</v>
      </c>
      <c r="S764" s="133">
        <v>0.5</v>
      </c>
      <c r="T764" s="7" t="str">
        <f>IF(AllData[[#This Row],[Phosphate (PPM)]]&gt;0.5, "Very high", IF(AllData[[#This Row],[Phosphate (PPM)]]&gt;0.1, "High", IF(AllData[[#This Row],[Phosphate (PPM)]]&gt;0.05, "Some evidence", IF(AllData[[#This Row],[Phosphate (PPM)]]&lt;=0.05, "No Evidence", ""))))</f>
        <v>High</v>
      </c>
      <c r="U764">
        <v>0.89</v>
      </c>
      <c r="V764" t="s">
        <v>1071</v>
      </c>
    </row>
    <row r="765" spans="1:22" x14ac:dyDescent="0.25">
      <c r="A765" t="s">
        <v>1072</v>
      </c>
      <c r="B765" s="2">
        <v>45416</v>
      </c>
      <c r="C765" s="2" t="str" cm="1">
        <f t="array" ref="C7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5">
        <f>YEAR(AllData[[#This Row],[Date]])</f>
        <v>2024</v>
      </c>
      <c r="E765" s="1">
        <v>0.46875</v>
      </c>
      <c r="F765" s="2" t="str">
        <f>IF(AND(AllData[[#This Row],[Time]]&lt;0.5, AllData[[#This Row],[Time]]&gt;0.17)=TRUE, "Morning", IF(AND(AllData[[#This Row],[Time]]&lt;0.75, AllData[[#This Row],[Time]]&gt;=0.5)=TRUE, "Afternoon", IF(AND(AllData[[#This Row],[Time]]&lt;1, AllData[[#This Row],[Time]]&gt;=0.75)=TRUE, "Evening", "Night")))</f>
        <v>Morning</v>
      </c>
      <c r="G765" t="str">
        <f>_xlfn.XLOOKUP(AllData[[#This Row],[Location Name]], Locations[Location Name],Locations[Group As])</f>
        <v>Piddle Brook Wyre Piddle Bridge</v>
      </c>
      <c r="H765" t="e" vm="17">
        <f>_xlfn.XLOOKUP(AllData[[#This Row],[Site Name]],LocationsKey[Site Name],LocationsKey[District])</f>
        <v>#VALUE!</v>
      </c>
      <c r="I765" t="e" vm="20">
        <f>_xlfn.XLOOKUP(AllData[[#This Row],[Site Name]],LocationsKey[Site Name],LocationsKey[Town])</f>
        <v>#VALUE!</v>
      </c>
      <c r="J765" t="str">
        <f>_xlfn.XLOOKUP(AllData[[#This Row],[Site Name]],LocationsKey[Site Name], LocationsKey[Waterway])</f>
        <v>Piddle Brook</v>
      </c>
      <c r="K765" t="s">
        <v>744</v>
      </c>
      <c r="L765">
        <v>52.126404000000001</v>
      </c>
      <c r="M765">
        <v>-2.0565410000000002</v>
      </c>
      <c r="N765" t="s">
        <v>23</v>
      </c>
      <c r="O765" s="127">
        <v>1030</v>
      </c>
      <c r="P765">
        <v>12.8</v>
      </c>
      <c r="Q765" s="127">
        <v>5</v>
      </c>
      <c r="R765" s="7" t="str">
        <f>IF(AllData[[#This Row],[Nitrate (PPM)]]&gt;2, "Very high", IF(AllData[[#This Row],[Nitrate (PPM)]]&gt;1, "High", IF(AllData[[#This Row],[Nitrate (PPM)]]&gt;0.5, "Some evidence", IF(AllData[[#This Row],[Nitrate (PPM)]]&gt;=0, "No evidence"))))</f>
        <v>Very high</v>
      </c>
      <c r="S765" s="133">
        <v>0.72</v>
      </c>
      <c r="T765" s="7" t="str">
        <f>IF(AllData[[#This Row],[Phosphate (PPM)]]&gt;0.5, "Very high", IF(AllData[[#This Row],[Phosphate (PPM)]]&gt;0.1, "High", IF(AllData[[#This Row],[Phosphate (PPM)]]&gt;0.05, "Some evidence", IF(AllData[[#This Row],[Phosphate (PPM)]]&lt;=0.05, "No Evidence", ""))))</f>
        <v>Very high</v>
      </c>
      <c r="U765">
        <v>0.37</v>
      </c>
      <c r="V765" t="s">
        <v>1073</v>
      </c>
    </row>
    <row r="766" spans="1:22" x14ac:dyDescent="0.25">
      <c r="A766" t="s">
        <v>1074</v>
      </c>
      <c r="B766" s="2">
        <v>45417</v>
      </c>
      <c r="C766" s="2" t="str" cm="1">
        <f t="array" ref="C7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6">
        <f>YEAR(AllData[[#This Row],[Date]])</f>
        <v>2024</v>
      </c>
      <c r="E766" s="1">
        <v>0.41111111111111109</v>
      </c>
      <c r="F766" s="2" t="str">
        <f>IF(AND(AllData[[#This Row],[Time]]&lt;0.5, AllData[[#This Row],[Time]]&gt;0.17)=TRUE, "Morning", IF(AND(AllData[[#This Row],[Time]]&lt;0.75, AllData[[#This Row],[Time]]&gt;=0.5)=TRUE, "Afternoon", IF(AND(AllData[[#This Row],[Time]]&lt;1, AllData[[#This Row],[Time]]&gt;=0.75)=TRUE, "Evening", "Night")))</f>
        <v>Morning</v>
      </c>
      <c r="G766" t="str">
        <f>_xlfn.XLOOKUP(AllData[[#This Row],[Location Name]], Locations[Location Name],Locations[Group As])</f>
        <v>Black Bear</v>
      </c>
      <c r="H766" t="e" vm="1">
        <f>_xlfn.XLOOKUP(AllData[[#This Row],[Site Name]],LocationsKey[Site Name],LocationsKey[District])</f>
        <v>#VALUE!</v>
      </c>
      <c r="I766" t="e" vm="1">
        <f>_xlfn.XLOOKUP(AllData[[#This Row],[Site Name]],LocationsKey[Site Name],LocationsKey[Town])</f>
        <v>#VALUE!</v>
      </c>
      <c r="J766" t="str">
        <f>_xlfn.XLOOKUP(AllData[[#This Row],[Site Name]],LocationsKey[Site Name], LocationsKey[Waterway])</f>
        <v>Avon</v>
      </c>
      <c r="K766" t="s">
        <v>567</v>
      </c>
      <c r="L766">
        <v>51.997269000000003</v>
      </c>
      <c r="M766">
        <v>-2.1561880000000002</v>
      </c>
      <c r="N766" t="s">
        <v>23</v>
      </c>
      <c r="O766" s="127">
        <v>708</v>
      </c>
      <c r="P766">
        <v>15</v>
      </c>
      <c r="Q766" s="127">
        <v>3</v>
      </c>
      <c r="R766" s="7" t="str">
        <f>IF(AllData[[#This Row],[Nitrate (PPM)]]&gt;2, "Very high", IF(AllData[[#This Row],[Nitrate (PPM)]]&gt;1, "High", IF(AllData[[#This Row],[Nitrate (PPM)]]&gt;0.5, "Some evidence", IF(AllData[[#This Row],[Nitrate (PPM)]]&gt;=0, "No evidence"))))</f>
        <v>Very high</v>
      </c>
      <c r="S766" s="133">
        <v>0.49</v>
      </c>
      <c r="T766" s="7" t="str">
        <f>IF(AllData[[#This Row],[Phosphate (PPM)]]&gt;0.5, "Very high", IF(AllData[[#This Row],[Phosphate (PPM)]]&gt;0.1, "High", IF(AllData[[#This Row],[Phosphate (PPM)]]&gt;0.05, "Some evidence", IF(AllData[[#This Row],[Phosphate (PPM)]]&lt;=0.05, "No Evidence", ""))))</f>
        <v>High</v>
      </c>
      <c r="U766">
        <v>0</v>
      </c>
    </row>
    <row r="767" spans="1:22" x14ac:dyDescent="0.25">
      <c r="A767" t="s">
        <v>1075</v>
      </c>
      <c r="B767" s="2">
        <v>45417</v>
      </c>
      <c r="C767" s="2" t="str" cm="1">
        <f t="array" ref="C7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7">
        <f>YEAR(AllData[[#This Row],[Date]])</f>
        <v>2024</v>
      </c>
      <c r="E767" s="1">
        <v>0.48958333333333331</v>
      </c>
      <c r="F767" s="2" t="str">
        <f>IF(AND(AllData[[#This Row],[Time]]&lt;0.5, AllData[[#This Row],[Time]]&gt;0.17)=TRUE, "Morning", IF(AND(AllData[[#This Row],[Time]]&lt;0.75, AllData[[#This Row],[Time]]&gt;=0.5)=TRUE, "Afternoon", IF(AND(AllData[[#This Row],[Time]]&lt;1, AllData[[#This Row],[Time]]&gt;=0.75)=TRUE, "Evening", "Night")))</f>
        <v>Morning</v>
      </c>
      <c r="G767" t="str">
        <f>_xlfn.XLOOKUP(AllData[[#This Row],[Location Name]], Locations[Location Name],Locations[Group As])</f>
        <v>Carrant Bredon Rd</v>
      </c>
      <c r="H767" t="e" vm="1">
        <f>_xlfn.XLOOKUP(AllData[[#This Row],[Site Name]],LocationsKey[Site Name],LocationsKey[District])</f>
        <v>#VALUE!</v>
      </c>
      <c r="I767" t="e" vm="1">
        <f>_xlfn.XLOOKUP(AllData[[#This Row],[Site Name]],LocationsKey[Site Name],LocationsKey[Town])</f>
        <v>#VALUE!</v>
      </c>
      <c r="J767" t="str">
        <f>_xlfn.XLOOKUP(AllData[[#This Row],[Site Name]],LocationsKey[Site Name], LocationsKey[Waterway])</f>
        <v>Carrant</v>
      </c>
      <c r="K767" t="s">
        <v>600</v>
      </c>
      <c r="L767">
        <v>51.996152000000002</v>
      </c>
      <c r="M767">
        <v>-2.15598</v>
      </c>
      <c r="N767" t="s">
        <v>23</v>
      </c>
      <c r="O767" s="127">
        <v>714</v>
      </c>
      <c r="P767">
        <v>13.7</v>
      </c>
      <c r="Q767" s="127">
        <v>7</v>
      </c>
      <c r="R767" s="7" t="str">
        <f>IF(AllData[[#This Row],[Nitrate (PPM)]]&gt;2, "Very high", IF(AllData[[#This Row],[Nitrate (PPM)]]&gt;1, "High", IF(AllData[[#This Row],[Nitrate (PPM)]]&gt;0.5, "Some evidence", IF(AllData[[#This Row],[Nitrate (PPM)]]&gt;=0, "No evidence"))))</f>
        <v>Very high</v>
      </c>
      <c r="S767" s="133">
        <v>0.22</v>
      </c>
      <c r="T767" s="7" t="str">
        <f>IF(AllData[[#This Row],[Phosphate (PPM)]]&gt;0.5, "Very high", IF(AllData[[#This Row],[Phosphate (PPM)]]&gt;0.1, "High", IF(AllData[[#This Row],[Phosphate (PPM)]]&gt;0.05, "Some evidence", IF(AllData[[#This Row],[Phosphate (PPM)]]&lt;=0.05, "No Evidence", ""))))</f>
        <v>High</v>
      </c>
      <c r="U767">
        <v>0.1</v>
      </c>
      <c r="V767" t="s">
        <v>1076</v>
      </c>
    </row>
    <row r="768" spans="1:22" x14ac:dyDescent="0.25">
      <c r="A768" t="s">
        <v>1084</v>
      </c>
      <c r="B768" s="2">
        <v>45417</v>
      </c>
      <c r="C768" s="2" t="str" cm="1">
        <f t="array" ref="C7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8">
        <f>YEAR(AllData[[#This Row],[Date]])</f>
        <v>2024</v>
      </c>
      <c r="E768" s="1">
        <v>0.48958333333333331</v>
      </c>
      <c r="F768" s="2" t="str">
        <f>IF(AND(AllData[[#This Row],[Time]]&lt;0.5, AllData[[#This Row],[Time]]&gt;0.17)=TRUE, "Morning", IF(AND(AllData[[#This Row],[Time]]&lt;0.75, AllData[[#This Row],[Time]]&gt;=0.5)=TRUE, "Afternoon", IF(AND(AllData[[#This Row],[Time]]&lt;1, AllData[[#This Row],[Time]]&gt;=0.75)=TRUE, "Evening", "Night")))</f>
        <v>Morning</v>
      </c>
      <c r="G768" t="str">
        <f>_xlfn.XLOOKUP(AllData[[#This Row],[Location Name]], Locations[Location Name],Locations[Group As])</f>
        <v>Lucy's Mill Bridge</v>
      </c>
      <c r="H768" t="e" vm="2">
        <f>_xlfn.XLOOKUP(AllData[[#This Row],[Site Name]],LocationsKey[Site Name],LocationsKey[District])</f>
        <v>#VALUE!</v>
      </c>
      <c r="I768" t="e" vm="7">
        <f>_xlfn.XLOOKUP(AllData[[#This Row],[Site Name]],LocationsKey[Site Name],LocationsKey[Town])</f>
        <v>#VALUE!</v>
      </c>
      <c r="J768" t="str">
        <f>_xlfn.XLOOKUP(AllData[[#This Row],[Site Name]],LocationsKey[Site Name], LocationsKey[Waterway])</f>
        <v>Avon</v>
      </c>
      <c r="K768" t="s">
        <v>216</v>
      </c>
      <c r="L768">
        <v>52.183698999999997</v>
      </c>
      <c r="M768">
        <v>-1.707816</v>
      </c>
      <c r="N768" t="s">
        <v>29</v>
      </c>
      <c r="P768">
        <v>12</v>
      </c>
      <c r="Q768">
        <v>10</v>
      </c>
      <c r="R768" s="7" t="str">
        <f>IF(AllData[[#This Row],[Nitrate (PPM)]]&gt;2, "Very high", IF(AllData[[#This Row],[Nitrate (PPM)]]&gt;1, "High", IF(AllData[[#This Row],[Nitrate (PPM)]]&gt;0.5, "Some evidence", IF(AllData[[#This Row],[Nitrate (PPM)]]&gt;=0, "No evidence"))))</f>
        <v>Very high</v>
      </c>
      <c r="S768" s="4">
        <v>0.28000000000000003</v>
      </c>
      <c r="T768" s="7" t="str">
        <f>IF(AllData[[#This Row],[Phosphate (PPM)]]&gt;0.5, "Very high", IF(AllData[[#This Row],[Phosphate (PPM)]]&gt;0.1, "High", IF(AllData[[#This Row],[Phosphate (PPM)]]&gt;0.05, "Some evidence", IF(AllData[[#This Row],[Phosphate (PPM)]]&lt;=0.05, "No Evidence", ""))))</f>
        <v>High</v>
      </c>
      <c r="U768">
        <v>0.7</v>
      </c>
    </row>
    <row r="769" spans="1:22" x14ac:dyDescent="0.25">
      <c r="A769" t="s">
        <v>1077</v>
      </c>
      <c r="B769" s="2">
        <v>45417</v>
      </c>
      <c r="C769" s="2" t="str" cm="1">
        <f t="array" ref="C7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9">
        <f>YEAR(AllData[[#This Row],[Date]])</f>
        <v>2024</v>
      </c>
      <c r="E769" s="1">
        <v>0.54166666666666663</v>
      </c>
      <c r="F769" s="2" t="str">
        <f>IF(AND(AllData[[#This Row],[Time]]&lt;0.5, AllData[[#This Row],[Time]]&gt;0.17)=TRUE, "Morning", IF(AND(AllData[[#This Row],[Time]]&lt;0.75, AllData[[#This Row],[Time]]&gt;=0.5)=TRUE, "Afternoon", IF(AND(AllData[[#This Row],[Time]]&lt;1, AllData[[#This Row],[Time]]&gt;=0.75)=TRUE, "Evening", "Night")))</f>
        <v>Afternoon</v>
      </c>
      <c r="G769" t="str">
        <f>_xlfn.XLOOKUP(AllData[[#This Row],[Location Name]], Locations[Location Name],Locations[Group As])</f>
        <v>Avonbank Drive</v>
      </c>
      <c r="H769" t="e" vm="2">
        <f>_xlfn.XLOOKUP(AllData[[#This Row],[Site Name]],LocationsKey[Site Name],LocationsKey[District])</f>
        <v>#VALUE!</v>
      </c>
      <c r="I769" t="e" vm="7">
        <f>_xlfn.XLOOKUP(AllData[[#This Row],[Site Name]],LocationsKey[Site Name],LocationsKey[Town])</f>
        <v>#VALUE!</v>
      </c>
      <c r="J769" t="str">
        <f>_xlfn.XLOOKUP(AllData[[#This Row],[Site Name]],LocationsKey[Site Name], LocationsKey[Waterway])</f>
        <v>Avon</v>
      </c>
      <c r="K769" t="s">
        <v>103</v>
      </c>
      <c r="L769">
        <v>52.177</v>
      </c>
      <c r="M769">
        <v>-1.736</v>
      </c>
      <c r="N769" t="s">
        <v>66</v>
      </c>
      <c r="O769" s="220">
        <v>873</v>
      </c>
      <c r="P769">
        <v>20.5</v>
      </c>
      <c r="Q769" s="220">
        <v>10</v>
      </c>
      <c r="R769" s="7" t="str">
        <f>IF(AllData[[#This Row],[Nitrate (PPM)]]&gt;2, "Very high", IF(AllData[[#This Row],[Nitrate (PPM)]]&gt;1, "High", IF(AllData[[#This Row],[Nitrate (PPM)]]&gt;0.5, "Some evidence", IF(AllData[[#This Row],[Nitrate (PPM)]]&gt;=0, "No evidence"))))</f>
        <v>Very high</v>
      </c>
      <c r="S769" s="222">
        <v>0.32</v>
      </c>
      <c r="T769" s="7" t="str">
        <f>IF(AllData[[#This Row],[Phosphate (PPM)]]&gt;0.5, "Very high", IF(AllData[[#This Row],[Phosphate (PPM)]]&gt;0.1, "High", IF(AllData[[#This Row],[Phosphate (PPM)]]&gt;0.05, "Some evidence", IF(AllData[[#This Row],[Phosphate (PPM)]]&lt;=0.05, "No Evidence", ""))))</f>
        <v>High</v>
      </c>
      <c r="U769">
        <v>0.76</v>
      </c>
    </row>
    <row r="770" spans="1:22" x14ac:dyDescent="0.25">
      <c r="A770" t="s">
        <v>1078</v>
      </c>
      <c r="B770" s="2">
        <v>45417</v>
      </c>
      <c r="C770" s="2" t="str" cm="1">
        <f t="array" ref="C7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0">
        <f>YEAR(AllData[[#This Row],[Date]])</f>
        <v>2024</v>
      </c>
      <c r="E770" s="1">
        <v>0.54166666666666663</v>
      </c>
      <c r="F770" s="2" t="str">
        <f>IF(AND(AllData[[#This Row],[Time]]&lt;0.5, AllData[[#This Row],[Time]]&gt;0.17)=TRUE, "Morning", IF(AND(AllData[[#This Row],[Time]]&lt;0.75, AllData[[#This Row],[Time]]&gt;=0.5)=TRUE, "Afternoon", IF(AND(AllData[[#This Row],[Time]]&lt;1, AllData[[#This Row],[Time]]&gt;=0.75)=TRUE, "Evening", "Night")))</f>
        <v>Afternoon</v>
      </c>
      <c r="G770" t="str">
        <f>_xlfn.XLOOKUP(AllData[[#This Row],[Location Name]], Locations[Location Name],Locations[Group As])</f>
        <v>Pitch 16</v>
      </c>
      <c r="H770" t="e" vm="2">
        <f>_xlfn.XLOOKUP(AllData[[#This Row],[Site Name]],LocationsKey[Site Name],LocationsKey[District])</f>
        <v>#VALUE!</v>
      </c>
      <c r="I770" t="e" vm="7">
        <f>_xlfn.XLOOKUP(AllData[[#This Row],[Site Name]],LocationsKey[Site Name],LocationsKey[Town])</f>
        <v>#VALUE!</v>
      </c>
      <c r="J770" t="str">
        <f>_xlfn.XLOOKUP(AllData[[#This Row],[Site Name]],LocationsKey[Site Name], LocationsKey[Waterway])</f>
        <v>Avon</v>
      </c>
      <c r="K770" t="s">
        <v>69</v>
      </c>
      <c r="N770" t="s">
        <v>29</v>
      </c>
      <c r="O770" s="220">
        <v>863</v>
      </c>
      <c r="P770">
        <v>20.6</v>
      </c>
      <c r="Q770" s="220">
        <v>10</v>
      </c>
      <c r="R770" s="7" t="str">
        <f>IF(AllData[[#This Row],[Nitrate (PPM)]]&gt;2, "Very high", IF(AllData[[#This Row],[Nitrate (PPM)]]&gt;1, "High", IF(AllData[[#This Row],[Nitrate (PPM)]]&gt;0.5, "Some evidence", IF(AllData[[#This Row],[Nitrate (PPM)]]&gt;=0, "No evidence"))))</f>
        <v>Very high</v>
      </c>
      <c r="S770" s="222">
        <v>0.17</v>
      </c>
      <c r="T770" s="7" t="str">
        <f>IF(AllData[[#This Row],[Phosphate (PPM)]]&gt;0.5, "Very high", IF(AllData[[#This Row],[Phosphate (PPM)]]&gt;0.1, "High", IF(AllData[[#This Row],[Phosphate (PPM)]]&gt;0.05, "Some evidence", IF(AllData[[#This Row],[Phosphate (PPM)]]&lt;=0.05, "No Evidence", ""))))</f>
        <v>High</v>
      </c>
      <c r="U770">
        <v>0.76</v>
      </c>
    </row>
    <row r="771" spans="1:22" x14ac:dyDescent="0.25">
      <c r="A771" t="s">
        <v>1079</v>
      </c>
      <c r="B771" s="2">
        <v>45417</v>
      </c>
      <c r="C771" s="2" t="str" cm="1">
        <f t="array" ref="C7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1">
        <f>YEAR(AllData[[#This Row],[Date]])</f>
        <v>2024</v>
      </c>
      <c r="E771" s="1">
        <v>0.58333333333333337</v>
      </c>
      <c r="F771" s="2" t="str">
        <f>IF(AND(AllData[[#This Row],[Time]]&lt;0.5, AllData[[#This Row],[Time]]&gt;0.17)=TRUE, "Morning", IF(AND(AllData[[#This Row],[Time]]&lt;0.75, AllData[[#This Row],[Time]]&gt;=0.5)=TRUE, "Afternoon", IF(AND(AllData[[#This Row],[Time]]&lt;1, AllData[[#This Row],[Time]]&gt;=0.75)=TRUE, "Evening", "Night")))</f>
        <v>Afternoon</v>
      </c>
      <c r="G771" t="str">
        <f>_xlfn.XLOOKUP(AllData[[#This Row],[Location Name]], Locations[Location Name],Locations[Group As])</f>
        <v>Clifford Chambers Mill Bridge</v>
      </c>
      <c r="H771" t="e" vm="2">
        <f>_xlfn.XLOOKUP(AllData[[#This Row],[Site Name]],LocationsKey[Site Name],LocationsKey[District])</f>
        <v>#VALUE!</v>
      </c>
      <c r="I771" t="e" vm="12">
        <f>_xlfn.XLOOKUP(AllData[[#This Row],[Site Name]],LocationsKey[Site Name],LocationsKey[Town])</f>
        <v>#VALUE!</v>
      </c>
      <c r="J771" t="str">
        <f>_xlfn.XLOOKUP(AllData[[#This Row],[Site Name]],LocationsKey[Site Name], LocationsKey[Waterway])</f>
        <v>Stour</v>
      </c>
      <c r="K771" t="s">
        <v>263</v>
      </c>
      <c r="L771">
        <v>52.166370000000001</v>
      </c>
      <c r="M771">
        <v>-1.708032</v>
      </c>
      <c r="N771" t="s">
        <v>66</v>
      </c>
      <c r="O771" s="220">
        <v>616</v>
      </c>
      <c r="P771">
        <v>16</v>
      </c>
      <c r="Q771" s="220">
        <v>9</v>
      </c>
      <c r="R771" s="7" t="str">
        <f>IF(AllData[[#This Row],[Nitrate (PPM)]]&gt;2, "Very high", IF(AllData[[#This Row],[Nitrate (PPM)]]&gt;1, "High", IF(AllData[[#This Row],[Nitrate (PPM)]]&gt;0.5, "Some evidence", IF(AllData[[#This Row],[Nitrate (PPM)]]&gt;=0, "No evidence"))))</f>
        <v>Very high</v>
      </c>
      <c r="S771" s="222">
        <v>0.2</v>
      </c>
      <c r="T771" s="7" t="str">
        <f>IF(AllData[[#This Row],[Phosphate (PPM)]]&gt;0.5, "Very high", IF(AllData[[#This Row],[Phosphate (PPM)]]&gt;0.1, "High", IF(AllData[[#This Row],[Phosphate (PPM)]]&gt;0.05, "Some evidence", IF(AllData[[#This Row],[Phosphate (PPM)]]&lt;=0.05, "No Evidence", ""))))</f>
        <v>High</v>
      </c>
      <c r="U771">
        <v>0.8</v>
      </c>
    </row>
    <row r="772" spans="1:22" x14ac:dyDescent="0.25">
      <c r="A772" t="s">
        <v>1080</v>
      </c>
      <c r="B772" s="2">
        <v>45417</v>
      </c>
      <c r="C772" s="2" t="str" cm="1">
        <f t="array" ref="C7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2">
        <f>YEAR(AllData[[#This Row],[Date]])</f>
        <v>2024</v>
      </c>
      <c r="E772" s="1">
        <v>0.63541666666666663</v>
      </c>
      <c r="F772" s="2" t="str">
        <f>IF(AND(AllData[[#This Row],[Time]]&lt;0.5, AllData[[#This Row],[Time]]&gt;0.17)=TRUE, "Morning", IF(AND(AllData[[#This Row],[Time]]&lt;0.75, AllData[[#This Row],[Time]]&gt;=0.5)=TRUE, "Afternoon", IF(AND(AllData[[#This Row],[Time]]&lt;1, AllData[[#This Row],[Time]]&gt;=0.75)=TRUE, "Evening", "Night")))</f>
        <v>Afternoon</v>
      </c>
      <c r="G772" t="str">
        <f>_xlfn.XLOOKUP(AllData[[#This Row],[Location Name]], Locations[Location Name],Locations[Group As])</f>
        <v>Bell Brook 1</v>
      </c>
      <c r="H772" t="e" vm="2">
        <f>_xlfn.XLOOKUP(AllData[[#This Row],[Site Name]],LocationsKey[Site Name],LocationsKey[District])</f>
        <v>#VALUE!</v>
      </c>
      <c r="I772" t="e" vm="15">
        <f>_xlfn.XLOOKUP(AllData[[#This Row],[Site Name]],LocationsKey[Site Name],LocationsKey[Town])</f>
        <v>#VALUE!</v>
      </c>
      <c r="J772" t="str">
        <f>_xlfn.XLOOKUP(AllData[[#This Row],[Site Name]],LocationsKey[Site Name], LocationsKey[Waterway])</f>
        <v>Bell Brook</v>
      </c>
      <c r="K772" t="s">
        <v>534</v>
      </c>
      <c r="L772">
        <v>52.244900000000001</v>
      </c>
      <c r="M772">
        <v>-1.6617</v>
      </c>
      <c r="N772" t="s">
        <v>23</v>
      </c>
      <c r="O772" s="127">
        <v>702</v>
      </c>
      <c r="P772">
        <v>14.6</v>
      </c>
      <c r="Q772" s="127">
        <v>6</v>
      </c>
      <c r="R772" s="7" t="str">
        <f>IF(AllData[[#This Row],[Nitrate (PPM)]]&gt;2, "Very high", IF(AllData[[#This Row],[Nitrate (PPM)]]&gt;1, "High", IF(AllData[[#This Row],[Nitrate (PPM)]]&gt;0.5, "Some evidence", IF(AllData[[#This Row],[Nitrate (PPM)]]&gt;=0, "No evidence"))))</f>
        <v>Very high</v>
      </c>
      <c r="S772" s="133">
        <v>0.79</v>
      </c>
      <c r="T772" s="7" t="str">
        <f>IF(AllData[[#This Row],[Phosphate (PPM)]]&gt;0.5, "Very high", IF(AllData[[#This Row],[Phosphate (PPM)]]&gt;0.1, "High", IF(AllData[[#This Row],[Phosphate (PPM)]]&gt;0.05, "Some evidence", IF(AllData[[#This Row],[Phosphate (PPM)]]&lt;=0.05, "No Evidence", ""))))</f>
        <v>Very high</v>
      </c>
      <c r="U772">
        <v>0.1</v>
      </c>
    </row>
    <row r="773" spans="1:22" x14ac:dyDescent="0.25">
      <c r="A773" t="s">
        <v>1081</v>
      </c>
      <c r="B773" s="2">
        <v>45417</v>
      </c>
      <c r="C773" s="2" t="str" cm="1">
        <f t="array" ref="C7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3">
        <f>YEAR(AllData[[#This Row],[Date]])</f>
        <v>2024</v>
      </c>
      <c r="E773" s="1">
        <v>0.66388888888888886</v>
      </c>
      <c r="F773" s="2" t="str">
        <f>IF(AND(AllData[[#This Row],[Time]]&lt;0.5, AllData[[#This Row],[Time]]&gt;0.17)=TRUE, "Morning", IF(AND(AllData[[#This Row],[Time]]&lt;0.75, AllData[[#This Row],[Time]]&gt;=0.5)=TRUE, "Afternoon", IF(AND(AllData[[#This Row],[Time]]&lt;1, AllData[[#This Row],[Time]]&gt;=0.75)=TRUE, "Evening", "Night")))</f>
        <v>Afternoon</v>
      </c>
      <c r="G773" t="str">
        <f>_xlfn.XLOOKUP(AllData[[#This Row],[Location Name]], Locations[Location Name],Locations[Group As])</f>
        <v>Sherbourne Brook 1</v>
      </c>
      <c r="H773" t="e" vm="2">
        <f>_xlfn.XLOOKUP(AllData[[#This Row],[Site Name]],LocationsKey[Site Name],LocationsKey[District])</f>
        <v>#VALUE!</v>
      </c>
      <c r="I773" t="e" vm="16">
        <f>_xlfn.XLOOKUP(AllData[[#This Row],[Site Name]],LocationsKey[Site Name],LocationsKey[Town])</f>
        <v>#VALUE!</v>
      </c>
      <c r="J773" t="str">
        <f>_xlfn.XLOOKUP(AllData[[#This Row],[Site Name]],LocationsKey[Site Name], LocationsKey[Waterway])</f>
        <v>Sherbourne Brook</v>
      </c>
      <c r="K773" t="s">
        <v>570</v>
      </c>
      <c r="L773">
        <v>52.252499999999998</v>
      </c>
      <c r="M773">
        <v>-1.6685000000000001</v>
      </c>
      <c r="N773" t="s">
        <v>23</v>
      </c>
      <c r="O773" s="127">
        <v>1060</v>
      </c>
      <c r="P773">
        <v>14</v>
      </c>
      <c r="Q773" s="127">
        <v>8</v>
      </c>
      <c r="R773" s="7" t="str">
        <f>IF(AllData[[#This Row],[Nitrate (PPM)]]&gt;2, "Very high", IF(AllData[[#This Row],[Nitrate (PPM)]]&gt;1, "High", IF(AllData[[#This Row],[Nitrate (PPM)]]&gt;0.5, "Some evidence", IF(AllData[[#This Row],[Nitrate (PPM)]]&gt;=0, "No evidence"))))</f>
        <v>Very high</v>
      </c>
      <c r="S773" s="133">
        <v>0.39</v>
      </c>
      <c r="T773" s="7" t="str">
        <f>IF(AllData[[#This Row],[Phosphate (PPM)]]&gt;0.5, "Very high", IF(AllData[[#This Row],[Phosphate (PPM)]]&gt;0.1, "High", IF(AllData[[#This Row],[Phosphate (PPM)]]&gt;0.05, "Some evidence", IF(AllData[[#This Row],[Phosphate (PPM)]]&lt;=0.05, "No Evidence", ""))))</f>
        <v>High</v>
      </c>
      <c r="U773">
        <v>0.1</v>
      </c>
    </row>
    <row r="774" spans="1:22" x14ac:dyDescent="0.25">
      <c r="A774" t="s">
        <v>1082</v>
      </c>
      <c r="B774" s="2">
        <v>45417</v>
      </c>
      <c r="C774" s="2" t="str" cm="1">
        <f t="array" ref="C7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4">
        <f>YEAR(AllData[[#This Row],[Date]])</f>
        <v>2024</v>
      </c>
      <c r="E774" s="1">
        <v>0.70138888888888884</v>
      </c>
      <c r="F774" s="2" t="str">
        <f>IF(AND(AllData[[#This Row],[Time]]&lt;0.5, AllData[[#This Row],[Time]]&gt;0.17)=TRUE, "Morning", IF(AND(AllData[[#This Row],[Time]]&lt;0.75, AllData[[#This Row],[Time]]&gt;=0.5)=TRUE, "Afternoon", IF(AND(AllData[[#This Row],[Time]]&lt;1, AllData[[#This Row],[Time]]&gt;=0.75)=TRUE, "Evening", "Night")))</f>
        <v>Afternoon</v>
      </c>
      <c r="G774" t="str">
        <f>_xlfn.XLOOKUP(AllData[[#This Row],[Location Name]], Locations[Location Name],Locations[Group As])</f>
        <v>Fell Mill Footbridge</v>
      </c>
      <c r="H774" t="e" vm="2">
        <f>_xlfn.XLOOKUP(AllData[[#This Row],[Site Name]],LocationsKey[Site Name],LocationsKey[District])</f>
        <v>#VALUE!</v>
      </c>
      <c r="I774" t="e" vm="10">
        <f>_xlfn.XLOOKUP(AllData[[#This Row],[Site Name]],LocationsKey[Site Name],LocationsKey[Town])</f>
        <v>#VALUE!</v>
      </c>
      <c r="J774" t="str">
        <f>_xlfn.XLOOKUP(AllData[[#This Row],[Site Name]],LocationsKey[Site Name], LocationsKey[Waterway])</f>
        <v>Stour</v>
      </c>
      <c r="K774" t="s">
        <v>818</v>
      </c>
      <c r="L774">
        <v>52.070086000000003</v>
      </c>
      <c r="M774">
        <v>-1.61145</v>
      </c>
      <c r="N774" t="s">
        <v>29</v>
      </c>
      <c r="O774" s="127">
        <v>632</v>
      </c>
      <c r="P774">
        <v>13.3</v>
      </c>
      <c r="Q774" s="127">
        <v>5</v>
      </c>
      <c r="R774" s="7" t="str">
        <f>IF(AllData[[#This Row],[Nitrate (PPM)]]&gt;2, "Very high", IF(AllData[[#This Row],[Nitrate (PPM)]]&gt;1, "High", IF(AllData[[#This Row],[Nitrate (PPM)]]&gt;0.5, "Some evidence", IF(AllData[[#This Row],[Nitrate (PPM)]]&gt;=0, "No evidence"))))</f>
        <v>Very high</v>
      </c>
      <c r="S774" s="133">
        <v>0.31</v>
      </c>
      <c r="T774" s="7" t="str">
        <f>IF(AllData[[#This Row],[Phosphate (PPM)]]&gt;0.5, "Very high", IF(AllData[[#This Row],[Phosphate (PPM)]]&gt;0.1, "High", IF(AllData[[#This Row],[Phosphate (PPM)]]&gt;0.05, "Some evidence", IF(AllData[[#This Row],[Phosphate (PPM)]]&lt;=0.05, "No Evidence", ""))))</f>
        <v>High</v>
      </c>
      <c r="U774">
        <v>1.49</v>
      </c>
      <c r="V774" t="s">
        <v>1083</v>
      </c>
    </row>
    <row r="775" spans="1:22" x14ac:dyDescent="0.25">
      <c r="A775" t="s">
        <v>1803</v>
      </c>
      <c r="B775" s="2">
        <v>45417</v>
      </c>
      <c r="C775" s="2" t="str" cm="1">
        <f t="array" ref="C7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5">
        <f>YEAR(AllData[[#This Row],[Date]])</f>
        <v>2024</v>
      </c>
      <c r="F775" s="2" t="str">
        <f>IF(AND(AllData[[#This Row],[Time]]&lt;0.5, AllData[[#This Row],[Time]]&gt;0.17)=TRUE, "Morning", IF(AND(AllData[[#This Row],[Time]]&lt;0.75, AllData[[#This Row],[Time]]&gt;=0.5)=TRUE, "Afternoon", IF(AND(AllData[[#This Row],[Time]]&lt;1, AllData[[#This Row],[Time]]&gt;=0.75)=TRUE, "Evening", "Night")))</f>
        <v>Night</v>
      </c>
      <c r="G775" t="str">
        <f>_xlfn.XLOOKUP(AllData[[#This Row],[Location Name]], Locations[Location Name],Locations[Group As])</f>
        <v>Site 1  :  Middle Street</v>
      </c>
      <c r="H775" t="e" vm="2">
        <f>_xlfn.XLOOKUP(AllData[[#This Row],[Site Name]],LocationsKey[Site Name],LocationsKey[District])</f>
        <v>#VALUE!</v>
      </c>
      <c r="I775" t="e" vm="11">
        <f>_xlfn.XLOOKUP(AllData[[#This Row],[Site Name]],LocationsKey[Site Name],LocationsKey[Town])</f>
        <v>#VALUE!</v>
      </c>
      <c r="J775" t="str">
        <f>_xlfn.XLOOKUP(AllData[[#This Row],[Site Name]],LocationsKey[Site Name], LocationsKey[Waterway])</f>
        <v>Fosseway Brook</v>
      </c>
      <c r="K775" t="s">
        <v>1859</v>
      </c>
      <c r="L775">
        <v>52.090085000000002</v>
      </c>
      <c r="M775">
        <v>-1.692593</v>
      </c>
      <c r="N775" t="s">
        <v>66</v>
      </c>
      <c r="O775">
        <v>603</v>
      </c>
      <c r="P775">
        <v>15.8</v>
      </c>
      <c r="Q775">
        <v>5</v>
      </c>
      <c r="R775" s="7" t="str">
        <f>IF(AllData[[#This Row],[Nitrate (PPM)]]&gt;2, "Very high", IF(AllData[[#This Row],[Nitrate (PPM)]]&gt;1, "High", IF(AllData[[#This Row],[Nitrate (PPM)]]&gt;0.5, "Some evidence", IF(AllData[[#This Row],[Nitrate (PPM)]]&gt;=0, "No evidence"))))</f>
        <v>Very high</v>
      </c>
      <c r="S775" s="4">
        <v>0.21</v>
      </c>
      <c r="T775" s="7" t="str">
        <f>IF(AllData[[#This Row],[Phosphate (PPM)]]&gt;0.5, "Very high", IF(AllData[[#This Row],[Phosphate (PPM)]]&gt;0.1, "High", IF(AllData[[#This Row],[Phosphate (PPM)]]&gt;0.05, "Some evidence", IF(AllData[[#This Row],[Phosphate (PPM)]]&lt;=0.05, "No Evidence", ""))))</f>
        <v>High</v>
      </c>
      <c r="U775">
        <v>0</v>
      </c>
      <c r="V775" t="s">
        <v>1909</v>
      </c>
    </row>
    <row r="776" spans="1:22" x14ac:dyDescent="0.25">
      <c r="A776" t="s">
        <v>1381</v>
      </c>
      <c r="B776" s="2">
        <v>45417</v>
      </c>
      <c r="C776" s="2" t="str" cm="1">
        <f t="array" ref="C7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6">
        <f>YEAR(AllData[[#This Row],[Date]])</f>
        <v>2024</v>
      </c>
      <c r="E776" s="1"/>
      <c r="F776" s="2" t="str">
        <f>IF(AND(AllData[[#This Row],[Time]]&lt;0.5, AllData[[#This Row],[Time]]&gt;0.17)=TRUE, "Morning", IF(AND(AllData[[#This Row],[Time]]&lt;0.75, AllData[[#This Row],[Time]]&gt;=0.5)=TRUE, "Afternoon", IF(AND(AllData[[#This Row],[Time]]&lt;1, AllData[[#This Row],[Time]]&gt;=0.75)=TRUE, "Evening", "Night")))</f>
        <v>Night</v>
      </c>
      <c r="G776" t="str">
        <f>_xlfn.XLOOKUP(AllData[[#This Row],[Location Name]], Locations[Location Name],Locations[Group As])</f>
        <v>Site 1  :  Middle Street</v>
      </c>
      <c r="H776" t="e" vm="2">
        <f>_xlfn.XLOOKUP(AllData[[#This Row],[Site Name]],LocationsKey[Site Name],LocationsKey[District])</f>
        <v>#VALUE!</v>
      </c>
      <c r="I776" t="e" vm="11">
        <f>_xlfn.XLOOKUP(AllData[[#This Row],[Site Name]],LocationsKey[Site Name],LocationsKey[Town])</f>
        <v>#VALUE!</v>
      </c>
      <c r="J776" t="str">
        <f>_xlfn.XLOOKUP(AllData[[#This Row],[Site Name]],LocationsKey[Site Name], LocationsKey[Waterway])</f>
        <v>Fosseway Brook</v>
      </c>
      <c r="K776" t="s">
        <v>1373</v>
      </c>
      <c r="L776">
        <v>52.090085000000002</v>
      </c>
      <c r="M776">
        <v>-1.692593</v>
      </c>
      <c r="N776" t="s">
        <v>66</v>
      </c>
      <c r="O776">
        <v>603</v>
      </c>
      <c r="P776">
        <v>15.8</v>
      </c>
      <c r="Q776">
        <v>5</v>
      </c>
      <c r="R776" s="7" t="str">
        <f>IF(AllData[[#This Row],[Nitrate (PPM)]]&gt;2, "Very high", IF(AllData[[#This Row],[Nitrate (PPM)]]&gt;1, "High", IF(AllData[[#This Row],[Nitrate (PPM)]]&gt;0.5, "Some evidence", IF(AllData[[#This Row],[Nitrate (PPM)]]&gt;=0, "No evidence"))))</f>
        <v>Very high</v>
      </c>
      <c r="S776" s="4">
        <v>0.21</v>
      </c>
      <c r="T776" s="7" t="str">
        <f>IF(AllData[[#This Row],[Phosphate (PPM)]]&gt;0.5, "Very high", IF(AllData[[#This Row],[Phosphate (PPM)]]&gt;0.1, "High", IF(AllData[[#This Row],[Phosphate (PPM)]]&gt;0.05, "Some evidence", IF(AllData[[#This Row],[Phosphate (PPM)]]&lt;=0.05, "No Evidence", ""))))</f>
        <v>High</v>
      </c>
    </row>
    <row r="777" spans="1:22" x14ac:dyDescent="0.25">
      <c r="A777" t="s">
        <v>1804</v>
      </c>
      <c r="B777" s="2">
        <v>45417</v>
      </c>
      <c r="C777" s="2" t="str" cm="1">
        <f t="array" ref="C7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7">
        <f>YEAR(AllData[[#This Row],[Date]])</f>
        <v>2024</v>
      </c>
      <c r="F777" s="2" t="str">
        <f>IF(AND(AllData[[#This Row],[Time]]&lt;0.5, AllData[[#This Row],[Time]]&gt;0.17)=TRUE, "Morning", IF(AND(AllData[[#This Row],[Time]]&lt;0.75, AllData[[#This Row],[Time]]&gt;=0.5)=TRUE, "Afternoon", IF(AND(AllData[[#This Row],[Time]]&lt;1, AllData[[#This Row],[Time]]&gt;=0.75)=TRUE, "Evening", "Night")))</f>
        <v>Night</v>
      </c>
      <c r="G777" t="str">
        <f>_xlfn.XLOOKUP(AllData[[#This Row],[Location Name]], Locations[Location Name],Locations[Group As])</f>
        <v>Site 2  :  Cross Leys culvert</v>
      </c>
      <c r="H777" t="e" vm="2">
        <f>_xlfn.XLOOKUP(AllData[[#This Row],[Site Name]],LocationsKey[Site Name],LocationsKey[District])</f>
        <v>#VALUE!</v>
      </c>
      <c r="I777" t="e" vm="11">
        <f>_xlfn.XLOOKUP(AllData[[#This Row],[Site Name]],LocationsKey[Site Name],LocationsKey[Town])</f>
        <v>#VALUE!</v>
      </c>
      <c r="J777" t="str">
        <f>_xlfn.XLOOKUP(AllData[[#This Row],[Site Name]],LocationsKey[Site Name], LocationsKey[Waterway])</f>
        <v>Fosseway Brook</v>
      </c>
      <c r="K777" t="s">
        <v>1860</v>
      </c>
      <c r="L777">
        <v>52.092967999999999</v>
      </c>
      <c r="M777">
        <v>-1.6862710000000001</v>
      </c>
      <c r="N777" t="s">
        <v>66</v>
      </c>
      <c r="O777">
        <v>662</v>
      </c>
      <c r="P777">
        <v>17.3</v>
      </c>
      <c r="Q777">
        <v>5</v>
      </c>
      <c r="R777" s="7" t="str">
        <f>IF(AllData[[#This Row],[Nitrate (PPM)]]&gt;2, "Very high", IF(AllData[[#This Row],[Nitrate (PPM)]]&gt;1, "High", IF(AllData[[#This Row],[Nitrate (PPM)]]&gt;0.5, "Some evidence", IF(AllData[[#This Row],[Nitrate (PPM)]]&gt;=0, "No evidence"))))</f>
        <v>Very high</v>
      </c>
      <c r="S777" s="4">
        <v>0.46</v>
      </c>
      <c r="T777" s="7" t="str">
        <f>IF(AllData[[#This Row],[Phosphate (PPM)]]&gt;0.5, "Very high", IF(AllData[[#This Row],[Phosphate (PPM)]]&gt;0.1, "High", IF(AllData[[#This Row],[Phosphate (PPM)]]&gt;0.05, "Some evidence", IF(AllData[[#This Row],[Phosphate (PPM)]]&lt;=0.05, "No Evidence", ""))))</f>
        <v>High</v>
      </c>
      <c r="U777">
        <v>0</v>
      </c>
      <c r="V777" t="s">
        <v>1909</v>
      </c>
    </row>
    <row r="778" spans="1:22" x14ac:dyDescent="0.25">
      <c r="A778" t="s">
        <v>1380</v>
      </c>
      <c r="B778" s="2">
        <v>45417</v>
      </c>
      <c r="C778" s="2" t="str" cm="1">
        <f t="array" ref="C7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8">
        <f>YEAR(AllData[[#This Row],[Date]])</f>
        <v>2024</v>
      </c>
      <c r="E778" s="1"/>
      <c r="F778" s="2" t="str">
        <f>IF(AND(AllData[[#This Row],[Time]]&lt;0.5, AllData[[#This Row],[Time]]&gt;0.17)=TRUE, "Morning", IF(AND(AllData[[#This Row],[Time]]&lt;0.75, AllData[[#This Row],[Time]]&gt;=0.5)=TRUE, "Afternoon", IF(AND(AllData[[#This Row],[Time]]&lt;1, AllData[[#This Row],[Time]]&gt;=0.75)=TRUE, "Evening", "Night")))</f>
        <v>Night</v>
      </c>
      <c r="G778" t="str">
        <f>_xlfn.XLOOKUP(AllData[[#This Row],[Location Name]], Locations[Location Name],Locations[Group As])</f>
        <v>Site 2  :  Cross Leys culvert</v>
      </c>
      <c r="H778" t="e" vm="2">
        <f>_xlfn.XLOOKUP(AllData[[#This Row],[Site Name]],LocationsKey[Site Name],LocationsKey[District])</f>
        <v>#VALUE!</v>
      </c>
      <c r="I778" t="e" vm="11">
        <f>_xlfn.XLOOKUP(AllData[[#This Row],[Site Name]],LocationsKey[Site Name],LocationsKey[Town])</f>
        <v>#VALUE!</v>
      </c>
      <c r="J778" t="str">
        <f>_xlfn.XLOOKUP(AllData[[#This Row],[Site Name]],LocationsKey[Site Name], LocationsKey[Waterway])</f>
        <v>Fosseway Brook</v>
      </c>
      <c r="K778" t="s">
        <v>1371</v>
      </c>
      <c r="L778">
        <v>52.092967999999999</v>
      </c>
      <c r="M778">
        <v>-1.6862710000000001</v>
      </c>
      <c r="N778" t="s">
        <v>66</v>
      </c>
      <c r="O778">
        <v>662</v>
      </c>
      <c r="P778">
        <v>17.3</v>
      </c>
      <c r="Q778">
        <v>5</v>
      </c>
      <c r="R778" s="7" t="str">
        <f>IF(AllData[[#This Row],[Nitrate (PPM)]]&gt;2, "Very high", IF(AllData[[#This Row],[Nitrate (PPM)]]&gt;1, "High", IF(AllData[[#This Row],[Nitrate (PPM)]]&gt;0.5, "Some evidence", IF(AllData[[#This Row],[Nitrate (PPM)]]&gt;=0, "No evidence"))))</f>
        <v>Very high</v>
      </c>
      <c r="S778" s="4">
        <v>0.46</v>
      </c>
      <c r="T778" s="7" t="str">
        <f>IF(AllData[[#This Row],[Phosphate (PPM)]]&gt;0.5, "Very high", IF(AllData[[#This Row],[Phosphate (PPM)]]&gt;0.1, "High", IF(AllData[[#This Row],[Phosphate (PPM)]]&gt;0.05, "Some evidence", IF(AllData[[#This Row],[Phosphate (PPM)]]&lt;=0.05, "No Evidence", ""))))</f>
        <v>High</v>
      </c>
    </row>
    <row r="779" spans="1:22" x14ac:dyDescent="0.25">
      <c r="A779" t="s">
        <v>1805</v>
      </c>
      <c r="B779" s="2">
        <v>45417</v>
      </c>
      <c r="C779" s="2" t="str" cm="1">
        <f t="array" ref="C7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9">
        <f>YEAR(AllData[[#This Row],[Date]])</f>
        <v>2024</v>
      </c>
      <c r="F779" s="2" t="str">
        <f>IF(AND(AllData[[#This Row],[Time]]&lt;0.5, AllData[[#This Row],[Time]]&gt;0.17)=TRUE, "Morning", IF(AND(AllData[[#This Row],[Time]]&lt;0.75, AllData[[#This Row],[Time]]&gt;=0.5)=TRUE, "Afternoon", IF(AND(AllData[[#This Row],[Time]]&lt;1, AllData[[#This Row],[Time]]&gt;=0.75)=TRUE, "Evening", "Night")))</f>
        <v>Night</v>
      </c>
      <c r="G779" t="str">
        <f>_xlfn.XLOOKUP(AllData[[#This Row],[Location Name]], Locations[Location Name],Locations[Group As])</f>
        <v>Site 3  :  Severn Trent Water processing plant outflow</v>
      </c>
      <c r="H779" t="e" vm="2">
        <f>_xlfn.XLOOKUP(AllData[[#This Row],[Site Name]],LocationsKey[Site Name],LocationsKey[District])</f>
        <v>#VALUE!</v>
      </c>
      <c r="I779" t="e" vm="11">
        <f>_xlfn.XLOOKUP(AllData[[#This Row],[Site Name]],LocationsKey[Site Name],LocationsKey[Town])</f>
        <v>#VALUE!</v>
      </c>
      <c r="J779" t="str">
        <f>_xlfn.XLOOKUP(AllData[[#This Row],[Site Name]],LocationsKey[Site Name], LocationsKey[Waterway])</f>
        <v>Fosseway Brook</v>
      </c>
      <c r="K779" t="s">
        <v>1861</v>
      </c>
      <c r="L779">
        <v>52.094423999999997</v>
      </c>
      <c r="M779">
        <v>-1.6759090000000001</v>
      </c>
      <c r="N779" t="s">
        <v>29</v>
      </c>
      <c r="O779">
        <v>830</v>
      </c>
      <c r="P779">
        <v>16.3</v>
      </c>
      <c r="Q779">
        <v>10</v>
      </c>
      <c r="R779" s="7" t="str">
        <f>IF(AllData[[#This Row],[Nitrate (PPM)]]&gt;2, "Very high", IF(AllData[[#This Row],[Nitrate (PPM)]]&gt;1, "High", IF(AllData[[#This Row],[Nitrate (PPM)]]&gt;0.5, "Some evidence", IF(AllData[[#This Row],[Nitrate (PPM)]]&gt;=0, "No evidence"))))</f>
        <v>Very high</v>
      </c>
      <c r="S779" s="4">
        <v>2.5</v>
      </c>
      <c r="T779" s="7" t="str">
        <f>IF(AllData[[#This Row],[Phosphate (PPM)]]&gt;0.5, "Very high", IF(AllData[[#This Row],[Phosphate (PPM)]]&gt;0.1, "High", IF(AllData[[#This Row],[Phosphate (PPM)]]&gt;0.05, "Some evidence", IF(AllData[[#This Row],[Phosphate (PPM)]]&lt;=0.05, "No Evidence", ""))))</f>
        <v>Very high</v>
      </c>
      <c r="U779">
        <v>0</v>
      </c>
      <c r="V779" t="s">
        <v>1910</v>
      </c>
    </row>
    <row r="780" spans="1:22" x14ac:dyDescent="0.25">
      <c r="A780" t="s">
        <v>1379</v>
      </c>
      <c r="B780" s="2">
        <v>45417</v>
      </c>
      <c r="C780" s="2" t="str" cm="1">
        <f t="array" ref="C7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0">
        <f>YEAR(AllData[[#This Row],[Date]])</f>
        <v>2024</v>
      </c>
      <c r="E780" s="1"/>
      <c r="F780" s="2" t="str">
        <f>IF(AND(AllData[[#This Row],[Time]]&lt;0.5, AllData[[#This Row],[Time]]&gt;0.17)=TRUE, "Morning", IF(AND(AllData[[#This Row],[Time]]&lt;0.75, AllData[[#This Row],[Time]]&gt;=0.5)=TRUE, "Afternoon", IF(AND(AllData[[#This Row],[Time]]&lt;1, AllData[[#This Row],[Time]]&gt;=0.75)=TRUE, "Evening", "Night")))</f>
        <v>Night</v>
      </c>
      <c r="G780" t="str">
        <f>_xlfn.XLOOKUP(AllData[[#This Row],[Location Name]], Locations[Location Name],Locations[Group As])</f>
        <v>Site 3  :  Severn Trent Water processing plant outflow</v>
      </c>
      <c r="H780" t="e" vm="2">
        <f>_xlfn.XLOOKUP(AllData[[#This Row],[Site Name]],LocationsKey[Site Name],LocationsKey[District])</f>
        <v>#VALUE!</v>
      </c>
      <c r="I780" t="e" vm="11">
        <f>_xlfn.XLOOKUP(AllData[[#This Row],[Site Name]],LocationsKey[Site Name],LocationsKey[Town])</f>
        <v>#VALUE!</v>
      </c>
      <c r="J780" t="str">
        <f>_xlfn.XLOOKUP(AllData[[#This Row],[Site Name]],LocationsKey[Site Name], LocationsKey[Waterway])</f>
        <v>Fosseway Brook</v>
      </c>
      <c r="K780" t="s">
        <v>1368</v>
      </c>
      <c r="L780">
        <v>52.094423999999997</v>
      </c>
      <c r="M780">
        <v>-1.6759090000000001</v>
      </c>
      <c r="N780" t="s">
        <v>29</v>
      </c>
      <c r="O780">
        <v>830</v>
      </c>
      <c r="P780">
        <v>16.3</v>
      </c>
      <c r="Q780">
        <v>10</v>
      </c>
      <c r="R780" s="7" t="str">
        <f>IF(AllData[[#This Row],[Nitrate (PPM)]]&gt;2, "Very high", IF(AllData[[#This Row],[Nitrate (PPM)]]&gt;1, "High", IF(AllData[[#This Row],[Nitrate (PPM)]]&gt;0.5, "Some evidence", IF(AllData[[#This Row],[Nitrate (PPM)]]&gt;=0, "No evidence"))))</f>
        <v>Very high</v>
      </c>
      <c r="S780" s="4">
        <v>2.5</v>
      </c>
      <c r="T780" s="7" t="str">
        <f>IF(AllData[[#This Row],[Phosphate (PPM)]]&gt;0.5, "Very high", IF(AllData[[#This Row],[Phosphate (PPM)]]&gt;0.1, "High", IF(AllData[[#This Row],[Phosphate (PPM)]]&gt;0.05, "Some evidence", IF(AllData[[#This Row],[Phosphate (PPM)]]&lt;=0.05, "No Evidence", ""))))</f>
        <v>Very high</v>
      </c>
    </row>
    <row r="781" spans="1:22" x14ac:dyDescent="0.25">
      <c r="A781" t="s">
        <v>1091</v>
      </c>
      <c r="B781" s="2">
        <v>45418</v>
      </c>
      <c r="C781" s="2" t="str" cm="1">
        <f t="array" ref="C7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1">
        <f>YEAR(AllData[[#This Row],[Date]])</f>
        <v>2024</v>
      </c>
      <c r="E781" s="1">
        <v>6.3194444444444442E-2</v>
      </c>
      <c r="F781" s="2" t="str">
        <f>IF(AND(AllData[[#This Row],[Time]]&lt;0.5, AllData[[#This Row],[Time]]&gt;0.17)=TRUE, "Morning", IF(AND(AllData[[#This Row],[Time]]&lt;0.75, AllData[[#This Row],[Time]]&gt;=0.5)=TRUE, "Afternoon", IF(AND(AllData[[#This Row],[Time]]&lt;1, AllData[[#This Row],[Time]]&gt;=0.75)=TRUE, "Evening", "Night")))</f>
        <v>Night</v>
      </c>
      <c r="G781" t="str">
        <f>_xlfn.XLOOKUP(AllData[[#This Row],[Location Name]], Locations[Location Name],Locations[Group As])</f>
        <v>The Ford, Langley</v>
      </c>
      <c r="H781" t="e" vm="2">
        <f>_xlfn.XLOOKUP(AllData[[#This Row],[Site Name]],LocationsKey[Site Name],LocationsKey[District])</f>
        <v>#VALUE!</v>
      </c>
      <c r="I781" t="str">
        <f>_xlfn.XLOOKUP(AllData[[#This Row],[Site Name]],LocationsKey[Site Name],LocationsKey[Town])</f>
        <v>Langley</v>
      </c>
      <c r="J781" t="str">
        <f>_xlfn.XLOOKUP(AllData[[#This Row],[Site Name]],LocationsKey[Site Name], LocationsKey[Waterway])</f>
        <v>Langley Ford</v>
      </c>
      <c r="K781" t="s">
        <v>526</v>
      </c>
      <c r="L781">
        <v>52.269103000000001</v>
      </c>
      <c r="M781">
        <v>-1.7232620000000001</v>
      </c>
      <c r="N781" t="s">
        <v>29</v>
      </c>
      <c r="O781">
        <v>737</v>
      </c>
      <c r="P781">
        <v>13.3</v>
      </c>
      <c r="Q781">
        <v>5</v>
      </c>
      <c r="R781" s="7" t="str">
        <f>IF(AllData[[#This Row],[Nitrate (PPM)]]&gt;2, "Very high", IF(AllData[[#This Row],[Nitrate (PPM)]]&gt;1, "High", IF(AllData[[#This Row],[Nitrate (PPM)]]&gt;0.5, "Some evidence", IF(AllData[[#This Row],[Nitrate (PPM)]]&gt;=0, "No evidence"))))</f>
        <v>Very high</v>
      </c>
      <c r="S781" s="4">
        <v>0.62</v>
      </c>
      <c r="T781" s="7" t="str">
        <f>IF(AllData[[#This Row],[Phosphate (PPM)]]&gt;0.5, "Very high", IF(AllData[[#This Row],[Phosphate (PPM)]]&gt;0.1, "High", IF(AllData[[#This Row],[Phosphate (PPM)]]&gt;0.05, "Some evidence", IF(AllData[[#This Row],[Phosphate (PPM)]]&lt;=0.05, "No Evidence", ""))))</f>
        <v>Very high</v>
      </c>
      <c r="U781">
        <v>0.2</v>
      </c>
    </row>
    <row r="782" spans="1:22" x14ac:dyDescent="0.25">
      <c r="A782" t="s">
        <v>1085</v>
      </c>
      <c r="B782" s="2">
        <v>45418</v>
      </c>
      <c r="C782" s="2" t="str" cm="1">
        <f t="array" ref="C7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2">
        <f>YEAR(AllData[[#This Row],[Date]])</f>
        <v>2024</v>
      </c>
      <c r="E782" s="1">
        <v>0.44583333333333336</v>
      </c>
      <c r="F782" s="2" t="str">
        <f>IF(AND(AllData[[#This Row],[Time]]&lt;0.5, AllData[[#This Row],[Time]]&gt;0.17)=TRUE, "Morning", IF(AND(AllData[[#This Row],[Time]]&lt;0.75, AllData[[#This Row],[Time]]&gt;=0.5)=TRUE, "Afternoon", IF(AND(AllData[[#This Row],[Time]]&lt;1, AllData[[#This Row],[Time]]&gt;=0.75)=TRUE, "Evening", "Night")))</f>
        <v>Morning</v>
      </c>
      <c r="G782" t="str">
        <f>_xlfn.XLOOKUP(AllData[[#This Row],[Location Name]], Locations[Location Name],Locations[Group As])</f>
        <v>Stour Stretton-on-Fosse Village</v>
      </c>
      <c r="H782" t="e" vm="2">
        <f>_xlfn.XLOOKUP(AllData[[#This Row],[Site Name]],LocationsKey[Site Name],LocationsKey[District])</f>
        <v>#VALUE!</v>
      </c>
      <c r="I782" t="e" vm="14">
        <f>_xlfn.XLOOKUP(AllData[[#This Row],[Site Name]],LocationsKey[Site Name],LocationsKey[Town])</f>
        <v>#VALUE!</v>
      </c>
      <c r="J782" t="str">
        <f>_xlfn.XLOOKUP(AllData[[#This Row],[Site Name]],LocationsKey[Site Name], LocationsKey[Waterway])</f>
        <v>Stour</v>
      </c>
      <c r="K782" t="s">
        <v>544</v>
      </c>
      <c r="L782">
        <v>52.046545999999999</v>
      </c>
      <c r="M782">
        <v>-1.6733910000000001</v>
      </c>
      <c r="N782" t="s">
        <v>66</v>
      </c>
      <c r="O782" s="127">
        <v>744</v>
      </c>
      <c r="P782">
        <v>12.7</v>
      </c>
      <c r="Q782" s="127">
        <v>2</v>
      </c>
      <c r="R782" s="7" t="str">
        <f>IF(AllData[[#This Row],[Nitrate (PPM)]]&gt;2, "Very high", IF(AllData[[#This Row],[Nitrate (PPM)]]&gt;1, "High", IF(AllData[[#This Row],[Nitrate (PPM)]]&gt;0.5, "Some evidence", IF(AllData[[#This Row],[Nitrate (PPM)]]&gt;=0, "No evidence"))))</f>
        <v>High</v>
      </c>
      <c r="S782" s="133">
        <v>1.72</v>
      </c>
      <c r="T782" s="7" t="str">
        <f>IF(AllData[[#This Row],[Phosphate (PPM)]]&gt;0.5, "Very high", IF(AllData[[#This Row],[Phosphate (PPM)]]&gt;0.1, "High", IF(AllData[[#This Row],[Phosphate (PPM)]]&gt;0.05, "Some evidence", IF(AllData[[#This Row],[Phosphate (PPM)]]&lt;=0.05, "No Evidence", ""))))</f>
        <v>Very high</v>
      </c>
      <c r="U782">
        <v>0.2</v>
      </c>
    </row>
    <row r="783" spans="1:22" x14ac:dyDescent="0.25">
      <c r="A783" t="s">
        <v>1086</v>
      </c>
      <c r="B783" s="2">
        <v>45418</v>
      </c>
      <c r="C783" s="2" t="str" cm="1">
        <f t="array" ref="C7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3">
        <f>YEAR(AllData[[#This Row],[Date]])</f>
        <v>2024</v>
      </c>
      <c r="E783" s="1">
        <v>0.45555555555555555</v>
      </c>
      <c r="F783" s="2" t="str">
        <f>IF(AND(AllData[[#This Row],[Time]]&lt;0.5, AllData[[#This Row],[Time]]&gt;0.17)=TRUE, "Morning", IF(AND(AllData[[#This Row],[Time]]&lt;0.75, AllData[[#This Row],[Time]]&gt;=0.5)=TRUE, "Afternoon", IF(AND(AllData[[#This Row],[Time]]&lt;1, AllData[[#This Row],[Time]]&gt;=0.75)=TRUE, "Evening", "Night")))</f>
        <v>Morning</v>
      </c>
      <c r="G783" t="str">
        <f>_xlfn.XLOOKUP(AllData[[#This Row],[Location Name]], Locations[Location Name],Locations[Group As])</f>
        <v>Stour Stretton-on-Fosse Sewage Works</v>
      </c>
      <c r="H783" t="e" vm="2">
        <f>_xlfn.XLOOKUP(AllData[[#This Row],[Site Name]],LocationsKey[Site Name],LocationsKey[District])</f>
        <v>#VALUE!</v>
      </c>
      <c r="I783" t="e" vm="14">
        <f>_xlfn.XLOOKUP(AllData[[#This Row],[Site Name]],LocationsKey[Site Name],LocationsKey[Town])</f>
        <v>#VALUE!</v>
      </c>
      <c r="J783" t="str">
        <f>_xlfn.XLOOKUP(AllData[[#This Row],[Site Name]],LocationsKey[Site Name], LocationsKey[Waterway])</f>
        <v>Stour</v>
      </c>
      <c r="K783" t="s">
        <v>335</v>
      </c>
      <c r="L783">
        <v>52.045641000000003</v>
      </c>
      <c r="M783">
        <v>-1.6719269999999999</v>
      </c>
      <c r="N783" t="s">
        <v>29</v>
      </c>
      <c r="O783" s="127">
        <v>778</v>
      </c>
      <c r="P783">
        <v>12.6</v>
      </c>
      <c r="Q783" s="127">
        <v>5</v>
      </c>
      <c r="R783" s="7" t="str">
        <f>IF(AllData[[#This Row],[Nitrate (PPM)]]&gt;2, "Very high", IF(AllData[[#This Row],[Nitrate (PPM)]]&gt;1, "High", IF(AllData[[#This Row],[Nitrate (PPM)]]&gt;0.5, "Some evidence", IF(AllData[[#This Row],[Nitrate (PPM)]]&gt;=0, "No evidence"))))</f>
        <v>Very high</v>
      </c>
      <c r="S783" s="133">
        <v>2.5</v>
      </c>
      <c r="T783" s="7" t="str">
        <f>IF(AllData[[#This Row],[Phosphate (PPM)]]&gt;0.5, "Very high", IF(AllData[[#This Row],[Phosphate (PPM)]]&gt;0.1, "High", IF(AllData[[#This Row],[Phosphate (PPM)]]&gt;0.05, "Some evidence", IF(AllData[[#This Row],[Phosphate (PPM)]]&lt;=0.05, "No Evidence", ""))))</f>
        <v>Very high</v>
      </c>
      <c r="U783">
        <v>0.25</v>
      </c>
      <c r="V783" t="s">
        <v>1087</v>
      </c>
    </row>
    <row r="784" spans="1:22" x14ac:dyDescent="0.25">
      <c r="A784" t="s">
        <v>1088</v>
      </c>
      <c r="B784" s="2">
        <v>45418</v>
      </c>
      <c r="C784" s="2" t="str" cm="1">
        <f t="array" ref="C7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4">
        <f>YEAR(AllData[[#This Row],[Date]])</f>
        <v>2024</v>
      </c>
      <c r="E784" s="1">
        <v>0.53125</v>
      </c>
      <c r="F784" s="2" t="str">
        <f>IF(AND(AllData[[#This Row],[Time]]&lt;0.5, AllData[[#This Row],[Time]]&gt;0.17)=TRUE, "Morning", IF(AND(AllData[[#This Row],[Time]]&lt;0.75, AllData[[#This Row],[Time]]&gt;=0.5)=TRUE, "Afternoon", IF(AND(AllData[[#This Row],[Time]]&lt;1, AllData[[#This Row],[Time]]&gt;=0.75)=TRUE, "Evening", "Night")))</f>
        <v>Afternoon</v>
      </c>
      <c r="G784" t="str">
        <f>_xlfn.XLOOKUP(AllData[[#This Row],[Location Name]], Locations[Location Name],Locations[Group As])</f>
        <v>Mill Bridge Peopleton</v>
      </c>
      <c r="H784" t="e" vm="17">
        <f>_xlfn.XLOOKUP(AllData[[#This Row],[Site Name]],LocationsKey[Site Name],LocationsKey[District])</f>
        <v>#VALUE!</v>
      </c>
      <c r="I784" t="str">
        <f>_xlfn.XLOOKUP(AllData[[#This Row],[Site Name]],LocationsKey[Site Name],LocationsKey[Town])</f>
        <v>Peopleton</v>
      </c>
      <c r="J784" t="str">
        <f>_xlfn.XLOOKUP(AllData[[#This Row],[Site Name]],LocationsKey[Site Name], LocationsKey[Waterway])</f>
        <v>Bow Brook</v>
      </c>
      <c r="K784" t="s">
        <v>921</v>
      </c>
      <c r="L784">
        <v>52.154204</v>
      </c>
      <c r="M784">
        <v>-2.0905659999999999</v>
      </c>
      <c r="N784" t="s">
        <v>29</v>
      </c>
      <c r="O784" s="220">
        <v>940</v>
      </c>
      <c r="P784">
        <v>14.8</v>
      </c>
      <c r="Q784" s="220">
        <v>5</v>
      </c>
      <c r="R784" s="7" t="str">
        <f>IF(AllData[[#This Row],[Nitrate (PPM)]]&gt;2, "Very high", IF(AllData[[#This Row],[Nitrate (PPM)]]&gt;1, "High", IF(AllData[[#This Row],[Nitrate (PPM)]]&gt;0.5, "Some evidence", IF(AllData[[#This Row],[Nitrate (PPM)]]&gt;=0, "No evidence"))))</f>
        <v>Very high</v>
      </c>
      <c r="S784" s="222">
        <v>1.0900000000000001</v>
      </c>
      <c r="T784" s="7" t="str">
        <f>IF(AllData[[#This Row],[Phosphate (PPM)]]&gt;0.5, "Very high", IF(AllData[[#This Row],[Phosphate (PPM)]]&gt;0.1, "High", IF(AllData[[#This Row],[Phosphate (PPM)]]&gt;0.05, "Some evidence", IF(AllData[[#This Row],[Phosphate (PPM)]]&lt;=0.05, "No Evidence", ""))))</f>
        <v>Very high</v>
      </c>
      <c r="U784">
        <v>0.45</v>
      </c>
    </row>
    <row r="785" spans="1:22" x14ac:dyDescent="0.25">
      <c r="A785" t="s">
        <v>1089</v>
      </c>
      <c r="B785" s="2">
        <v>45418</v>
      </c>
      <c r="C785" s="2" t="str" cm="1">
        <f t="array" ref="C7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5">
        <f>YEAR(AllData[[#This Row],[Date]])</f>
        <v>2024</v>
      </c>
      <c r="E785" s="1">
        <v>0.59722222222222221</v>
      </c>
      <c r="F785" s="2" t="str">
        <f>IF(AND(AllData[[#This Row],[Time]]&lt;0.5, AllData[[#This Row],[Time]]&gt;0.17)=TRUE, "Morning", IF(AND(AllData[[#This Row],[Time]]&lt;0.75, AllData[[#This Row],[Time]]&gt;=0.5)=TRUE, "Afternoon", IF(AND(AllData[[#This Row],[Time]]&lt;1, AllData[[#This Row],[Time]]&gt;=0.75)=TRUE, "Evening", "Night")))</f>
        <v>Afternoon</v>
      </c>
      <c r="G785" t="str">
        <f>_xlfn.XLOOKUP(AllData[[#This Row],[Location Name]], Locations[Location Name],Locations[Group As])</f>
        <v>Swiffen Bank</v>
      </c>
      <c r="H785" t="e" vm="2">
        <f>_xlfn.XLOOKUP(AllData[[#This Row],[Site Name]],LocationsKey[Site Name],LocationsKey[District])</f>
        <v>#VALUE!</v>
      </c>
      <c r="I785" t="e" vm="13">
        <f>_xlfn.XLOOKUP(AllData[[#This Row],[Site Name]],LocationsKey[Site Name],LocationsKey[Town])</f>
        <v>#VALUE!</v>
      </c>
      <c r="J785" t="str">
        <f>_xlfn.XLOOKUP(AllData[[#This Row],[Site Name]],LocationsKey[Site Name], LocationsKey[Waterway])</f>
        <v>Avon</v>
      </c>
      <c r="K785" t="s">
        <v>284</v>
      </c>
      <c r="L785">
        <v>52.206477999999997</v>
      </c>
      <c r="M785">
        <v>-1.653894</v>
      </c>
      <c r="N785" t="s">
        <v>29</v>
      </c>
      <c r="O785" s="220">
        <v>656</v>
      </c>
      <c r="P785">
        <v>15.1</v>
      </c>
      <c r="Q785" s="220">
        <v>10</v>
      </c>
      <c r="R785" s="7" t="str">
        <f>IF(AllData[[#This Row],[Nitrate (PPM)]]&gt;2, "Very high", IF(AllData[[#This Row],[Nitrate (PPM)]]&gt;1, "High", IF(AllData[[#This Row],[Nitrate (PPM)]]&gt;0.5, "Some evidence", IF(AllData[[#This Row],[Nitrate (PPM)]]&gt;=0, "No evidence"))))</f>
        <v>Very high</v>
      </c>
      <c r="S785" s="222">
        <v>0.36</v>
      </c>
      <c r="T785" s="7" t="str">
        <f>IF(AllData[[#This Row],[Phosphate (PPM)]]&gt;0.5, "Very high", IF(AllData[[#This Row],[Phosphate (PPM)]]&gt;0.1, "High", IF(AllData[[#This Row],[Phosphate (PPM)]]&gt;0.05, "Some evidence", IF(AllData[[#This Row],[Phosphate (PPM)]]&lt;=0.05, "No Evidence", ""))))</f>
        <v>High</v>
      </c>
      <c r="U785">
        <v>0</v>
      </c>
      <c r="V785" t="s">
        <v>1090</v>
      </c>
    </row>
    <row r="786" spans="1:22" x14ac:dyDescent="0.25">
      <c r="A786" t="s">
        <v>1092</v>
      </c>
      <c r="B786" s="2">
        <v>45419</v>
      </c>
      <c r="C786" s="2" t="str" cm="1">
        <f t="array" ref="C7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6">
        <f>YEAR(AllData[[#This Row],[Date]])</f>
        <v>2024</v>
      </c>
      <c r="E786" s="1">
        <v>0.61458333333333337</v>
      </c>
      <c r="F786" s="2" t="str">
        <f>IF(AND(AllData[[#This Row],[Time]]&lt;0.5, AllData[[#This Row],[Time]]&gt;0.17)=TRUE, "Morning", IF(AND(AllData[[#This Row],[Time]]&lt;0.75, AllData[[#This Row],[Time]]&gt;=0.5)=TRUE, "Afternoon", IF(AND(AllData[[#This Row],[Time]]&lt;1, AllData[[#This Row],[Time]]&gt;=0.75)=TRUE, "Evening", "Night")))</f>
        <v>Afternoon</v>
      </c>
      <c r="G786" t="str">
        <f>_xlfn.XLOOKUP(AllData[[#This Row],[Location Name]], Locations[Location Name],Locations[Group As])</f>
        <v>Abbey Mill</v>
      </c>
      <c r="H786" t="e" vm="1">
        <f>_xlfn.XLOOKUP(AllData[[#This Row],[Site Name]],LocationsKey[Site Name],LocationsKey[District])</f>
        <v>#VALUE!</v>
      </c>
      <c r="I786" t="e" vm="1">
        <f>_xlfn.XLOOKUP(AllData[[#This Row],[Site Name]],LocationsKey[Site Name],LocationsKey[Town])</f>
        <v>#VALUE!</v>
      </c>
      <c r="J786" t="str">
        <f>_xlfn.XLOOKUP(AllData[[#This Row],[Site Name]],LocationsKey[Site Name], LocationsKey[Waterway])</f>
        <v>Avon</v>
      </c>
      <c r="K786" t="s">
        <v>25</v>
      </c>
      <c r="L786">
        <v>51.991245999999997</v>
      </c>
      <c r="M786">
        <v>-2.1626810000000001</v>
      </c>
      <c r="N786" t="s">
        <v>23</v>
      </c>
      <c r="O786" s="127">
        <v>742</v>
      </c>
      <c r="P786">
        <v>15.7</v>
      </c>
      <c r="Q786" s="127">
        <v>9</v>
      </c>
      <c r="R786" s="7" t="str">
        <f>IF(AllData[[#This Row],[Nitrate (PPM)]]&gt;2, "Very high", IF(AllData[[#This Row],[Nitrate (PPM)]]&gt;1, "High", IF(AllData[[#This Row],[Nitrate (PPM)]]&gt;0.5, "Some evidence", IF(AllData[[#This Row],[Nitrate (PPM)]]&gt;=0, "No evidence"))))</f>
        <v>Very high</v>
      </c>
      <c r="S786" s="133">
        <v>0.52</v>
      </c>
      <c r="T786" s="7" t="str">
        <f>IF(AllData[[#This Row],[Phosphate (PPM)]]&gt;0.5, "Very high", IF(AllData[[#This Row],[Phosphate (PPM)]]&gt;0.1, "High", IF(AllData[[#This Row],[Phosphate (PPM)]]&gt;0.05, "Some evidence", IF(AllData[[#This Row],[Phosphate (PPM)]]&lt;=0.05, "No Evidence", ""))))</f>
        <v>Very high</v>
      </c>
      <c r="U786">
        <v>0.8</v>
      </c>
      <c r="V786" t="s">
        <v>1093</v>
      </c>
    </row>
    <row r="787" spans="1:22" x14ac:dyDescent="0.25">
      <c r="A787" t="s">
        <v>1094</v>
      </c>
      <c r="B787" s="2">
        <v>45419</v>
      </c>
      <c r="C787" s="2" t="str" cm="1">
        <f t="array" ref="C7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7">
        <f>YEAR(AllData[[#This Row],[Date]])</f>
        <v>2024</v>
      </c>
      <c r="E787" s="1">
        <v>0.62152777777777779</v>
      </c>
      <c r="F787" s="2" t="str">
        <f>IF(AND(AllData[[#This Row],[Time]]&lt;0.5, AllData[[#This Row],[Time]]&gt;0.17)=TRUE, "Morning", IF(AND(AllData[[#This Row],[Time]]&lt;0.75, AllData[[#This Row],[Time]]&gt;=0.5)=TRUE, "Afternoon", IF(AND(AllData[[#This Row],[Time]]&lt;1, AllData[[#This Row],[Time]]&gt;=0.75)=TRUE, "Evening", "Night")))</f>
        <v>Afternoon</v>
      </c>
      <c r="G787" t="str">
        <f>_xlfn.XLOOKUP(AllData[[#This Row],[Location Name]], Locations[Location Name],Locations[Group As])</f>
        <v>Alveston Weir</v>
      </c>
      <c r="H787" t="e" vm="2">
        <f>_xlfn.XLOOKUP(AllData[[#This Row],[Site Name]],LocationsKey[Site Name],LocationsKey[District])</f>
        <v>#VALUE!</v>
      </c>
      <c r="I787" t="e" vm="13">
        <f>_xlfn.XLOOKUP(AllData[[#This Row],[Site Name]],LocationsKey[Site Name],LocationsKey[Town])</f>
        <v>#VALUE!</v>
      </c>
      <c r="J787" t="str">
        <f>_xlfn.XLOOKUP(AllData[[#This Row],[Site Name]],LocationsKey[Site Name], LocationsKey[Waterway])</f>
        <v>Avon</v>
      </c>
      <c r="K787" t="s">
        <v>286</v>
      </c>
      <c r="L787">
        <v>52.212288999999998</v>
      </c>
      <c r="M787">
        <v>-1.66452</v>
      </c>
      <c r="N787" t="s">
        <v>29</v>
      </c>
      <c r="O787" s="127">
        <v>630</v>
      </c>
      <c r="P787">
        <v>18.399999999999999</v>
      </c>
      <c r="Q787" s="127">
        <v>5</v>
      </c>
      <c r="R787" s="7" t="str">
        <f>IF(AllData[[#This Row],[Nitrate (PPM)]]&gt;2, "Very high", IF(AllData[[#This Row],[Nitrate (PPM)]]&gt;1, "High", IF(AllData[[#This Row],[Nitrate (PPM)]]&gt;0.5, "Some evidence", IF(AllData[[#This Row],[Nitrate (PPM)]]&gt;=0, "No evidence"))))</f>
        <v>Very high</v>
      </c>
      <c r="S787" s="133">
        <v>0.35</v>
      </c>
      <c r="T787" s="7" t="str">
        <f>IF(AllData[[#This Row],[Phosphate (PPM)]]&gt;0.5, "Very high", IF(AllData[[#This Row],[Phosphate (PPM)]]&gt;0.1, "High", IF(AllData[[#This Row],[Phosphate (PPM)]]&gt;0.05, "Some evidence", IF(AllData[[#This Row],[Phosphate (PPM)]]&lt;=0.05, "No Evidence", ""))))</f>
        <v>High</v>
      </c>
      <c r="U787">
        <v>0</v>
      </c>
      <c r="V787" t="s">
        <v>1095</v>
      </c>
    </row>
    <row r="788" spans="1:22" x14ac:dyDescent="0.25">
      <c r="A788" t="s">
        <v>1096</v>
      </c>
      <c r="B788" s="2">
        <v>45420</v>
      </c>
      <c r="C788" s="2" t="str" cm="1">
        <f t="array" ref="C7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8">
        <f>YEAR(AllData[[#This Row],[Date]])</f>
        <v>2024</v>
      </c>
      <c r="E788" s="1">
        <v>0.37638888888888888</v>
      </c>
      <c r="F788" s="2" t="str">
        <f>IF(AND(AllData[[#This Row],[Time]]&lt;0.5, AllData[[#This Row],[Time]]&gt;0.17)=TRUE, "Morning", IF(AND(AllData[[#This Row],[Time]]&lt;0.75, AllData[[#This Row],[Time]]&gt;=0.5)=TRUE, "Afternoon", IF(AND(AllData[[#This Row],[Time]]&lt;1, AllData[[#This Row],[Time]]&gt;=0.75)=TRUE, "Evening", "Night")))</f>
        <v>Morning</v>
      </c>
      <c r="G788" t="str">
        <f>_xlfn.XLOOKUP(AllData[[#This Row],[Location Name]], Locations[Location Name],Locations[Group As])</f>
        <v>Carrant Mitton Path</v>
      </c>
      <c r="H788" t="e" vm="1">
        <f>_xlfn.XLOOKUP(AllData[[#This Row],[Site Name]],LocationsKey[Site Name],LocationsKey[District])</f>
        <v>#VALUE!</v>
      </c>
      <c r="I788" t="e" vm="1">
        <f>_xlfn.XLOOKUP(AllData[[#This Row],[Site Name]],LocationsKey[Site Name],LocationsKey[Town])</f>
        <v>#VALUE!</v>
      </c>
      <c r="J788" t="str">
        <f>_xlfn.XLOOKUP(AllData[[#This Row],[Site Name]],LocationsKey[Site Name], LocationsKey[Waterway])</f>
        <v>Carrant</v>
      </c>
      <c r="K788" t="s">
        <v>1097</v>
      </c>
      <c r="L788">
        <v>52.000038000000004</v>
      </c>
      <c r="M788">
        <v>-2.1421450000000002</v>
      </c>
      <c r="N788" t="s">
        <v>23</v>
      </c>
      <c r="O788" s="127">
        <v>580</v>
      </c>
      <c r="P788">
        <v>15.8</v>
      </c>
      <c r="Q788" s="127">
        <v>8</v>
      </c>
      <c r="R788" s="7" t="str">
        <f>IF(AllData[[#This Row],[Nitrate (PPM)]]&gt;2, "Very high", IF(AllData[[#This Row],[Nitrate (PPM)]]&gt;1, "High", IF(AllData[[#This Row],[Nitrate (PPM)]]&gt;0.5, "Some evidence", IF(AllData[[#This Row],[Nitrate (PPM)]]&gt;=0, "No evidence"))))</f>
        <v>Very high</v>
      </c>
      <c r="S788" s="133">
        <v>0.73</v>
      </c>
      <c r="T788" s="7" t="str">
        <f>IF(AllData[[#This Row],[Phosphate (PPM)]]&gt;0.5, "Very high", IF(AllData[[#This Row],[Phosphate (PPM)]]&gt;0.1, "High", IF(AllData[[#This Row],[Phosphate (PPM)]]&gt;0.05, "Some evidence", IF(AllData[[#This Row],[Phosphate (PPM)]]&lt;=0.05, "No Evidence", ""))))</f>
        <v>Very high</v>
      </c>
      <c r="U788">
        <v>1.5</v>
      </c>
    </row>
    <row r="789" spans="1:22" x14ac:dyDescent="0.25">
      <c r="A789" t="s">
        <v>1098</v>
      </c>
      <c r="B789" s="2">
        <v>45420</v>
      </c>
      <c r="C789" s="2" t="str" cm="1">
        <f t="array" ref="C7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9">
        <f>YEAR(AllData[[#This Row],[Date]])</f>
        <v>2024</v>
      </c>
      <c r="E789" s="1">
        <v>0.39166666666666666</v>
      </c>
      <c r="F789" s="2" t="str">
        <f>IF(AND(AllData[[#This Row],[Time]]&lt;0.5, AllData[[#This Row],[Time]]&gt;0.17)=TRUE, "Morning", IF(AND(AllData[[#This Row],[Time]]&lt;0.75, AllData[[#This Row],[Time]]&gt;=0.5)=TRUE, "Afternoon", IF(AND(AllData[[#This Row],[Time]]&lt;1, AllData[[#This Row],[Time]]&gt;=0.75)=TRUE, "Evening", "Night")))</f>
        <v>Morning</v>
      </c>
      <c r="G789" t="str">
        <f>_xlfn.XLOOKUP(AllData[[#This Row],[Location Name]], Locations[Location Name],Locations[Group As])</f>
        <v>Carrant M5 Bridge</v>
      </c>
      <c r="H789" t="e" vm="1">
        <f>_xlfn.XLOOKUP(AllData[[#This Row],[Site Name]],LocationsKey[Site Name],LocationsKey[District])</f>
        <v>#VALUE!</v>
      </c>
      <c r="I789" t="e" vm="1">
        <f>_xlfn.XLOOKUP(AllData[[#This Row],[Site Name]],LocationsKey[Site Name],LocationsKey[Town])</f>
        <v>#VALUE!</v>
      </c>
      <c r="J789" t="str">
        <f>_xlfn.XLOOKUP(AllData[[#This Row],[Site Name]],LocationsKey[Site Name], LocationsKey[Waterway])</f>
        <v>Carrant</v>
      </c>
      <c r="K789" t="s">
        <v>960</v>
      </c>
      <c r="L789">
        <v>52.011822000000002</v>
      </c>
      <c r="M789">
        <v>-2.1201530000000002</v>
      </c>
      <c r="N789" t="s">
        <v>23</v>
      </c>
      <c r="O789" s="127">
        <v>648</v>
      </c>
      <c r="P789">
        <v>15</v>
      </c>
      <c r="Q789" s="127">
        <v>10</v>
      </c>
      <c r="R789" s="7" t="str">
        <f>IF(AllData[[#This Row],[Nitrate (PPM)]]&gt;2, "Very high", IF(AllData[[#This Row],[Nitrate (PPM)]]&gt;1, "High", IF(AllData[[#This Row],[Nitrate (PPM)]]&gt;0.5, "Some evidence", IF(AllData[[#This Row],[Nitrate (PPM)]]&gt;=0, "No evidence"))))</f>
        <v>Very high</v>
      </c>
      <c r="S789" s="133">
        <v>0.32</v>
      </c>
      <c r="T789" s="7" t="str">
        <f>IF(AllData[[#This Row],[Phosphate (PPM)]]&gt;0.5, "Very high", IF(AllData[[#This Row],[Phosphate (PPM)]]&gt;0.1, "High", IF(AllData[[#This Row],[Phosphate (PPM)]]&gt;0.05, "Some evidence", IF(AllData[[#This Row],[Phosphate (PPM)]]&lt;=0.05, "No Evidence", ""))))</f>
        <v>High</v>
      </c>
      <c r="U789">
        <v>1.5</v>
      </c>
    </row>
    <row r="790" spans="1:22" x14ac:dyDescent="0.25">
      <c r="A790" t="s">
        <v>1099</v>
      </c>
      <c r="B790" s="2">
        <v>45420</v>
      </c>
      <c r="C790" s="2" t="str" cm="1">
        <f t="array" ref="C7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0">
        <f>YEAR(AllData[[#This Row],[Date]])</f>
        <v>2024</v>
      </c>
      <c r="E790" s="1">
        <v>0.51111111111111107</v>
      </c>
      <c r="F790" s="2" t="str">
        <f>IF(AND(AllData[[#This Row],[Time]]&lt;0.5, AllData[[#This Row],[Time]]&gt;0.17)=TRUE, "Morning", IF(AND(AllData[[#This Row],[Time]]&lt;0.75, AllData[[#This Row],[Time]]&gt;=0.5)=TRUE, "Afternoon", IF(AND(AllData[[#This Row],[Time]]&lt;1, AllData[[#This Row],[Time]]&gt;=0.75)=TRUE, "Evening", "Night")))</f>
        <v>Afternoon</v>
      </c>
      <c r="G790" t="str">
        <f>_xlfn.XLOOKUP(AllData[[#This Row],[Location Name]], Locations[Location Name],Locations[Group As])</f>
        <v>Twyning Fleet</v>
      </c>
      <c r="H790" t="e" vm="1">
        <f>_xlfn.XLOOKUP(AllData[[#This Row],[Site Name]],LocationsKey[Site Name],LocationsKey[District])</f>
        <v>#VALUE!</v>
      </c>
      <c r="I790" t="str">
        <f>_xlfn.XLOOKUP(AllData[[#This Row],[Site Name]],LocationsKey[Site Name],LocationsKey[Town])</f>
        <v>Twyning Green</v>
      </c>
      <c r="J790" t="str">
        <f>_xlfn.XLOOKUP(AllData[[#This Row],[Site Name]],LocationsKey[Site Name], LocationsKey[Waterway])</f>
        <v>Avon</v>
      </c>
      <c r="K790" t="s">
        <v>54</v>
      </c>
      <c r="L790">
        <v>52.027543999999999</v>
      </c>
      <c r="M790">
        <v>-2.1405639999999999</v>
      </c>
      <c r="N790" t="s">
        <v>29</v>
      </c>
      <c r="O790" s="127">
        <v>8270</v>
      </c>
      <c r="P790">
        <v>18.3</v>
      </c>
      <c r="Q790" s="127">
        <v>5</v>
      </c>
      <c r="R790" s="7" t="str">
        <f>IF(AllData[[#This Row],[Nitrate (PPM)]]&gt;2, "Very high", IF(AllData[[#This Row],[Nitrate (PPM)]]&gt;1, "High", IF(AllData[[#This Row],[Nitrate (PPM)]]&gt;0.5, "Some evidence", IF(AllData[[#This Row],[Nitrate (PPM)]]&gt;=0, "No evidence"))))</f>
        <v>Very high</v>
      </c>
      <c r="S790" s="133">
        <v>0.76</v>
      </c>
      <c r="T790" s="7" t="str">
        <f>IF(AllData[[#This Row],[Phosphate (PPM)]]&gt;0.5, "Very high", IF(AllData[[#This Row],[Phosphate (PPM)]]&gt;0.1, "High", IF(AllData[[#This Row],[Phosphate (PPM)]]&gt;0.05, "Some evidence", IF(AllData[[#This Row],[Phosphate (PPM)]]&lt;=0.05, "No Evidence", ""))))</f>
        <v>Very high</v>
      </c>
      <c r="U790">
        <v>0</v>
      </c>
    </row>
    <row r="791" spans="1:22" x14ac:dyDescent="0.25">
      <c r="A791" t="s">
        <v>1100</v>
      </c>
      <c r="B791" s="2">
        <v>45420</v>
      </c>
      <c r="C791" s="2" t="str" cm="1">
        <f t="array" ref="C7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1">
        <f>YEAR(AllData[[#This Row],[Date]])</f>
        <v>2024</v>
      </c>
      <c r="E791" s="1">
        <v>0.66666666666666663</v>
      </c>
      <c r="F791" s="2" t="str">
        <f>IF(AND(AllData[[#This Row],[Time]]&lt;0.5, AllData[[#This Row],[Time]]&gt;0.17)=TRUE, "Morning", IF(AND(AllData[[#This Row],[Time]]&lt;0.75, AllData[[#This Row],[Time]]&gt;=0.5)=TRUE, "Afternoon", IF(AND(AllData[[#This Row],[Time]]&lt;1, AllData[[#This Row],[Time]]&gt;=0.75)=TRUE, "Evening", "Night")))</f>
        <v>Afternoon</v>
      </c>
      <c r="G791" t="str">
        <f>_xlfn.XLOOKUP(AllData[[#This Row],[Location Name]], Locations[Location Name],Locations[Group As])</f>
        <v>Stour Newbold Mill</v>
      </c>
      <c r="H791" t="e" vm="2">
        <f>_xlfn.XLOOKUP(AllData[[#This Row],[Site Name]],LocationsKey[Site Name],LocationsKey[District])</f>
        <v>#VALUE!</v>
      </c>
      <c r="I791" t="e" vm="8">
        <f>_xlfn.XLOOKUP(AllData[[#This Row],[Site Name]],LocationsKey[Site Name],LocationsKey[Town])</f>
        <v>#VALUE!</v>
      </c>
      <c r="J791" t="str">
        <f>_xlfn.XLOOKUP(AllData[[#This Row],[Site Name]],LocationsKey[Site Name], LocationsKey[Waterway])</f>
        <v>Stour</v>
      </c>
      <c r="K791" t="s">
        <v>140</v>
      </c>
      <c r="N791" t="s">
        <v>29</v>
      </c>
      <c r="O791">
        <v>672</v>
      </c>
      <c r="P791">
        <v>16.5</v>
      </c>
      <c r="Q791">
        <v>2</v>
      </c>
      <c r="R791" s="7" t="str">
        <f>IF(AllData[[#This Row],[Nitrate (PPM)]]&gt;2, "Very high", IF(AllData[[#This Row],[Nitrate (PPM)]]&gt;1, "High", IF(AllData[[#This Row],[Nitrate (PPM)]]&gt;0.5, "Some evidence", IF(AllData[[#This Row],[Nitrate (PPM)]]&gt;=0, "No evidence"))))</f>
        <v>High</v>
      </c>
      <c r="S791" s="4">
        <v>0.25</v>
      </c>
      <c r="T791" s="7" t="str">
        <f>IF(AllData[[#This Row],[Phosphate (PPM)]]&gt;0.5, "Very high", IF(AllData[[#This Row],[Phosphate (PPM)]]&gt;0.1, "High", IF(AllData[[#This Row],[Phosphate (PPM)]]&gt;0.05, "Some evidence", IF(AllData[[#This Row],[Phosphate (PPM)]]&lt;=0.05, "No Evidence", ""))))</f>
        <v>High</v>
      </c>
      <c r="U791">
        <v>2</v>
      </c>
      <c r="V791" t="s">
        <v>1101</v>
      </c>
    </row>
    <row r="792" spans="1:22" x14ac:dyDescent="0.25">
      <c r="A792" t="s">
        <v>1102</v>
      </c>
      <c r="B792" s="2">
        <v>45421</v>
      </c>
      <c r="C792" s="2" t="str" cm="1">
        <f t="array" ref="C7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2">
        <f>YEAR(AllData[[#This Row],[Date]])</f>
        <v>2024</v>
      </c>
      <c r="E792" s="1">
        <v>0.3923611111111111</v>
      </c>
      <c r="F792" s="2" t="str">
        <f>IF(AND(AllData[[#This Row],[Time]]&lt;0.5, AllData[[#This Row],[Time]]&gt;0.17)=TRUE, "Morning", IF(AND(AllData[[#This Row],[Time]]&lt;0.75, AllData[[#This Row],[Time]]&gt;=0.5)=TRUE, "Afternoon", IF(AND(AllData[[#This Row],[Time]]&lt;1, AllData[[#This Row],[Time]]&gt;=0.75)=TRUE, "Evening", "Night")))</f>
        <v>Morning</v>
      </c>
      <c r="G792" t="str">
        <f>_xlfn.XLOOKUP(AllData[[#This Row],[Location Name]], Locations[Location Name],Locations[Group As])</f>
        <v>Swilgate</v>
      </c>
      <c r="H792" t="e" vm="1">
        <f>_xlfn.XLOOKUP(AllData[[#This Row],[Site Name]],LocationsKey[Site Name],LocationsKey[District])</f>
        <v>#VALUE!</v>
      </c>
      <c r="I792" t="e" vm="1">
        <f>_xlfn.XLOOKUP(AllData[[#This Row],[Site Name]],LocationsKey[Site Name],LocationsKey[Town])</f>
        <v>#VALUE!</v>
      </c>
      <c r="J792" t="str">
        <f>_xlfn.XLOOKUP(AllData[[#This Row],[Site Name]],LocationsKey[Site Name], LocationsKey[Waterway])</f>
        <v>Swilgate</v>
      </c>
      <c r="K792" t="s">
        <v>84</v>
      </c>
      <c r="N792" t="s">
        <v>23</v>
      </c>
      <c r="O792" s="127">
        <v>831</v>
      </c>
      <c r="P792">
        <v>15.6</v>
      </c>
      <c r="Q792" s="127">
        <v>3</v>
      </c>
      <c r="R792" s="7" t="str">
        <f>IF(AllData[[#This Row],[Nitrate (PPM)]]&gt;2, "Very high", IF(AllData[[#This Row],[Nitrate (PPM)]]&gt;1, "High", IF(AllData[[#This Row],[Nitrate (PPM)]]&gt;0.5, "Some evidence", IF(AllData[[#This Row],[Nitrate (PPM)]]&gt;=0, "No evidence"))))</f>
        <v>Very high</v>
      </c>
      <c r="S792" s="133">
        <v>0.45</v>
      </c>
      <c r="T792" s="7" t="str">
        <f>IF(AllData[[#This Row],[Phosphate (PPM)]]&gt;0.5, "Very high", IF(AllData[[#This Row],[Phosphate (PPM)]]&gt;0.1, "High", IF(AllData[[#This Row],[Phosphate (PPM)]]&gt;0.05, "Some evidence", IF(AllData[[#This Row],[Phosphate (PPM)]]&lt;=0.05, "No Evidence", ""))))</f>
        <v>High</v>
      </c>
      <c r="U792">
        <v>0</v>
      </c>
    </row>
    <row r="793" spans="1:22" x14ac:dyDescent="0.25">
      <c r="A793" t="s">
        <v>1103</v>
      </c>
      <c r="B793" s="2">
        <v>45421</v>
      </c>
      <c r="C793" s="2" t="str" cm="1">
        <f t="array" ref="C7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3">
        <f>YEAR(AllData[[#This Row],[Date]])</f>
        <v>2024</v>
      </c>
      <c r="E793" s="1">
        <v>0.45833333333333331</v>
      </c>
      <c r="F793" s="2" t="str">
        <f>IF(AND(AllData[[#This Row],[Time]]&lt;0.5, AllData[[#This Row],[Time]]&gt;0.17)=TRUE, "Morning", IF(AND(AllData[[#This Row],[Time]]&lt;0.75, AllData[[#This Row],[Time]]&gt;=0.5)=TRUE, "Afternoon", IF(AND(AllData[[#This Row],[Time]]&lt;1, AllData[[#This Row],[Time]]&gt;=0.75)=TRUE, "Evening", "Night")))</f>
        <v>Morning</v>
      </c>
      <c r="G793" t="str">
        <f>_xlfn.XLOOKUP(AllData[[#This Row],[Location Name]], Locations[Location Name],Locations[Group As])</f>
        <v>Stour Willington</v>
      </c>
      <c r="H793" t="e" vm="2">
        <f>_xlfn.XLOOKUP(AllData[[#This Row],[Site Name]],LocationsKey[Site Name],LocationsKey[District])</f>
        <v>#VALUE!</v>
      </c>
      <c r="I793" t="str">
        <f>_xlfn.XLOOKUP(AllData[[#This Row],[Site Name]],LocationsKey[Site Name],LocationsKey[Town])</f>
        <v>Willington</v>
      </c>
      <c r="J793" t="str">
        <f>_xlfn.XLOOKUP(AllData[[#This Row],[Site Name]],LocationsKey[Site Name], LocationsKey[Waterway])</f>
        <v>Stour</v>
      </c>
      <c r="K793" t="s">
        <v>517</v>
      </c>
      <c r="L793">
        <v>52.053550999999999</v>
      </c>
      <c r="M793">
        <v>-1.620144</v>
      </c>
      <c r="N793" t="s">
        <v>23</v>
      </c>
      <c r="O793" s="127">
        <v>646</v>
      </c>
      <c r="P793">
        <v>16.100000000000001</v>
      </c>
      <c r="Q793" s="127">
        <v>5</v>
      </c>
      <c r="R793" s="7" t="str">
        <f>IF(AllData[[#This Row],[Nitrate (PPM)]]&gt;2, "Very high", IF(AllData[[#This Row],[Nitrate (PPM)]]&gt;1, "High", IF(AllData[[#This Row],[Nitrate (PPM)]]&gt;0.5, "Some evidence", IF(AllData[[#This Row],[Nitrate (PPM)]]&gt;=0, "No evidence"))))</f>
        <v>Very high</v>
      </c>
      <c r="S793" s="133">
        <v>0.22</v>
      </c>
      <c r="T793" s="7" t="str">
        <f>IF(AllData[[#This Row],[Phosphate (PPM)]]&gt;0.5, "Very high", IF(AllData[[#This Row],[Phosphate (PPM)]]&gt;0.1, "High", IF(AllData[[#This Row],[Phosphate (PPM)]]&gt;0.05, "Some evidence", IF(AllData[[#This Row],[Phosphate (PPM)]]&lt;=0.05, "No Evidence", ""))))</f>
        <v>High</v>
      </c>
      <c r="U793">
        <v>0.5</v>
      </c>
    </row>
    <row r="794" spans="1:22" x14ac:dyDescent="0.25">
      <c r="A794" t="s">
        <v>1104</v>
      </c>
      <c r="B794" s="2">
        <v>45421</v>
      </c>
      <c r="C794" s="2" t="str" cm="1">
        <f t="array" ref="C7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4">
        <f>YEAR(AllData[[#This Row],[Date]])</f>
        <v>2024</v>
      </c>
      <c r="E794" s="1">
        <v>0.74652777777777779</v>
      </c>
      <c r="F794" s="2" t="str">
        <f>IF(AND(AllData[[#This Row],[Time]]&lt;0.5, AllData[[#This Row],[Time]]&gt;0.17)=TRUE, "Morning", IF(AND(AllData[[#This Row],[Time]]&lt;0.75, AllData[[#This Row],[Time]]&gt;=0.5)=TRUE, "Afternoon", IF(AND(AllData[[#This Row],[Time]]&lt;1, AllData[[#This Row],[Time]]&gt;=0.75)=TRUE, "Evening", "Night")))</f>
        <v>Afternoon</v>
      </c>
      <c r="G794" t="str">
        <f>_xlfn.XLOOKUP(AllData[[#This Row],[Location Name]], Locations[Location Name],Locations[Group As])</f>
        <v>Preston-on-Stour River Bridge</v>
      </c>
      <c r="H794" t="e" vm="2">
        <f>_xlfn.XLOOKUP(AllData[[#This Row],[Site Name]],LocationsKey[Site Name],LocationsKey[District])</f>
        <v>#VALUE!</v>
      </c>
      <c r="I794" t="e" vm="9">
        <f>_xlfn.XLOOKUP(AllData[[#This Row],[Site Name]],LocationsKey[Site Name],LocationsKey[Town])</f>
        <v>#VALUE!</v>
      </c>
      <c r="J794" t="str">
        <f>_xlfn.XLOOKUP(AllData[[#This Row],[Site Name]],LocationsKey[Site Name], LocationsKey[Waterway])</f>
        <v>Stour</v>
      </c>
      <c r="K794" t="s">
        <v>163</v>
      </c>
      <c r="L794">
        <v>52.146469000000003</v>
      </c>
      <c r="M794">
        <v>-1.699776</v>
      </c>
      <c r="N794" t="s">
        <v>29</v>
      </c>
      <c r="O794" s="127">
        <v>706</v>
      </c>
      <c r="P794">
        <v>15.6</v>
      </c>
      <c r="Q794" s="127">
        <v>4</v>
      </c>
      <c r="R794" s="7" t="str">
        <f>IF(AllData[[#This Row],[Nitrate (PPM)]]&gt;2, "Very high", IF(AllData[[#This Row],[Nitrate (PPM)]]&gt;1, "High", IF(AllData[[#This Row],[Nitrate (PPM)]]&gt;0.5, "Some evidence", IF(AllData[[#This Row],[Nitrate (PPM)]]&gt;=0, "No evidence"))))</f>
        <v>Very high</v>
      </c>
      <c r="S794" s="133">
        <v>0.34</v>
      </c>
      <c r="T794" s="7" t="str">
        <f>IF(AllData[[#This Row],[Phosphate (PPM)]]&gt;0.5, "Very high", IF(AllData[[#This Row],[Phosphate (PPM)]]&gt;0.1, "High", IF(AllData[[#This Row],[Phosphate (PPM)]]&gt;0.05, "Some evidence", IF(AllData[[#This Row],[Phosphate (PPM)]]&lt;=0.05, "No Evidence", ""))))</f>
        <v>High</v>
      </c>
      <c r="U794">
        <v>1.5</v>
      </c>
      <c r="V794" t="s">
        <v>1105</v>
      </c>
    </row>
    <row r="795" spans="1:22" x14ac:dyDescent="0.25">
      <c r="A795" t="s">
        <v>1106</v>
      </c>
      <c r="B795" s="2">
        <v>45422</v>
      </c>
      <c r="C795" s="2" t="str" cm="1">
        <f t="array" ref="C7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5">
        <f>YEAR(AllData[[#This Row],[Date]])</f>
        <v>2024</v>
      </c>
      <c r="E795" s="1">
        <v>0.34930555555555554</v>
      </c>
      <c r="F795" s="2" t="str">
        <f>IF(AND(AllData[[#This Row],[Time]]&lt;0.5, AllData[[#This Row],[Time]]&gt;0.17)=TRUE, "Morning", IF(AND(AllData[[#This Row],[Time]]&lt;0.75, AllData[[#This Row],[Time]]&gt;=0.5)=TRUE, "Afternoon", IF(AND(AllData[[#This Row],[Time]]&lt;1, AllData[[#This Row],[Time]]&gt;=0.75)=TRUE, "Evening", "Night")))</f>
        <v>Morning</v>
      </c>
      <c r="G795" t="str">
        <f>_xlfn.XLOOKUP(AllData[[#This Row],[Location Name]], Locations[Location Name],Locations[Group As])</f>
        <v>Lower Lode</v>
      </c>
      <c r="H795" t="e" vm="1">
        <f>_xlfn.XLOOKUP(AllData[[#This Row],[Site Name]],LocationsKey[Site Name],LocationsKey[District])</f>
        <v>#VALUE!</v>
      </c>
      <c r="I795" t="e" vm="1">
        <f>_xlfn.XLOOKUP(AllData[[#This Row],[Site Name]],LocationsKey[Site Name],LocationsKey[Town])</f>
        <v>#VALUE!</v>
      </c>
      <c r="J795" t="str">
        <f>_xlfn.XLOOKUP(AllData[[#This Row],[Site Name]],LocationsKey[Site Name], LocationsKey[Waterway])</f>
        <v>Avon</v>
      </c>
      <c r="K795" t="s">
        <v>592</v>
      </c>
      <c r="L795">
        <v>51.985084999999998</v>
      </c>
      <c r="M795">
        <v>-2.1741959999999998</v>
      </c>
      <c r="N795" t="s">
        <v>29</v>
      </c>
      <c r="O795" s="127">
        <v>8750</v>
      </c>
      <c r="P795">
        <v>17.7</v>
      </c>
      <c r="Q795" s="127">
        <v>10</v>
      </c>
      <c r="R795" s="7" t="str">
        <f>IF(AllData[[#This Row],[Nitrate (PPM)]]&gt;2, "Very high", IF(AllData[[#This Row],[Nitrate (PPM)]]&gt;1, "High", IF(AllData[[#This Row],[Nitrate (PPM)]]&gt;0.5, "Some evidence", IF(AllData[[#This Row],[Nitrate (PPM)]]&gt;=0, "No evidence"))))</f>
        <v>Very high</v>
      </c>
      <c r="S795" s="133">
        <v>0.32</v>
      </c>
      <c r="T795" s="7" t="str">
        <f>IF(AllData[[#This Row],[Phosphate (PPM)]]&gt;0.5, "Very high", IF(AllData[[#This Row],[Phosphate (PPM)]]&gt;0.1, "High", IF(AllData[[#This Row],[Phosphate (PPM)]]&gt;0.05, "Some evidence", IF(AllData[[#This Row],[Phosphate (PPM)]]&lt;=0.05, "No Evidence", ""))))</f>
        <v>High</v>
      </c>
      <c r="U795">
        <v>1</v>
      </c>
    </row>
    <row r="796" spans="1:22" x14ac:dyDescent="0.25">
      <c r="A796" t="s">
        <v>1773</v>
      </c>
      <c r="B796" s="2">
        <v>45422</v>
      </c>
      <c r="C796" s="2" t="str" cm="1">
        <f t="array" ref="C7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6">
        <f>YEAR(AllData[[#This Row],[Date]])</f>
        <v>2024</v>
      </c>
      <c r="F796" s="2" t="str">
        <f>IF(AND(AllData[[#This Row],[Time]]&lt;0.5, AllData[[#This Row],[Time]]&gt;0.17)=TRUE, "Morning", IF(AND(AllData[[#This Row],[Time]]&lt;0.75, AllData[[#This Row],[Time]]&gt;=0.5)=TRUE, "Afternoon", IF(AND(AllData[[#This Row],[Time]]&lt;1, AllData[[#This Row],[Time]]&gt;=0.75)=TRUE, "Evening", "Night")))</f>
        <v>Night</v>
      </c>
      <c r="G796" t="str">
        <f>_xlfn.XLOOKUP(AllData[[#This Row],[Location Name]], Locations[Location Name],Locations[Group As])</f>
        <v>Site 1  :  Middle Street</v>
      </c>
      <c r="H796" t="e" vm="2">
        <f>_xlfn.XLOOKUP(AllData[[#This Row],[Site Name]],LocationsKey[Site Name],LocationsKey[District])</f>
        <v>#VALUE!</v>
      </c>
      <c r="I796" t="e" vm="11">
        <f>_xlfn.XLOOKUP(AllData[[#This Row],[Site Name]],LocationsKey[Site Name],LocationsKey[Town])</f>
        <v>#VALUE!</v>
      </c>
      <c r="J796" t="str">
        <f>_xlfn.XLOOKUP(AllData[[#This Row],[Site Name]],LocationsKey[Site Name], LocationsKey[Waterway])</f>
        <v>Fosseway Brook</v>
      </c>
      <c r="K796" t="s">
        <v>1859</v>
      </c>
      <c r="N796" t="s">
        <v>66</v>
      </c>
      <c r="O796">
        <v>576</v>
      </c>
      <c r="P796">
        <v>20.399999999999999</v>
      </c>
      <c r="Q796">
        <v>3.5</v>
      </c>
      <c r="R796" s="7" t="str">
        <f>IF(AllData[[#This Row],[Nitrate (PPM)]]&gt;2, "Very high", IF(AllData[[#This Row],[Nitrate (PPM)]]&gt;1, "High", IF(AllData[[#This Row],[Nitrate (PPM)]]&gt;0.5, "Some evidence", IF(AllData[[#This Row],[Nitrate (PPM)]]&gt;=0, "No evidence"))))</f>
        <v>Very high</v>
      </c>
      <c r="S796" s="4">
        <v>0.09</v>
      </c>
      <c r="T796" s="7" t="str">
        <f>IF(AllData[[#This Row],[Phosphate (PPM)]]&gt;0.5, "Very high", IF(AllData[[#This Row],[Phosphate (PPM)]]&gt;0.1, "High", IF(AllData[[#This Row],[Phosphate (PPM)]]&gt;0.05, "Some evidence", IF(AllData[[#This Row],[Phosphate (PPM)]]&lt;=0.05, "No Evidence", ""))))</f>
        <v>Some evidence</v>
      </c>
      <c r="U796">
        <v>0</v>
      </c>
      <c r="V796" t="s">
        <v>1909</v>
      </c>
    </row>
    <row r="797" spans="1:22" x14ac:dyDescent="0.25">
      <c r="A797" t="s">
        <v>1421</v>
      </c>
      <c r="B797" s="2">
        <v>45422</v>
      </c>
      <c r="C797" s="2" t="str" cm="1">
        <f t="array" ref="C7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7">
        <f>YEAR(AllData[[#This Row],[Date]])</f>
        <v>2024</v>
      </c>
      <c r="E797" s="1"/>
      <c r="F797" s="2" t="str">
        <f>IF(AND(AllData[[#This Row],[Time]]&lt;0.5, AllData[[#This Row],[Time]]&gt;0.17)=TRUE, "Morning", IF(AND(AllData[[#This Row],[Time]]&lt;0.75, AllData[[#This Row],[Time]]&gt;=0.5)=TRUE, "Afternoon", IF(AND(AllData[[#This Row],[Time]]&lt;1, AllData[[#This Row],[Time]]&gt;=0.75)=TRUE, "Evening", "Night")))</f>
        <v>Night</v>
      </c>
      <c r="G797" t="str">
        <f>_xlfn.XLOOKUP(AllData[[#This Row],[Location Name]], Locations[Location Name],Locations[Group As])</f>
        <v>Site 1  :  Middle Street</v>
      </c>
      <c r="H797" t="e" vm="2">
        <f>_xlfn.XLOOKUP(AllData[[#This Row],[Site Name]],LocationsKey[Site Name],LocationsKey[District])</f>
        <v>#VALUE!</v>
      </c>
      <c r="I797" t="e" vm="11">
        <f>_xlfn.XLOOKUP(AllData[[#This Row],[Site Name]],LocationsKey[Site Name],LocationsKey[Town])</f>
        <v>#VALUE!</v>
      </c>
      <c r="J797" t="str">
        <f>_xlfn.XLOOKUP(AllData[[#This Row],[Site Name]],LocationsKey[Site Name], LocationsKey[Waterway])</f>
        <v>Fosseway Brook</v>
      </c>
      <c r="K797" t="s">
        <v>1373</v>
      </c>
      <c r="N797" t="s">
        <v>66</v>
      </c>
      <c r="O797">
        <v>576</v>
      </c>
      <c r="P797">
        <v>20.399999999999999</v>
      </c>
      <c r="Q797">
        <v>3.5</v>
      </c>
      <c r="R797" s="7" t="str">
        <f>IF(AllData[[#This Row],[Nitrate (PPM)]]&gt;2, "Very high", IF(AllData[[#This Row],[Nitrate (PPM)]]&gt;1, "High", IF(AllData[[#This Row],[Nitrate (PPM)]]&gt;0.5, "Some evidence", IF(AllData[[#This Row],[Nitrate (PPM)]]&gt;=0, "No evidence"))))</f>
        <v>Very high</v>
      </c>
      <c r="S797" s="4">
        <v>0.09</v>
      </c>
      <c r="T797" s="7" t="str">
        <f>IF(AllData[[#This Row],[Phosphate (PPM)]]&gt;0.5, "Very high", IF(AllData[[#This Row],[Phosphate (PPM)]]&gt;0.1, "High", IF(AllData[[#This Row],[Phosphate (PPM)]]&gt;0.05, "Some evidence", IF(AllData[[#This Row],[Phosphate (PPM)]]&lt;=0.05, "No Evidence", ""))))</f>
        <v>Some evidence</v>
      </c>
    </row>
    <row r="798" spans="1:22" x14ac:dyDescent="0.25">
      <c r="A798" t="s">
        <v>1774</v>
      </c>
      <c r="B798" s="2">
        <v>45422</v>
      </c>
      <c r="C798" s="2" t="str" cm="1">
        <f t="array" ref="C7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8">
        <f>YEAR(AllData[[#This Row],[Date]])</f>
        <v>2024</v>
      </c>
      <c r="F798" s="2" t="str">
        <f>IF(AND(AllData[[#This Row],[Time]]&lt;0.5, AllData[[#This Row],[Time]]&gt;0.17)=TRUE, "Morning", IF(AND(AllData[[#This Row],[Time]]&lt;0.75, AllData[[#This Row],[Time]]&gt;=0.5)=TRUE, "Afternoon", IF(AND(AllData[[#This Row],[Time]]&lt;1, AllData[[#This Row],[Time]]&gt;=0.75)=TRUE, "Evening", "Night")))</f>
        <v>Night</v>
      </c>
      <c r="G798" t="str">
        <f>_xlfn.XLOOKUP(AllData[[#This Row],[Location Name]], Locations[Location Name],Locations[Group As])</f>
        <v>Site 2  :  Cross Leys culvert</v>
      </c>
      <c r="H798" t="e" vm="2">
        <f>_xlfn.XLOOKUP(AllData[[#This Row],[Site Name]],LocationsKey[Site Name],LocationsKey[District])</f>
        <v>#VALUE!</v>
      </c>
      <c r="I798" t="e" vm="11">
        <f>_xlfn.XLOOKUP(AllData[[#This Row],[Site Name]],LocationsKey[Site Name],LocationsKey[Town])</f>
        <v>#VALUE!</v>
      </c>
      <c r="J798" t="str">
        <f>_xlfn.XLOOKUP(AllData[[#This Row],[Site Name]],LocationsKey[Site Name], LocationsKey[Waterway])</f>
        <v>Fosseway Brook</v>
      </c>
      <c r="K798" t="s">
        <v>1860</v>
      </c>
      <c r="N798" t="s">
        <v>66</v>
      </c>
      <c r="O798">
        <v>616</v>
      </c>
      <c r="P798">
        <v>19.600000000000001</v>
      </c>
      <c r="Q798">
        <v>3.5</v>
      </c>
      <c r="R798" s="7" t="str">
        <f>IF(AllData[[#This Row],[Nitrate (PPM)]]&gt;2, "Very high", IF(AllData[[#This Row],[Nitrate (PPM)]]&gt;1, "High", IF(AllData[[#This Row],[Nitrate (PPM)]]&gt;0.5, "Some evidence", IF(AllData[[#This Row],[Nitrate (PPM)]]&gt;=0, "No evidence"))))</f>
        <v>Very high</v>
      </c>
      <c r="S798" s="4">
        <v>0.7</v>
      </c>
      <c r="T798" s="7" t="str">
        <f>IF(AllData[[#This Row],[Phosphate (PPM)]]&gt;0.5, "Very high", IF(AllData[[#This Row],[Phosphate (PPM)]]&gt;0.1, "High", IF(AllData[[#This Row],[Phosphate (PPM)]]&gt;0.05, "Some evidence", IF(AllData[[#This Row],[Phosphate (PPM)]]&lt;=0.05, "No Evidence", ""))))</f>
        <v>Very high</v>
      </c>
      <c r="U798">
        <v>0</v>
      </c>
      <c r="V798" t="s">
        <v>1910</v>
      </c>
    </row>
    <row r="799" spans="1:22" x14ac:dyDescent="0.25">
      <c r="A799" t="s">
        <v>1420</v>
      </c>
      <c r="B799" s="2">
        <v>45422</v>
      </c>
      <c r="C799" s="2" t="str" cm="1">
        <f t="array" ref="C7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9">
        <f>YEAR(AllData[[#This Row],[Date]])</f>
        <v>2024</v>
      </c>
      <c r="E799" s="1"/>
      <c r="F799" s="2" t="str">
        <f>IF(AND(AllData[[#This Row],[Time]]&lt;0.5, AllData[[#This Row],[Time]]&gt;0.17)=TRUE, "Morning", IF(AND(AllData[[#This Row],[Time]]&lt;0.75, AllData[[#This Row],[Time]]&gt;=0.5)=TRUE, "Afternoon", IF(AND(AllData[[#This Row],[Time]]&lt;1, AllData[[#This Row],[Time]]&gt;=0.75)=TRUE, "Evening", "Night")))</f>
        <v>Night</v>
      </c>
      <c r="G799" t="str">
        <f>_xlfn.XLOOKUP(AllData[[#This Row],[Location Name]], Locations[Location Name],Locations[Group As])</f>
        <v>Site 2  :  Cross Leys culvert</v>
      </c>
      <c r="H799" t="e" vm="2">
        <f>_xlfn.XLOOKUP(AllData[[#This Row],[Site Name]],LocationsKey[Site Name],LocationsKey[District])</f>
        <v>#VALUE!</v>
      </c>
      <c r="I799" t="e" vm="11">
        <f>_xlfn.XLOOKUP(AllData[[#This Row],[Site Name]],LocationsKey[Site Name],LocationsKey[Town])</f>
        <v>#VALUE!</v>
      </c>
      <c r="J799" t="str">
        <f>_xlfn.XLOOKUP(AllData[[#This Row],[Site Name]],LocationsKey[Site Name], LocationsKey[Waterway])</f>
        <v>Fosseway Brook</v>
      </c>
      <c r="K799" t="s">
        <v>1371</v>
      </c>
      <c r="N799" t="s">
        <v>66</v>
      </c>
      <c r="O799">
        <v>616</v>
      </c>
      <c r="P799">
        <v>19.600000000000001</v>
      </c>
      <c r="Q799">
        <v>3.5</v>
      </c>
      <c r="R799" s="7" t="str">
        <f>IF(AllData[[#This Row],[Nitrate (PPM)]]&gt;2, "Very high", IF(AllData[[#This Row],[Nitrate (PPM)]]&gt;1, "High", IF(AllData[[#This Row],[Nitrate (PPM)]]&gt;0.5, "Some evidence", IF(AllData[[#This Row],[Nitrate (PPM)]]&gt;=0, "No evidence"))))</f>
        <v>Very high</v>
      </c>
      <c r="S799" s="4">
        <v>0.7</v>
      </c>
      <c r="T799" s="7" t="str">
        <f>IF(AllData[[#This Row],[Phosphate (PPM)]]&gt;0.5, "Very high", IF(AllData[[#This Row],[Phosphate (PPM)]]&gt;0.1, "High", IF(AllData[[#This Row],[Phosphate (PPM)]]&gt;0.05, "Some evidence", IF(AllData[[#This Row],[Phosphate (PPM)]]&lt;=0.05, "No Evidence", ""))))</f>
        <v>Very high</v>
      </c>
    </row>
    <row r="800" spans="1:22" x14ac:dyDescent="0.25">
      <c r="A800" t="s">
        <v>1775</v>
      </c>
      <c r="B800" s="2">
        <v>45422</v>
      </c>
      <c r="C800" s="2" t="str" cm="1">
        <f t="array" ref="C8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0">
        <f>YEAR(AllData[[#This Row],[Date]])</f>
        <v>2024</v>
      </c>
      <c r="F800" s="2" t="str">
        <f>IF(AND(AllData[[#This Row],[Time]]&lt;0.5, AllData[[#This Row],[Time]]&gt;0.17)=TRUE, "Morning", IF(AND(AllData[[#This Row],[Time]]&lt;0.75, AllData[[#This Row],[Time]]&gt;=0.5)=TRUE, "Afternoon", IF(AND(AllData[[#This Row],[Time]]&lt;1, AllData[[#This Row],[Time]]&gt;=0.75)=TRUE, "Evening", "Night")))</f>
        <v>Night</v>
      </c>
      <c r="G800" t="str">
        <f>_xlfn.XLOOKUP(AllData[[#This Row],[Location Name]], Locations[Location Name],Locations[Group As])</f>
        <v>Site 3  :  Severn Trent Water processing plant outflow</v>
      </c>
      <c r="H800" t="e" vm="2">
        <f>_xlfn.XLOOKUP(AllData[[#This Row],[Site Name]],LocationsKey[Site Name],LocationsKey[District])</f>
        <v>#VALUE!</v>
      </c>
      <c r="I800" t="e" vm="11">
        <f>_xlfn.XLOOKUP(AllData[[#This Row],[Site Name]],LocationsKey[Site Name],LocationsKey[Town])</f>
        <v>#VALUE!</v>
      </c>
      <c r="J800" t="str">
        <f>_xlfn.XLOOKUP(AllData[[#This Row],[Site Name]],LocationsKey[Site Name], LocationsKey[Waterway])</f>
        <v>Fosseway Brook</v>
      </c>
      <c r="K800" t="s">
        <v>1861</v>
      </c>
      <c r="N800" t="s">
        <v>29</v>
      </c>
      <c r="O800">
        <v>829</v>
      </c>
      <c r="P800">
        <v>18.2</v>
      </c>
      <c r="Q800">
        <v>10</v>
      </c>
      <c r="R800" s="7" t="str">
        <f>IF(AllData[[#This Row],[Nitrate (PPM)]]&gt;2, "Very high", IF(AllData[[#This Row],[Nitrate (PPM)]]&gt;1, "High", IF(AllData[[#This Row],[Nitrate (PPM)]]&gt;0.5, "Some evidence", IF(AllData[[#This Row],[Nitrate (PPM)]]&gt;=0, "No evidence"))))</f>
        <v>Very high</v>
      </c>
      <c r="S800" s="4">
        <v>2.2999999999999998</v>
      </c>
      <c r="T800" s="7" t="str">
        <f>IF(AllData[[#This Row],[Phosphate (PPM)]]&gt;0.5, "Very high", IF(AllData[[#This Row],[Phosphate (PPM)]]&gt;0.1, "High", IF(AllData[[#This Row],[Phosphate (PPM)]]&gt;0.05, "Some evidence", IF(AllData[[#This Row],[Phosphate (PPM)]]&lt;=0.05, "No Evidence", ""))))</f>
        <v>Very high</v>
      </c>
      <c r="U800">
        <v>0</v>
      </c>
      <c r="V800" t="s">
        <v>1912</v>
      </c>
    </row>
    <row r="801" spans="1:22" x14ac:dyDescent="0.25">
      <c r="A801" t="s">
        <v>1419</v>
      </c>
      <c r="B801" s="2">
        <v>45422</v>
      </c>
      <c r="C801" s="2" t="str" cm="1">
        <f t="array" ref="C8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1">
        <f>YEAR(AllData[[#This Row],[Date]])</f>
        <v>2024</v>
      </c>
      <c r="E801" s="1"/>
      <c r="F801" s="2" t="str">
        <f>IF(AND(AllData[[#This Row],[Time]]&lt;0.5, AllData[[#This Row],[Time]]&gt;0.17)=TRUE, "Morning", IF(AND(AllData[[#This Row],[Time]]&lt;0.75, AllData[[#This Row],[Time]]&gt;=0.5)=TRUE, "Afternoon", IF(AND(AllData[[#This Row],[Time]]&lt;1, AllData[[#This Row],[Time]]&gt;=0.75)=TRUE, "Evening", "Night")))</f>
        <v>Night</v>
      </c>
      <c r="G801" t="str">
        <f>_xlfn.XLOOKUP(AllData[[#This Row],[Location Name]], Locations[Location Name],Locations[Group As])</f>
        <v>Site 3  :  Severn Trent Water processing plant outflow</v>
      </c>
      <c r="H801" t="e" vm="2">
        <f>_xlfn.XLOOKUP(AllData[[#This Row],[Site Name]],LocationsKey[Site Name],LocationsKey[District])</f>
        <v>#VALUE!</v>
      </c>
      <c r="I801" t="e" vm="11">
        <f>_xlfn.XLOOKUP(AllData[[#This Row],[Site Name]],LocationsKey[Site Name],LocationsKey[Town])</f>
        <v>#VALUE!</v>
      </c>
      <c r="J801" t="str">
        <f>_xlfn.XLOOKUP(AllData[[#This Row],[Site Name]],LocationsKey[Site Name], LocationsKey[Waterway])</f>
        <v>Fosseway Brook</v>
      </c>
      <c r="K801" t="s">
        <v>1368</v>
      </c>
      <c r="N801" t="s">
        <v>29</v>
      </c>
      <c r="O801">
        <v>829</v>
      </c>
      <c r="P801">
        <v>18.2</v>
      </c>
      <c r="Q801">
        <v>10</v>
      </c>
      <c r="R801" s="7" t="str">
        <f>IF(AllData[[#This Row],[Nitrate (PPM)]]&gt;2, "Very high", IF(AllData[[#This Row],[Nitrate (PPM)]]&gt;1, "High", IF(AllData[[#This Row],[Nitrate (PPM)]]&gt;0.5, "Some evidence", IF(AllData[[#This Row],[Nitrate (PPM)]]&gt;=0, "No evidence"))))</f>
        <v>Very high</v>
      </c>
      <c r="S801" s="4">
        <v>2.2999999999999998</v>
      </c>
      <c r="T801" s="7" t="str">
        <f>IF(AllData[[#This Row],[Phosphate (PPM)]]&gt;0.5, "Very high", IF(AllData[[#This Row],[Phosphate (PPM)]]&gt;0.1, "High", IF(AllData[[#This Row],[Phosphate (PPM)]]&gt;0.05, "Some evidence", IF(AllData[[#This Row],[Phosphate (PPM)]]&lt;=0.05, "No Evidence", ""))))</f>
        <v>Very high</v>
      </c>
    </row>
    <row r="802" spans="1:22" x14ac:dyDescent="0.25">
      <c r="A802" t="s">
        <v>1107</v>
      </c>
      <c r="B802" s="2">
        <v>45423</v>
      </c>
      <c r="C802" s="2" t="str" cm="1">
        <f t="array" ref="C8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2">
        <f>YEAR(AllData[[#This Row],[Date]])</f>
        <v>2024</v>
      </c>
      <c r="E802" s="1">
        <v>0.4513888888888889</v>
      </c>
      <c r="F802" s="2" t="str">
        <f>IF(AND(AllData[[#This Row],[Time]]&lt;0.5, AllData[[#This Row],[Time]]&gt;0.17)=TRUE, "Morning", IF(AND(AllData[[#This Row],[Time]]&lt;0.75, AllData[[#This Row],[Time]]&gt;=0.5)=TRUE, "Afternoon", IF(AND(AllData[[#This Row],[Time]]&lt;1, AllData[[#This Row],[Time]]&gt;=0.75)=TRUE, "Evening", "Night")))</f>
        <v>Morning</v>
      </c>
      <c r="G802" t="str">
        <f>_xlfn.XLOOKUP(AllData[[#This Row],[Location Name]], Locations[Location Name],Locations[Group As])</f>
        <v>Avon Smiths Meadow Wyre Piddle</v>
      </c>
      <c r="H802" t="e" vm="17">
        <f>_xlfn.XLOOKUP(AllData[[#This Row],[Site Name]],LocationsKey[Site Name],LocationsKey[District])</f>
        <v>#VALUE!</v>
      </c>
      <c r="I802" t="e" vm="20">
        <f>_xlfn.XLOOKUP(AllData[[#This Row],[Site Name]],LocationsKey[Site Name],LocationsKey[Town])</f>
        <v>#VALUE!</v>
      </c>
      <c r="J802" t="str">
        <f>_xlfn.XLOOKUP(AllData[[#This Row],[Site Name]],LocationsKey[Site Name], LocationsKey[Waterway])</f>
        <v>Avon</v>
      </c>
      <c r="K802" t="s">
        <v>741</v>
      </c>
      <c r="L802">
        <v>52.122858999999998</v>
      </c>
      <c r="M802">
        <v>-2.0575389999999998</v>
      </c>
      <c r="N802" t="s">
        <v>23</v>
      </c>
      <c r="O802" s="127">
        <v>886</v>
      </c>
      <c r="P802">
        <v>17.899999999999999</v>
      </c>
      <c r="Q802" s="127">
        <v>10</v>
      </c>
      <c r="R802" s="7" t="str">
        <f>IF(AllData[[#This Row],[Nitrate (PPM)]]&gt;2, "Very high", IF(AllData[[#This Row],[Nitrate (PPM)]]&gt;1, "High", IF(AllData[[#This Row],[Nitrate (PPM)]]&gt;0.5, "Some evidence", IF(AllData[[#This Row],[Nitrate (PPM)]]&gt;=0, "No evidence"))))</f>
        <v>Very high</v>
      </c>
      <c r="S802" s="133">
        <v>0.68</v>
      </c>
      <c r="T802" s="7" t="str">
        <f>IF(AllData[[#This Row],[Phosphate (PPM)]]&gt;0.5, "Very high", IF(AllData[[#This Row],[Phosphate (PPM)]]&gt;0.1, "High", IF(AllData[[#This Row],[Phosphate (PPM)]]&gt;0.05, "Some evidence", IF(AllData[[#This Row],[Phosphate (PPM)]]&lt;=0.05, "No Evidence", ""))))</f>
        <v>Very high</v>
      </c>
      <c r="U802">
        <v>0.63</v>
      </c>
      <c r="V802" t="s">
        <v>1108</v>
      </c>
    </row>
    <row r="803" spans="1:22" x14ac:dyDescent="0.25">
      <c r="A803" t="s">
        <v>1109</v>
      </c>
      <c r="B803" s="2">
        <v>45423</v>
      </c>
      <c r="C803" s="2" t="str" cm="1">
        <f t="array" ref="C8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3">
        <f>YEAR(AllData[[#This Row],[Date]])</f>
        <v>2024</v>
      </c>
      <c r="E803" s="1">
        <v>0.47916666666666669</v>
      </c>
      <c r="F803" s="2" t="str">
        <f>IF(AND(AllData[[#This Row],[Time]]&lt;0.5, AllData[[#This Row],[Time]]&gt;0.17)=TRUE, "Morning", IF(AND(AllData[[#This Row],[Time]]&lt;0.75, AllData[[#This Row],[Time]]&gt;=0.5)=TRUE, "Afternoon", IF(AND(AllData[[#This Row],[Time]]&lt;1, AllData[[#This Row],[Time]]&gt;=0.75)=TRUE, "Evening", "Night")))</f>
        <v>Morning</v>
      </c>
      <c r="G803" t="str">
        <f>_xlfn.XLOOKUP(AllData[[#This Row],[Location Name]], Locations[Location Name],Locations[Group As])</f>
        <v>Piddle Brook Wyre Piddle Bridge</v>
      </c>
      <c r="H803" t="e" vm="17">
        <f>_xlfn.XLOOKUP(AllData[[#This Row],[Site Name]],LocationsKey[Site Name],LocationsKey[District])</f>
        <v>#VALUE!</v>
      </c>
      <c r="I803" t="e" vm="20">
        <f>_xlfn.XLOOKUP(AllData[[#This Row],[Site Name]],LocationsKey[Site Name],LocationsKey[Town])</f>
        <v>#VALUE!</v>
      </c>
      <c r="J803" t="str">
        <f>_xlfn.XLOOKUP(AllData[[#This Row],[Site Name]],LocationsKey[Site Name], LocationsKey[Waterway])</f>
        <v>Piddle Brook</v>
      </c>
      <c r="K803" t="s">
        <v>744</v>
      </c>
      <c r="L803">
        <v>52.126404000000001</v>
      </c>
      <c r="M803">
        <v>-2.0565410000000002</v>
      </c>
      <c r="N803" t="s">
        <v>23</v>
      </c>
      <c r="O803" s="127">
        <v>1290</v>
      </c>
      <c r="P803">
        <v>15.8</v>
      </c>
      <c r="Q803" s="127">
        <v>7</v>
      </c>
      <c r="R803" s="7" t="str">
        <f>IF(AllData[[#This Row],[Nitrate (PPM)]]&gt;2, "Very high", IF(AllData[[#This Row],[Nitrate (PPM)]]&gt;1, "High", IF(AllData[[#This Row],[Nitrate (PPM)]]&gt;0.5, "Some evidence", IF(AllData[[#This Row],[Nitrate (PPM)]]&gt;=0, "No evidence"))))</f>
        <v>Very high</v>
      </c>
      <c r="S803" s="133">
        <v>0.8</v>
      </c>
      <c r="T803" s="7" t="str">
        <f>IF(AllData[[#This Row],[Phosphate (PPM)]]&gt;0.5, "Very high", IF(AllData[[#This Row],[Phosphate (PPM)]]&gt;0.1, "High", IF(AllData[[#This Row],[Phosphate (PPM)]]&gt;0.05, "Some evidence", IF(AllData[[#This Row],[Phosphate (PPM)]]&lt;=0.05, "No Evidence", ""))))</f>
        <v>Very high</v>
      </c>
      <c r="U803">
        <v>0.22</v>
      </c>
      <c r="V803" t="s">
        <v>1110</v>
      </c>
    </row>
    <row r="804" spans="1:22" x14ac:dyDescent="0.25">
      <c r="A804" t="s">
        <v>1111</v>
      </c>
      <c r="B804" s="2">
        <v>45423</v>
      </c>
      <c r="C804" s="2" t="str" cm="1">
        <f t="array" ref="C8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4">
        <f>YEAR(AllData[[#This Row],[Date]])</f>
        <v>2024</v>
      </c>
      <c r="E804" s="1">
        <v>0.86458333333333337</v>
      </c>
      <c r="F804" s="2" t="str">
        <f>IF(AND(AllData[[#This Row],[Time]]&lt;0.5, AllData[[#This Row],[Time]]&gt;0.17)=TRUE, "Morning", IF(AND(AllData[[#This Row],[Time]]&lt;0.75, AllData[[#This Row],[Time]]&gt;=0.5)=TRUE, "Afternoon", IF(AND(AllData[[#This Row],[Time]]&lt;1, AllData[[#This Row],[Time]]&gt;=0.75)=TRUE, "Evening", "Night")))</f>
        <v>Evening</v>
      </c>
      <c r="G804" t="str">
        <f>_xlfn.XLOOKUP(AllData[[#This Row],[Location Name]], Locations[Location Name],Locations[Group As])</f>
        <v>Fell Mill Footbridge</v>
      </c>
      <c r="H804" t="e" vm="2">
        <f>_xlfn.XLOOKUP(AllData[[#This Row],[Site Name]],LocationsKey[Site Name],LocationsKey[District])</f>
        <v>#VALUE!</v>
      </c>
      <c r="I804" t="e" vm="10">
        <f>_xlfn.XLOOKUP(AllData[[#This Row],[Site Name]],LocationsKey[Site Name],LocationsKey[Town])</f>
        <v>#VALUE!</v>
      </c>
      <c r="J804" t="str">
        <f>_xlfn.XLOOKUP(AllData[[#This Row],[Site Name]],LocationsKey[Site Name], LocationsKey[Waterway])</f>
        <v>Stour</v>
      </c>
      <c r="K804" t="s">
        <v>818</v>
      </c>
      <c r="L804">
        <v>52.070086000000003</v>
      </c>
      <c r="M804">
        <v>-1.61145</v>
      </c>
      <c r="N804" t="s">
        <v>29</v>
      </c>
      <c r="O804" s="127">
        <v>675</v>
      </c>
      <c r="P804">
        <v>16</v>
      </c>
      <c r="Q804" s="127">
        <v>5</v>
      </c>
      <c r="R804" s="7" t="str">
        <f>IF(AllData[[#This Row],[Nitrate (PPM)]]&gt;2, "Very high", IF(AllData[[#This Row],[Nitrate (PPM)]]&gt;1, "High", IF(AllData[[#This Row],[Nitrate (PPM)]]&gt;0.5, "Some evidence", IF(AllData[[#This Row],[Nitrate (PPM)]]&gt;=0, "No evidence"))))</f>
        <v>Very high</v>
      </c>
      <c r="S804" s="133">
        <v>0.24</v>
      </c>
      <c r="T804" s="7" t="str">
        <f>IF(AllData[[#This Row],[Phosphate (PPM)]]&gt;0.5, "Very high", IF(AllData[[#This Row],[Phosphate (PPM)]]&gt;0.1, "High", IF(AllData[[#This Row],[Phosphate (PPM)]]&gt;0.05, "Some evidence", IF(AllData[[#This Row],[Phosphate (PPM)]]&lt;=0.05, "No Evidence", ""))))</f>
        <v>High</v>
      </c>
      <c r="U804">
        <v>1.3</v>
      </c>
      <c r="V804" t="s">
        <v>1112</v>
      </c>
    </row>
    <row r="805" spans="1:22" x14ac:dyDescent="0.25">
      <c r="A805" t="s">
        <v>1113</v>
      </c>
      <c r="B805" s="2">
        <v>45424</v>
      </c>
      <c r="C805" s="2" t="str" cm="1">
        <f t="array" ref="C8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5">
        <f>YEAR(AllData[[#This Row],[Date]])</f>
        <v>2024</v>
      </c>
      <c r="E805" s="1">
        <v>0.47916666666666669</v>
      </c>
      <c r="F805" s="2" t="str">
        <f>IF(AND(AllData[[#This Row],[Time]]&lt;0.5, AllData[[#This Row],[Time]]&gt;0.17)=TRUE, "Morning", IF(AND(AllData[[#This Row],[Time]]&lt;0.75, AllData[[#This Row],[Time]]&gt;=0.5)=TRUE, "Afternoon", IF(AND(AllData[[#This Row],[Time]]&lt;1, AllData[[#This Row],[Time]]&gt;=0.75)=TRUE, "Evening", "Night")))</f>
        <v>Morning</v>
      </c>
      <c r="G805" t="str">
        <f>_xlfn.XLOOKUP(AllData[[#This Row],[Location Name]], Locations[Location Name],Locations[Group As])</f>
        <v>Carrant Bredon Rd</v>
      </c>
      <c r="H805" t="e" vm="1">
        <f>_xlfn.XLOOKUP(AllData[[#This Row],[Site Name]],LocationsKey[Site Name],LocationsKey[District])</f>
        <v>#VALUE!</v>
      </c>
      <c r="I805" t="e" vm="1">
        <f>_xlfn.XLOOKUP(AllData[[#This Row],[Site Name]],LocationsKey[Site Name],LocationsKey[Town])</f>
        <v>#VALUE!</v>
      </c>
      <c r="J805" t="str">
        <f>_xlfn.XLOOKUP(AllData[[#This Row],[Site Name]],LocationsKey[Site Name], LocationsKey[Waterway])</f>
        <v>Carrant</v>
      </c>
      <c r="K805" t="s">
        <v>600</v>
      </c>
      <c r="L805">
        <v>51.996214000000002</v>
      </c>
      <c r="M805">
        <v>-2.156126</v>
      </c>
      <c r="N805" t="s">
        <v>23</v>
      </c>
      <c r="O805" s="127">
        <v>772</v>
      </c>
      <c r="P805">
        <v>16.600000000000001</v>
      </c>
      <c r="Q805" s="127">
        <v>8</v>
      </c>
      <c r="R805" s="7" t="str">
        <f>IF(AllData[[#This Row],[Nitrate (PPM)]]&gt;2, "Very high", IF(AllData[[#This Row],[Nitrate (PPM)]]&gt;1, "High", IF(AllData[[#This Row],[Nitrate (PPM)]]&gt;0.5, "Some evidence", IF(AllData[[#This Row],[Nitrate (PPM)]]&gt;=0, "No evidence"))))</f>
        <v>Very high</v>
      </c>
      <c r="S805" s="133">
        <v>0.32</v>
      </c>
      <c r="T805" s="7" t="str">
        <f>IF(AllData[[#This Row],[Phosphate (PPM)]]&gt;0.5, "Very high", IF(AllData[[#This Row],[Phosphate (PPM)]]&gt;0.1, "High", IF(AllData[[#This Row],[Phosphate (PPM)]]&gt;0.05, "Some evidence", IF(AllData[[#This Row],[Phosphate (PPM)]]&lt;=0.05, "No Evidence", ""))))</f>
        <v>High</v>
      </c>
      <c r="U805">
        <v>0.1</v>
      </c>
    </row>
    <row r="806" spans="1:22" x14ac:dyDescent="0.25">
      <c r="A806" t="s">
        <v>1116</v>
      </c>
      <c r="B806" s="2">
        <v>45424</v>
      </c>
      <c r="C806" s="2" t="str" cm="1">
        <f t="array" ref="C8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6">
        <f>YEAR(AllData[[#This Row],[Date]])</f>
        <v>2024</v>
      </c>
      <c r="E806" s="1">
        <v>0.47916666666666669</v>
      </c>
      <c r="F806" s="2" t="str">
        <f>IF(AND(AllData[[#This Row],[Time]]&lt;0.5, AllData[[#This Row],[Time]]&gt;0.17)=TRUE, "Morning", IF(AND(AllData[[#This Row],[Time]]&lt;0.75, AllData[[#This Row],[Time]]&gt;=0.5)=TRUE, "Afternoon", IF(AND(AllData[[#This Row],[Time]]&lt;1, AllData[[#This Row],[Time]]&gt;=0.75)=TRUE, "Evening", "Night")))</f>
        <v>Morning</v>
      </c>
      <c r="G806" t="str">
        <f>_xlfn.XLOOKUP(AllData[[#This Row],[Location Name]], Locations[Location Name],Locations[Group As])</f>
        <v>The Ford, Langley</v>
      </c>
      <c r="H806" t="e" vm="2">
        <f>_xlfn.XLOOKUP(AllData[[#This Row],[Site Name]],LocationsKey[Site Name],LocationsKey[District])</f>
        <v>#VALUE!</v>
      </c>
      <c r="I806" t="str">
        <f>_xlfn.XLOOKUP(AllData[[#This Row],[Site Name]],LocationsKey[Site Name],LocationsKey[Town])</f>
        <v>Langley</v>
      </c>
      <c r="J806" t="str">
        <f>_xlfn.XLOOKUP(AllData[[#This Row],[Site Name]],LocationsKey[Site Name], LocationsKey[Waterway])</f>
        <v>Langley Ford</v>
      </c>
      <c r="K806" t="s">
        <v>526</v>
      </c>
      <c r="L806">
        <v>52.269122000000003</v>
      </c>
      <c r="M806">
        <v>-1.723285</v>
      </c>
      <c r="N806" t="s">
        <v>29</v>
      </c>
      <c r="O806">
        <v>789</v>
      </c>
      <c r="P806">
        <v>14.5</v>
      </c>
      <c r="Q806">
        <v>5</v>
      </c>
      <c r="R806" s="7" t="str">
        <f>IF(AllData[[#This Row],[Nitrate (PPM)]]&gt;2, "Very high", IF(AllData[[#This Row],[Nitrate (PPM)]]&gt;1, "High", IF(AllData[[#This Row],[Nitrate (PPM)]]&gt;0.5, "Some evidence", IF(AllData[[#This Row],[Nitrate (PPM)]]&gt;=0, "No evidence"))))</f>
        <v>Very high</v>
      </c>
      <c r="S806" s="4">
        <v>0.83</v>
      </c>
      <c r="T806" s="7" t="str">
        <f>IF(AllData[[#This Row],[Phosphate (PPM)]]&gt;0.5, "Very high", IF(AllData[[#This Row],[Phosphate (PPM)]]&gt;0.1, "High", IF(AllData[[#This Row],[Phosphate (PPM)]]&gt;0.05, "Some evidence", IF(AllData[[#This Row],[Phosphate (PPM)]]&lt;=0.05, "No Evidence", ""))))</f>
        <v>Very high</v>
      </c>
      <c r="U806">
        <v>35</v>
      </c>
    </row>
    <row r="807" spans="1:22" x14ac:dyDescent="0.25">
      <c r="A807" t="s">
        <v>1114</v>
      </c>
      <c r="B807" s="2">
        <v>45424</v>
      </c>
      <c r="C807" s="2" t="str" cm="1">
        <f t="array" ref="C8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7">
        <f>YEAR(AllData[[#This Row],[Date]])</f>
        <v>2024</v>
      </c>
      <c r="E807" s="1">
        <v>0.58333333333333337</v>
      </c>
      <c r="F807" s="2" t="str">
        <f>IF(AND(AllData[[#This Row],[Time]]&lt;0.5, AllData[[#This Row],[Time]]&gt;0.17)=TRUE, "Morning", IF(AND(AllData[[#This Row],[Time]]&lt;0.75, AllData[[#This Row],[Time]]&gt;=0.5)=TRUE, "Afternoon", IF(AND(AllData[[#This Row],[Time]]&lt;1, AllData[[#This Row],[Time]]&gt;=0.75)=TRUE, "Evening", "Night")))</f>
        <v>Afternoon</v>
      </c>
      <c r="G807" t="str">
        <f>_xlfn.XLOOKUP(AllData[[#This Row],[Location Name]], Locations[Location Name],Locations[Group As])</f>
        <v>Clifford Chambers Mill Bridge</v>
      </c>
      <c r="H807" t="e" vm="2">
        <f>_xlfn.XLOOKUP(AllData[[#This Row],[Site Name]],LocationsKey[Site Name],LocationsKey[District])</f>
        <v>#VALUE!</v>
      </c>
      <c r="I807" t="e" vm="12">
        <f>_xlfn.XLOOKUP(AllData[[#This Row],[Site Name]],LocationsKey[Site Name],LocationsKey[Town])</f>
        <v>#VALUE!</v>
      </c>
      <c r="J807" t="str">
        <f>_xlfn.XLOOKUP(AllData[[#This Row],[Site Name]],LocationsKey[Site Name], LocationsKey[Waterway])</f>
        <v>Stour</v>
      </c>
      <c r="K807" t="s">
        <v>263</v>
      </c>
      <c r="L807">
        <v>52.166370000000001</v>
      </c>
      <c r="M807">
        <v>-1.708032</v>
      </c>
      <c r="N807" t="s">
        <v>66</v>
      </c>
      <c r="O807" s="220">
        <v>699</v>
      </c>
      <c r="P807">
        <v>20.3</v>
      </c>
      <c r="Q807" s="220">
        <v>8</v>
      </c>
      <c r="R807" s="7" t="str">
        <f>IF(AllData[[#This Row],[Nitrate (PPM)]]&gt;2, "Very high", IF(AllData[[#This Row],[Nitrate (PPM)]]&gt;1, "High", IF(AllData[[#This Row],[Nitrate (PPM)]]&gt;0.5, "Some evidence", IF(AllData[[#This Row],[Nitrate (PPM)]]&gt;=0, "No evidence"))))</f>
        <v>Very high</v>
      </c>
      <c r="S807" s="222">
        <v>0.24</v>
      </c>
      <c r="T807" s="7" t="str">
        <f>IF(AllData[[#This Row],[Phosphate (PPM)]]&gt;0.5, "Very high", IF(AllData[[#This Row],[Phosphate (PPM)]]&gt;0.1, "High", IF(AllData[[#This Row],[Phosphate (PPM)]]&gt;0.05, "Some evidence", IF(AllData[[#This Row],[Phosphate (PPM)]]&lt;=0.05, "No Evidence", ""))))</f>
        <v>High</v>
      </c>
      <c r="U807">
        <v>0.6</v>
      </c>
    </row>
    <row r="808" spans="1:22" x14ac:dyDescent="0.25">
      <c r="A808" t="s">
        <v>1115</v>
      </c>
      <c r="B808" s="2">
        <v>45424</v>
      </c>
      <c r="C808" s="2" t="str" cm="1">
        <f t="array" ref="C8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8">
        <f>YEAR(AllData[[#This Row],[Date]])</f>
        <v>2024</v>
      </c>
      <c r="E808" s="1">
        <v>0.69027777777777777</v>
      </c>
      <c r="F808" s="2" t="str">
        <f>IF(AND(AllData[[#This Row],[Time]]&lt;0.5, AllData[[#This Row],[Time]]&gt;0.17)=TRUE, "Morning", IF(AND(AllData[[#This Row],[Time]]&lt;0.75, AllData[[#This Row],[Time]]&gt;=0.5)=TRUE, "Afternoon", IF(AND(AllData[[#This Row],[Time]]&lt;1, AllData[[#This Row],[Time]]&gt;=0.75)=TRUE, "Evening", "Night")))</f>
        <v>Afternoon</v>
      </c>
      <c r="G808" t="str">
        <f>_xlfn.XLOOKUP(AllData[[#This Row],[Location Name]], Locations[Location Name],Locations[Group As])</f>
        <v>Black Bear</v>
      </c>
      <c r="H808" t="e" vm="1">
        <f>_xlfn.XLOOKUP(AllData[[#This Row],[Site Name]],LocationsKey[Site Name],LocationsKey[District])</f>
        <v>#VALUE!</v>
      </c>
      <c r="I808" t="e" vm="1">
        <f>_xlfn.XLOOKUP(AllData[[#This Row],[Site Name]],LocationsKey[Site Name],LocationsKey[Town])</f>
        <v>#VALUE!</v>
      </c>
      <c r="J808" t="str">
        <f>_xlfn.XLOOKUP(AllData[[#This Row],[Site Name]],LocationsKey[Site Name], LocationsKey[Waterway])</f>
        <v>Avon</v>
      </c>
      <c r="K808" t="s">
        <v>567</v>
      </c>
      <c r="L808">
        <v>51.997379000000002</v>
      </c>
      <c r="M808">
        <v>-2.1561949999999999</v>
      </c>
      <c r="N808" t="s">
        <v>23</v>
      </c>
      <c r="O808" s="127">
        <v>844</v>
      </c>
      <c r="P808">
        <v>20.7</v>
      </c>
      <c r="Q808" s="127">
        <v>10</v>
      </c>
      <c r="R808" s="7" t="str">
        <f>IF(AllData[[#This Row],[Nitrate (PPM)]]&gt;2, "Very high", IF(AllData[[#This Row],[Nitrate (PPM)]]&gt;1, "High", IF(AllData[[#This Row],[Nitrate (PPM)]]&gt;0.5, "Some evidence", IF(AllData[[#This Row],[Nitrate (PPM)]]&gt;=0, "No evidence"))))</f>
        <v>Very high</v>
      </c>
      <c r="S808" s="133">
        <v>0.32</v>
      </c>
      <c r="T808" s="7" t="str">
        <f>IF(AllData[[#This Row],[Phosphate (PPM)]]&gt;0.5, "Very high", IF(AllData[[#This Row],[Phosphate (PPM)]]&gt;0.1, "High", IF(AllData[[#This Row],[Phosphate (PPM)]]&gt;0.05, "Some evidence", IF(AllData[[#This Row],[Phosphate (PPM)]]&lt;=0.05, "No Evidence", ""))))</f>
        <v>High</v>
      </c>
      <c r="U808">
        <v>0</v>
      </c>
    </row>
    <row r="809" spans="1:22" x14ac:dyDescent="0.25">
      <c r="A809" t="s">
        <v>1117</v>
      </c>
      <c r="B809" s="2">
        <v>45425</v>
      </c>
      <c r="C809" s="2" t="str" cm="1">
        <f t="array" ref="C8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9">
        <f>YEAR(AllData[[#This Row],[Date]])</f>
        <v>2024</v>
      </c>
      <c r="E809" s="1">
        <v>0.39791666666666664</v>
      </c>
      <c r="F809" s="2" t="str">
        <f>IF(AND(AllData[[#This Row],[Time]]&lt;0.5, AllData[[#This Row],[Time]]&gt;0.17)=TRUE, "Morning", IF(AND(AllData[[#This Row],[Time]]&lt;0.75, AllData[[#This Row],[Time]]&gt;=0.5)=TRUE, "Afternoon", IF(AND(AllData[[#This Row],[Time]]&lt;1, AllData[[#This Row],[Time]]&gt;=0.75)=TRUE, "Evening", "Night")))</f>
        <v>Morning</v>
      </c>
      <c r="G809" t="str">
        <f>_xlfn.XLOOKUP(AllData[[#This Row],[Location Name]], Locations[Location Name],Locations[Group As])</f>
        <v>Stour Stretton-on-Fosse Village</v>
      </c>
      <c r="H809" t="e" vm="2">
        <f>_xlfn.XLOOKUP(AllData[[#This Row],[Site Name]],LocationsKey[Site Name],LocationsKey[District])</f>
        <v>#VALUE!</v>
      </c>
      <c r="I809" t="e" vm="14">
        <f>_xlfn.XLOOKUP(AllData[[#This Row],[Site Name]],LocationsKey[Site Name],LocationsKey[Town])</f>
        <v>#VALUE!</v>
      </c>
      <c r="J809" t="str">
        <f>_xlfn.XLOOKUP(AllData[[#This Row],[Site Name]],LocationsKey[Site Name], LocationsKey[Waterway])</f>
        <v>Stour</v>
      </c>
      <c r="K809" t="s">
        <v>544</v>
      </c>
      <c r="L809">
        <v>52.046539000000003</v>
      </c>
      <c r="M809">
        <v>-1.673413</v>
      </c>
      <c r="N809" t="s">
        <v>66</v>
      </c>
      <c r="O809" s="127">
        <v>760</v>
      </c>
      <c r="P809">
        <v>14.5</v>
      </c>
      <c r="Q809" s="127">
        <v>2</v>
      </c>
      <c r="R809" s="7" t="str">
        <f>IF(AllData[[#This Row],[Nitrate (PPM)]]&gt;2, "Very high", IF(AllData[[#This Row],[Nitrate (PPM)]]&gt;1, "High", IF(AllData[[#This Row],[Nitrate (PPM)]]&gt;0.5, "Some evidence", IF(AllData[[#This Row],[Nitrate (PPM)]]&gt;=0, "No evidence"))))</f>
        <v>High</v>
      </c>
      <c r="S809" s="133">
        <v>2.5</v>
      </c>
      <c r="T809" s="7" t="str">
        <f>IF(AllData[[#This Row],[Phosphate (PPM)]]&gt;0.5, "Very high", IF(AllData[[#This Row],[Phosphate (PPM)]]&gt;0.1, "High", IF(AllData[[#This Row],[Phosphate (PPM)]]&gt;0.05, "Some evidence", IF(AllData[[#This Row],[Phosphate (PPM)]]&lt;=0.05, "No Evidence", ""))))</f>
        <v>Very high</v>
      </c>
      <c r="U809">
        <v>0.2</v>
      </c>
    </row>
    <row r="810" spans="1:22" x14ac:dyDescent="0.25">
      <c r="A810" t="s">
        <v>1118</v>
      </c>
      <c r="B810" s="2">
        <v>45425</v>
      </c>
      <c r="C810" s="2" t="str" cm="1">
        <f t="array" ref="C8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0">
        <f>YEAR(AllData[[#This Row],[Date]])</f>
        <v>2024</v>
      </c>
      <c r="E810" s="1">
        <v>0.40416666666666667</v>
      </c>
      <c r="F810" s="2" t="str">
        <f>IF(AND(AllData[[#This Row],[Time]]&lt;0.5, AllData[[#This Row],[Time]]&gt;0.17)=TRUE, "Morning", IF(AND(AllData[[#This Row],[Time]]&lt;0.75, AllData[[#This Row],[Time]]&gt;=0.5)=TRUE, "Afternoon", IF(AND(AllData[[#This Row],[Time]]&lt;1, AllData[[#This Row],[Time]]&gt;=0.75)=TRUE, "Evening", "Night")))</f>
        <v>Morning</v>
      </c>
      <c r="G810" t="str">
        <f>_xlfn.XLOOKUP(AllData[[#This Row],[Location Name]], Locations[Location Name],Locations[Group As])</f>
        <v>Stour Stretton-on-Fosse Sewage Works</v>
      </c>
      <c r="H810" t="e" vm="2">
        <f>_xlfn.XLOOKUP(AllData[[#This Row],[Site Name]],LocationsKey[Site Name],LocationsKey[District])</f>
        <v>#VALUE!</v>
      </c>
      <c r="I810" t="e" vm="14">
        <f>_xlfn.XLOOKUP(AllData[[#This Row],[Site Name]],LocationsKey[Site Name],LocationsKey[Town])</f>
        <v>#VALUE!</v>
      </c>
      <c r="J810" t="str">
        <f>_xlfn.XLOOKUP(AllData[[#This Row],[Site Name]],LocationsKey[Site Name], LocationsKey[Waterway])</f>
        <v>Stour</v>
      </c>
      <c r="K810" t="s">
        <v>335</v>
      </c>
      <c r="L810">
        <v>52.045647000000002</v>
      </c>
      <c r="M810">
        <v>-1.6719360000000001</v>
      </c>
      <c r="N810" t="s">
        <v>29</v>
      </c>
      <c r="O810" s="127">
        <v>850</v>
      </c>
      <c r="P810">
        <v>14.3</v>
      </c>
      <c r="Q810" s="127">
        <v>3</v>
      </c>
      <c r="R810" s="7" t="str">
        <f>IF(AllData[[#This Row],[Nitrate (PPM)]]&gt;2, "Very high", IF(AllData[[#This Row],[Nitrate (PPM)]]&gt;1, "High", IF(AllData[[#This Row],[Nitrate (PPM)]]&gt;0.5, "Some evidence", IF(AllData[[#This Row],[Nitrate (PPM)]]&gt;=0, "No evidence"))))</f>
        <v>Very high</v>
      </c>
      <c r="S810" s="133">
        <v>2.5</v>
      </c>
      <c r="T810" s="7" t="str">
        <f>IF(AllData[[#This Row],[Phosphate (PPM)]]&gt;0.5, "Very high", IF(AllData[[#This Row],[Phosphate (PPM)]]&gt;0.1, "High", IF(AllData[[#This Row],[Phosphate (PPM)]]&gt;0.05, "Some evidence", IF(AllData[[#This Row],[Phosphate (PPM)]]&lt;=0.05, "No Evidence", ""))))</f>
        <v>Very high</v>
      </c>
      <c r="U810">
        <v>0.25</v>
      </c>
      <c r="V810" t="s">
        <v>1119</v>
      </c>
    </row>
    <row r="811" spans="1:22" x14ac:dyDescent="0.25">
      <c r="A811" t="s">
        <v>1120</v>
      </c>
      <c r="B811" s="2">
        <v>45425</v>
      </c>
      <c r="C811" s="2" t="str" cm="1">
        <f t="array" ref="C8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1">
        <f>YEAR(AllData[[#This Row],[Date]])</f>
        <v>2024</v>
      </c>
      <c r="E811" s="1">
        <v>0.41666666666666669</v>
      </c>
      <c r="F811" s="2" t="str">
        <f>IF(AND(AllData[[#This Row],[Time]]&lt;0.5, AllData[[#This Row],[Time]]&gt;0.17)=TRUE, "Morning", IF(AND(AllData[[#This Row],[Time]]&lt;0.75, AllData[[#This Row],[Time]]&gt;=0.5)=TRUE, "Afternoon", IF(AND(AllData[[#This Row],[Time]]&lt;1, AllData[[#This Row],[Time]]&gt;=0.75)=TRUE, "Evening", "Night")))</f>
        <v>Morning</v>
      </c>
      <c r="G811" t="str">
        <f>_xlfn.XLOOKUP(AllData[[#This Row],[Location Name]], Locations[Location Name],Locations[Group As])</f>
        <v>Sherbourne Brook 1</v>
      </c>
      <c r="H811" t="e" vm="2">
        <f>_xlfn.XLOOKUP(AllData[[#This Row],[Site Name]],LocationsKey[Site Name],LocationsKey[District])</f>
        <v>#VALUE!</v>
      </c>
      <c r="I811" t="e" vm="16">
        <f>_xlfn.XLOOKUP(AllData[[#This Row],[Site Name]],LocationsKey[Site Name],LocationsKey[Town])</f>
        <v>#VALUE!</v>
      </c>
      <c r="J811" t="str">
        <f>_xlfn.XLOOKUP(AllData[[#This Row],[Site Name]],LocationsKey[Site Name], LocationsKey[Waterway])</f>
        <v>Sherbourne Brook</v>
      </c>
      <c r="K811" t="s">
        <v>570</v>
      </c>
      <c r="L811">
        <v>52.252499999999998</v>
      </c>
      <c r="M811">
        <v>-1.6685000000000001</v>
      </c>
      <c r="N811" t="s">
        <v>23</v>
      </c>
      <c r="O811" s="127">
        <v>1070</v>
      </c>
      <c r="P811">
        <v>14.5</v>
      </c>
      <c r="Q811" s="127">
        <v>10</v>
      </c>
      <c r="R811" s="7" t="str">
        <f>IF(AllData[[#This Row],[Nitrate (PPM)]]&gt;2, "Very high", IF(AllData[[#This Row],[Nitrate (PPM)]]&gt;1, "High", IF(AllData[[#This Row],[Nitrate (PPM)]]&gt;0.5, "Some evidence", IF(AllData[[#This Row],[Nitrate (PPM)]]&gt;=0, "No evidence"))))</f>
        <v>Very high</v>
      </c>
      <c r="S811" s="133">
        <v>0.37</v>
      </c>
      <c r="T811" s="7" t="str">
        <f>IF(AllData[[#This Row],[Phosphate (PPM)]]&gt;0.5, "Very high", IF(AllData[[#This Row],[Phosphate (PPM)]]&gt;0.1, "High", IF(AllData[[#This Row],[Phosphate (PPM)]]&gt;0.05, "Some evidence", IF(AllData[[#This Row],[Phosphate (PPM)]]&lt;=0.05, "No Evidence", ""))))</f>
        <v>High</v>
      </c>
      <c r="U811">
        <v>0.15</v>
      </c>
    </row>
    <row r="812" spans="1:22" x14ac:dyDescent="0.25">
      <c r="A812" t="s">
        <v>1121</v>
      </c>
      <c r="B812" s="2">
        <v>45425</v>
      </c>
      <c r="C812" s="2" t="str" cm="1">
        <f t="array" ref="C8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2">
        <f>YEAR(AllData[[#This Row],[Date]])</f>
        <v>2024</v>
      </c>
      <c r="E812" s="1">
        <v>0.42708333333333331</v>
      </c>
      <c r="F812" s="2" t="str">
        <f>IF(AND(AllData[[#This Row],[Time]]&lt;0.5, AllData[[#This Row],[Time]]&gt;0.17)=TRUE, "Morning", IF(AND(AllData[[#This Row],[Time]]&lt;0.75, AllData[[#This Row],[Time]]&gt;=0.5)=TRUE, "Afternoon", IF(AND(AllData[[#This Row],[Time]]&lt;1, AllData[[#This Row],[Time]]&gt;=0.75)=TRUE, "Evening", "Night")))</f>
        <v>Morning</v>
      </c>
      <c r="G812" t="str">
        <f>_xlfn.XLOOKUP(AllData[[#This Row],[Location Name]], Locations[Location Name],Locations[Group As])</f>
        <v>Bell Brook 1</v>
      </c>
      <c r="H812" t="e" vm="2">
        <f>_xlfn.XLOOKUP(AllData[[#This Row],[Site Name]],LocationsKey[Site Name],LocationsKey[District])</f>
        <v>#VALUE!</v>
      </c>
      <c r="I812" t="e" vm="15">
        <f>_xlfn.XLOOKUP(AllData[[#This Row],[Site Name]],LocationsKey[Site Name],LocationsKey[Town])</f>
        <v>#VALUE!</v>
      </c>
      <c r="J812" t="str">
        <f>_xlfn.XLOOKUP(AllData[[#This Row],[Site Name]],LocationsKey[Site Name], LocationsKey[Waterway])</f>
        <v>Bell Brook</v>
      </c>
      <c r="K812" t="s">
        <v>534</v>
      </c>
      <c r="L812">
        <v>52.244900000000001</v>
      </c>
      <c r="M812">
        <v>-1.6617</v>
      </c>
      <c r="N812" t="s">
        <v>23</v>
      </c>
      <c r="O812" s="127">
        <v>813</v>
      </c>
      <c r="P812">
        <v>15.6</v>
      </c>
      <c r="Q812" s="127">
        <v>6</v>
      </c>
      <c r="R812" s="7" t="str">
        <f>IF(AllData[[#This Row],[Nitrate (PPM)]]&gt;2, "Very high", IF(AllData[[#This Row],[Nitrate (PPM)]]&gt;1, "High", IF(AllData[[#This Row],[Nitrate (PPM)]]&gt;0.5, "Some evidence", IF(AllData[[#This Row],[Nitrate (PPM)]]&gt;=0, "No evidence"))))</f>
        <v>Very high</v>
      </c>
      <c r="S812" s="133">
        <v>0.36</v>
      </c>
      <c r="T812" s="7" t="str">
        <f>IF(AllData[[#This Row],[Phosphate (PPM)]]&gt;0.5, "Very high", IF(AllData[[#This Row],[Phosphate (PPM)]]&gt;0.1, "High", IF(AllData[[#This Row],[Phosphate (PPM)]]&gt;0.05, "Some evidence", IF(AllData[[#This Row],[Phosphate (PPM)]]&lt;=0.05, "No Evidence", ""))))</f>
        <v>High</v>
      </c>
      <c r="U812">
        <v>0.1</v>
      </c>
    </row>
    <row r="813" spans="1:22" x14ac:dyDescent="0.25">
      <c r="A813" t="s">
        <v>1122</v>
      </c>
      <c r="B813" s="2">
        <v>45426</v>
      </c>
      <c r="C813" s="2" t="str" cm="1">
        <f t="array" ref="C8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3">
        <f>YEAR(AllData[[#This Row],[Date]])</f>
        <v>2024</v>
      </c>
      <c r="E813" s="1">
        <v>0.43958333333333333</v>
      </c>
      <c r="F813" s="2" t="str">
        <f>IF(AND(AllData[[#This Row],[Time]]&lt;0.5, AllData[[#This Row],[Time]]&gt;0.17)=TRUE, "Morning", IF(AND(AllData[[#This Row],[Time]]&lt;0.75, AllData[[#This Row],[Time]]&gt;=0.5)=TRUE, "Afternoon", IF(AND(AllData[[#This Row],[Time]]&lt;1, AllData[[#This Row],[Time]]&gt;=0.75)=TRUE, "Evening", "Night")))</f>
        <v>Morning</v>
      </c>
      <c r="G813" t="str">
        <f>_xlfn.XLOOKUP(AllData[[#This Row],[Location Name]], Locations[Location Name],Locations[Group As])</f>
        <v>Carrant Mitton Path</v>
      </c>
      <c r="H813" t="e" vm="1">
        <f>_xlfn.XLOOKUP(AllData[[#This Row],[Site Name]],LocationsKey[Site Name],LocationsKey[District])</f>
        <v>#VALUE!</v>
      </c>
      <c r="I813" t="e" vm="1">
        <f>_xlfn.XLOOKUP(AllData[[#This Row],[Site Name]],LocationsKey[Site Name],LocationsKey[Town])</f>
        <v>#VALUE!</v>
      </c>
      <c r="J813" t="str">
        <f>_xlfn.XLOOKUP(AllData[[#This Row],[Site Name]],LocationsKey[Site Name], LocationsKey[Waterway])</f>
        <v>Carrant</v>
      </c>
      <c r="K813" t="s">
        <v>1061</v>
      </c>
      <c r="L813">
        <v>52.000104</v>
      </c>
      <c r="M813">
        <v>-2.1419250000000001</v>
      </c>
      <c r="N813" t="s">
        <v>23</v>
      </c>
      <c r="O813" s="127">
        <v>692</v>
      </c>
      <c r="P813">
        <v>16</v>
      </c>
      <c r="Q813" s="127">
        <v>6</v>
      </c>
      <c r="R813" s="7" t="str">
        <f>IF(AllData[[#This Row],[Nitrate (PPM)]]&gt;2, "Very high", IF(AllData[[#This Row],[Nitrate (PPM)]]&gt;1, "High", IF(AllData[[#This Row],[Nitrate (PPM)]]&gt;0.5, "Some evidence", IF(AllData[[#This Row],[Nitrate (PPM)]]&gt;=0, "No evidence"))))</f>
        <v>Very high</v>
      </c>
      <c r="S813" s="133">
        <v>0.12</v>
      </c>
      <c r="T813" s="7" t="str">
        <f>IF(AllData[[#This Row],[Phosphate (PPM)]]&gt;0.5, "Very high", IF(AllData[[#This Row],[Phosphate (PPM)]]&gt;0.1, "High", IF(AllData[[#This Row],[Phosphate (PPM)]]&gt;0.05, "Some evidence", IF(AllData[[#This Row],[Phosphate (PPM)]]&lt;=0.05, "No Evidence", ""))))</f>
        <v>High</v>
      </c>
      <c r="U813">
        <v>0</v>
      </c>
    </row>
    <row r="814" spans="1:22" x14ac:dyDescent="0.25">
      <c r="A814" t="s">
        <v>1123</v>
      </c>
      <c r="B814" s="2">
        <v>45426</v>
      </c>
      <c r="C814" s="2" t="str" cm="1">
        <f t="array" ref="C8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4">
        <f>YEAR(AllData[[#This Row],[Date]])</f>
        <v>2024</v>
      </c>
      <c r="E814" s="1">
        <v>0.45347222222222222</v>
      </c>
      <c r="F814" s="2" t="str">
        <f>IF(AND(AllData[[#This Row],[Time]]&lt;0.5, AllData[[#This Row],[Time]]&gt;0.17)=TRUE, "Morning", IF(AND(AllData[[#This Row],[Time]]&lt;0.75, AllData[[#This Row],[Time]]&gt;=0.5)=TRUE, "Afternoon", IF(AND(AllData[[#This Row],[Time]]&lt;1, AllData[[#This Row],[Time]]&gt;=0.75)=TRUE, "Evening", "Night")))</f>
        <v>Morning</v>
      </c>
      <c r="G814" t="str">
        <f>_xlfn.XLOOKUP(AllData[[#This Row],[Location Name]], Locations[Location Name],Locations[Group As])</f>
        <v>Carrant M5 Bridge</v>
      </c>
      <c r="H814" t="e" vm="1">
        <f>_xlfn.XLOOKUP(AllData[[#This Row],[Site Name]],LocationsKey[Site Name],LocationsKey[District])</f>
        <v>#VALUE!</v>
      </c>
      <c r="I814" t="e" vm="1">
        <f>_xlfn.XLOOKUP(AllData[[#This Row],[Site Name]],LocationsKey[Site Name],LocationsKey[Town])</f>
        <v>#VALUE!</v>
      </c>
      <c r="J814" t="str">
        <f>_xlfn.XLOOKUP(AllData[[#This Row],[Site Name]],LocationsKey[Site Name], LocationsKey[Waterway])</f>
        <v>Carrant</v>
      </c>
      <c r="K814" t="s">
        <v>960</v>
      </c>
      <c r="L814">
        <v>52.011828999999999</v>
      </c>
      <c r="M814">
        <v>-2.1202860000000001</v>
      </c>
      <c r="N814" t="s">
        <v>23</v>
      </c>
      <c r="O814" s="127">
        <v>758</v>
      </c>
      <c r="P814">
        <v>16.2</v>
      </c>
      <c r="Q814" s="127">
        <v>7</v>
      </c>
      <c r="R814" s="7" t="str">
        <f>IF(AllData[[#This Row],[Nitrate (PPM)]]&gt;2, "Very high", IF(AllData[[#This Row],[Nitrate (PPM)]]&gt;1, "High", IF(AllData[[#This Row],[Nitrate (PPM)]]&gt;0.5, "Some evidence", IF(AllData[[#This Row],[Nitrate (PPM)]]&gt;=0, "No evidence"))))</f>
        <v>Very high</v>
      </c>
      <c r="S814" s="133">
        <v>0.31</v>
      </c>
      <c r="T814" s="7" t="str">
        <f>IF(AllData[[#This Row],[Phosphate (PPM)]]&gt;0.5, "Very high", IF(AllData[[#This Row],[Phosphate (PPM)]]&gt;0.1, "High", IF(AllData[[#This Row],[Phosphate (PPM)]]&gt;0.05, "Some evidence", IF(AllData[[#This Row],[Phosphate (PPM)]]&lt;=0.05, "No Evidence", ""))))</f>
        <v>High</v>
      </c>
      <c r="U814">
        <v>0</v>
      </c>
    </row>
    <row r="815" spans="1:22" x14ac:dyDescent="0.25">
      <c r="A815" t="s">
        <v>1124</v>
      </c>
      <c r="B815" s="2">
        <v>45427</v>
      </c>
      <c r="C815" s="2" t="str" cm="1">
        <f t="array" ref="C8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5">
        <f>YEAR(AllData[[#This Row],[Date]])</f>
        <v>2024</v>
      </c>
      <c r="E815" s="1">
        <v>0.57986111111111116</v>
      </c>
      <c r="F815" s="2" t="str">
        <f>IF(AND(AllData[[#This Row],[Time]]&lt;0.5, AllData[[#This Row],[Time]]&gt;0.17)=TRUE, "Morning", IF(AND(AllData[[#This Row],[Time]]&lt;0.75, AllData[[#This Row],[Time]]&gt;=0.5)=TRUE, "Afternoon", IF(AND(AllData[[#This Row],[Time]]&lt;1, AllData[[#This Row],[Time]]&gt;=0.75)=TRUE, "Evening", "Night")))</f>
        <v>Afternoon</v>
      </c>
      <c r="G815" t="str">
        <f>_xlfn.XLOOKUP(AllData[[#This Row],[Location Name]], Locations[Location Name],Locations[Group As])</f>
        <v>Alveston Weir</v>
      </c>
      <c r="H815" t="e" vm="2">
        <f>_xlfn.XLOOKUP(AllData[[#This Row],[Site Name]],LocationsKey[Site Name],LocationsKey[District])</f>
        <v>#VALUE!</v>
      </c>
      <c r="I815" t="e" vm="13">
        <f>_xlfn.XLOOKUP(AllData[[#This Row],[Site Name]],LocationsKey[Site Name],LocationsKey[Town])</f>
        <v>#VALUE!</v>
      </c>
      <c r="J815" t="str">
        <f>_xlfn.XLOOKUP(AllData[[#This Row],[Site Name]],LocationsKey[Site Name], LocationsKey[Waterway])</f>
        <v>Avon</v>
      </c>
      <c r="K815" t="s">
        <v>286</v>
      </c>
      <c r="L815">
        <v>52.214177999999997</v>
      </c>
      <c r="M815">
        <v>-1.6601600000000001</v>
      </c>
      <c r="N815" t="s">
        <v>29</v>
      </c>
      <c r="O815" s="220">
        <v>901</v>
      </c>
      <c r="P815">
        <v>18.8</v>
      </c>
      <c r="Q815" s="220">
        <v>5</v>
      </c>
      <c r="R815" s="7" t="str">
        <f>IF(AllData[[#This Row],[Nitrate (PPM)]]&gt;2, "Very high", IF(AllData[[#This Row],[Nitrate (PPM)]]&gt;1, "High", IF(AllData[[#This Row],[Nitrate (PPM)]]&gt;0.5, "Some evidence", IF(AllData[[#This Row],[Nitrate (PPM)]]&gt;=0, "No evidence"))))</f>
        <v>Very high</v>
      </c>
      <c r="S815" s="222">
        <v>0.38</v>
      </c>
      <c r="T815" s="7" t="str">
        <f>IF(AllData[[#This Row],[Phosphate (PPM)]]&gt;0.5, "Very high", IF(AllData[[#This Row],[Phosphate (PPM)]]&gt;0.1, "High", IF(AllData[[#This Row],[Phosphate (PPM)]]&gt;0.05, "Some evidence", IF(AllData[[#This Row],[Phosphate (PPM)]]&lt;=0.05, "No Evidence", ""))))</f>
        <v>High</v>
      </c>
      <c r="U815">
        <v>0</v>
      </c>
      <c r="V815" t="s">
        <v>1125</v>
      </c>
    </row>
    <row r="816" spans="1:22" x14ac:dyDescent="0.25">
      <c r="A816" t="s">
        <v>1126</v>
      </c>
      <c r="B816" s="2">
        <v>45427</v>
      </c>
      <c r="C816" s="2" t="str" cm="1">
        <f t="array" ref="C8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6">
        <f>YEAR(AllData[[#This Row],[Date]])</f>
        <v>2024</v>
      </c>
      <c r="E816" s="1">
        <v>0.58333333333333337</v>
      </c>
      <c r="F816" s="2" t="str">
        <f>IF(AND(AllData[[#This Row],[Time]]&lt;0.5, AllData[[#This Row],[Time]]&gt;0.17)=TRUE, "Morning", IF(AND(AllData[[#This Row],[Time]]&lt;0.75, AllData[[#This Row],[Time]]&gt;=0.5)=TRUE, "Afternoon", IF(AND(AllData[[#This Row],[Time]]&lt;1, AllData[[#This Row],[Time]]&gt;=0.75)=TRUE, "Evening", "Night")))</f>
        <v>Afternoon</v>
      </c>
      <c r="G816" t="str">
        <f>_xlfn.XLOOKUP(AllData[[#This Row],[Location Name]], Locations[Location Name],Locations[Group As])</f>
        <v>Swiffen Bank</v>
      </c>
      <c r="H816" t="e" vm="2">
        <f>_xlfn.XLOOKUP(AllData[[#This Row],[Site Name]],LocationsKey[Site Name],LocationsKey[District])</f>
        <v>#VALUE!</v>
      </c>
      <c r="I816" t="e" vm="13">
        <f>_xlfn.XLOOKUP(AllData[[#This Row],[Site Name]],LocationsKey[Site Name],LocationsKey[Town])</f>
        <v>#VALUE!</v>
      </c>
      <c r="J816" t="str">
        <f>_xlfn.XLOOKUP(AllData[[#This Row],[Site Name]],LocationsKey[Site Name], LocationsKey[Waterway])</f>
        <v>Avon</v>
      </c>
      <c r="K816" t="s">
        <v>284</v>
      </c>
      <c r="L816">
        <v>52.206477999999997</v>
      </c>
      <c r="M816">
        <v>-1.653894</v>
      </c>
      <c r="N816" t="s">
        <v>29</v>
      </c>
      <c r="O816" s="220">
        <v>699</v>
      </c>
      <c r="P816">
        <v>19.8</v>
      </c>
      <c r="Q816" s="220">
        <v>10</v>
      </c>
      <c r="R816" s="7" t="str">
        <f>IF(AllData[[#This Row],[Nitrate (PPM)]]&gt;2, "Very high", IF(AllData[[#This Row],[Nitrate (PPM)]]&gt;1, "High", IF(AllData[[#This Row],[Nitrate (PPM)]]&gt;0.5, "Some evidence", IF(AllData[[#This Row],[Nitrate (PPM)]]&gt;=0, "No evidence"))))</f>
        <v>Very high</v>
      </c>
      <c r="S816" s="222">
        <v>0.44</v>
      </c>
      <c r="T816" s="7" t="str">
        <f>IF(AllData[[#This Row],[Phosphate (PPM)]]&gt;0.5, "Very high", IF(AllData[[#This Row],[Phosphate (PPM)]]&gt;0.1, "High", IF(AllData[[#This Row],[Phosphate (PPM)]]&gt;0.05, "Some evidence", IF(AllData[[#This Row],[Phosphate (PPM)]]&lt;=0.05, "No Evidence", ""))))</f>
        <v>High</v>
      </c>
      <c r="U816">
        <v>0</v>
      </c>
      <c r="V816" t="s">
        <v>1127</v>
      </c>
    </row>
    <row r="817" spans="1:22" x14ac:dyDescent="0.25">
      <c r="A817" t="s">
        <v>1129</v>
      </c>
      <c r="B817" s="2">
        <v>45427</v>
      </c>
      <c r="C817" s="2" t="str" cm="1">
        <f t="array" ref="C8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7">
        <f>YEAR(AllData[[#This Row],[Date]])</f>
        <v>2024</v>
      </c>
      <c r="E817" s="1">
        <v>0.66666666666666663</v>
      </c>
      <c r="F817" s="2" t="str">
        <f>IF(AND(AllData[[#This Row],[Time]]&lt;0.5, AllData[[#This Row],[Time]]&gt;0.17)=TRUE, "Morning", IF(AND(AllData[[#This Row],[Time]]&lt;0.75, AllData[[#This Row],[Time]]&gt;=0.5)=TRUE, "Afternoon", IF(AND(AllData[[#This Row],[Time]]&lt;1, AllData[[#This Row],[Time]]&gt;=0.75)=TRUE, "Evening", "Night")))</f>
        <v>Afternoon</v>
      </c>
      <c r="G817" t="str">
        <f>_xlfn.XLOOKUP(AllData[[#This Row],[Location Name]], Locations[Location Name],Locations[Group As])</f>
        <v>Stour Newbold Mill</v>
      </c>
      <c r="H817" t="e" vm="2">
        <f>_xlfn.XLOOKUP(AllData[[#This Row],[Site Name]],LocationsKey[Site Name],LocationsKey[District])</f>
        <v>#VALUE!</v>
      </c>
      <c r="I817" t="e" vm="8">
        <f>_xlfn.XLOOKUP(AllData[[#This Row],[Site Name]],LocationsKey[Site Name],LocationsKey[Town])</f>
        <v>#VALUE!</v>
      </c>
      <c r="J817" t="str">
        <f>_xlfn.XLOOKUP(AllData[[#This Row],[Site Name]],LocationsKey[Site Name], LocationsKey[Waterway])</f>
        <v>Stour</v>
      </c>
      <c r="K817" t="s">
        <v>140</v>
      </c>
      <c r="N817" t="s">
        <v>29</v>
      </c>
      <c r="O817">
        <v>681</v>
      </c>
      <c r="P817">
        <v>18.399999999999999</v>
      </c>
      <c r="Q817">
        <v>2</v>
      </c>
      <c r="R817" s="7" t="str">
        <f>IF(AllData[[#This Row],[Nitrate (PPM)]]&gt;2, "Very high", IF(AllData[[#This Row],[Nitrate (PPM)]]&gt;1, "High", IF(AllData[[#This Row],[Nitrate (PPM)]]&gt;0.5, "Some evidence", IF(AllData[[#This Row],[Nitrate (PPM)]]&gt;=0, "No evidence"))))</f>
        <v>High</v>
      </c>
      <c r="S817" s="4">
        <v>0.3</v>
      </c>
      <c r="T817" s="7" t="str">
        <f>IF(AllData[[#This Row],[Phosphate (PPM)]]&gt;0.5, "Very high", IF(AllData[[#This Row],[Phosphate (PPM)]]&gt;0.1, "High", IF(AllData[[#This Row],[Phosphate (PPM)]]&gt;0.05, "Some evidence", IF(AllData[[#This Row],[Phosphate (PPM)]]&lt;=0.05, "No Evidence", ""))))</f>
        <v>High</v>
      </c>
      <c r="U817">
        <v>2</v>
      </c>
      <c r="V817" t="s">
        <v>1101</v>
      </c>
    </row>
    <row r="818" spans="1:22" x14ac:dyDescent="0.25">
      <c r="A818" t="s">
        <v>1128</v>
      </c>
      <c r="B818" s="2">
        <v>45427</v>
      </c>
      <c r="C818" s="2" t="str" cm="1">
        <f t="array" ref="C8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8">
        <f>YEAR(AllData[[#This Row],[Date]])</f>
        <v>2024</v>
      </c>
      <c r="E818" s="1">
        <v>0.84583333333333333</v>
      </c>
      <c r="F818" s="2" t="str">
        <f>IF(AND(AllData[[#This Row],[Time]]&lt;0.5, AllData[[#This Row],[Time]]&gt;0.17)=TRUE, "Morning", IF(AND(AllData[[#This Row],[Time]]&lt;0.75, AllData[[#This Row],[Time]]&gt;=0.5)=TRUE, "Afternoon", IF(AND(AllData[[#This Row],[Time]]&lt;1, AllData[[#This Row],[Time]]&gt;=0.75)=TRUE, "Evening", "Night")))</f>
        <v>Evening</v>
      </c>
      <c r="G818" t="str">
        <f>_xlfn.XLOOKUP(AllData[[#This Row],[Location Name]], Locations[Location Name],Locations[Group As])</f>
        <v>Abbey Mill</v>
      </c>
      <c r="H818" t="e" vm="1">
        <f>_xlfn.XLOOKUP(AllData[[#This Row],[Site Name]],LocationsKey[Site Name],LocationsKey[District])</f>
        <v>#VALUE!</v>
      </c>
      <c r="I818" t="e" vm="1">
        <f>_xlfn.XLOOKUP(AllData[[#This Row],[Site Name]],LocationsKey[Site Name],LocationsKey[Town])</f>
        <v>#VALUE!</v>
      </c>
      <c r="J818" t="str">
        <f>_xlfn.XLOOKUP(AllData[[#This Row],[Site Name]],LocationsKey[Site Name], LocationsKey[Waterway])</f>
        <v>Avon</v>
      </c>
      <c r="K818" t="s">
        <v>25</v>
      </c>
      <c r="L818">
        <v>51.991287</v>
      </c>
      <c r="M818">
        <v>-2.1626400000000001</v>
      </c>
      <c r="N818" t="s">
        <v>23</v>
      </c>
      <c r="O818" s="127">
        <v>956</v>
      </c>
      <c r="P818">
        <v>18.5</v>
      </c>
      <c r="Q818" s="127">
        <v>10</v>
      </c>
      <c r="R818" s="7" t="str">
        <f>IF(AllData[[#This Row],[Nitrate (PPM)]]&gt;2, "Very high", IF(AllData[[#This Row],[Nitrate (PPM)]]&gt;1, "High", IF(AllData[[#This Row],[Nitrate (PPM)]]&gt;0.5, "Some evidence", IF(AllData[[#This Row],[Nitrate (PPM)]]&gt;=0, "No evidence"))))</f>
        <v>Very high</v>
      </c>
      <c r="S818" s="133">
        <v>0.64</v>
      </c>
      <c r="T818" s="7" t="str">
        <f>IF(AllData[[#This Row],[Phosphate (PPM)]]&gt;0.5, "Very high", IF(AllData[[#This Row],[Phosphate (PPM)]]&gt;0.1, "High", IF(AllData[[#This Row],[Phosphate (PPM)]]&gt;0.05, "Some evidence", IF(AllData[[#This Row],[Phosphate (PPM)]]&lt;=0.05, "No Evidence", ""))))</f>
        <v>Very high</v>
      </c>
      <c r="U818">
        <v>0.6</v>
      </c>
    </row>
    <row r="819" spans="1:22" x14ac:dyDescent="0.25">
      <c r="A819" t="s">
        <v>1130</v>
      </c>
      <c r="B819" s="2">
        <v>45428</v>
      </c>
      <c r="C819" s="2" t="str" cm="1">
        <f t="array" ref="C8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9">
        <f>YEAR(AllData[[#This Row],[Date]])</f>
        <v>2024</v>
      </c>
      <c r="E819" s="1">
        <v>0.71875</v>
      </c>
      <c r="F819" s="2" t="str">
        <f>IF(AND(AllData[[#This Row],[Time]]&lt;0.5, AllData[[#This Row],[Time]]&gt;0.17)=TRUE, "Morning", IF(AND(AllData[[#This Row],[Time]]&lt;0.75, AllData[[#This Row],[Time]]&gt;=0.5)=TRUE, "Afternoon", IF(AND(AllData[[#This Row],[Time]]&lt;1, AllData[[#This Row],[Time]]&gt;=0.75)=TRUE, "Evening", "Night")))</f>
        <v>Afternoon</v>
      </c>
      <c r="G819" t="str">
        <f>_xlfn.XLOOKUP(AllData[[#This Row],[Location Name]], Locations[Location Name],Locations[Group As])</f>
        <v>Stour Willington</v>
      </c>
      <c r="H819" t="e" vm="2">
        <f>_xlfn.XLOOKUP(AllData[[#This Row],[Site Name]],LocationsKey[Site Name],LocationsKey[District])</f>
        <v>#VALUE!</v>
      </c>
      <c r="I819" t="str">
        <f>_xlfn.XLOOKUP(AllData[[#This Row],[Site Name]],LocationsKey[Site Name],LocationsKey[Town])</f>
        <v>Willington</v>
      </c>
      <c r="J819" t="str">
        <f>_xlfn.XLOOKUP(AllData[[#This Row],[Site Name]],LocationsKey[Site Name], LocationsKey[Waterway])</f>
        <v>Stour</v>
      </c>
      <c r="K819" t="s">
        <v>517</v>
      </c>
      <c r="N819" t="s">
        <v>23</v>
      </c>
      <c r="O819" s="127">
        <v>661</v>
      </c>
      <c r="P819">
        <v>16.399999999999999</v>
      </c>
      <c r="Q819" s="127">
        <v>2</v>
      </c>
      <c r="R819" s="7" t="str">
        <f>IF(AllData[[#This Row],[Nitrate (PPM)]]&gt;2, "Very high", IF(AllData[[#This Row],[Nitrate (PPM)]]&gt;1, "High", IF(AllData[[#This Row],[Nitrate (PPM)]]&gt;0.5, "Some evidence", IF(AllData[[#This Row],[Nitrate (PPM)]]&gt;=0, "No evidence"))))</f>
        <v>High</v>
      </c>
      <c r="S819" s="133">
        <v>0.27</v>
      </c>
      <c r="T819" s="7" t="str">
        <f>IF(AllData[[#This Row],[Phosphate (PPM)]]&gt;0.5, "Very high", IF(AllData[[#This Row],[Phosphate (PPM)]]&gt;0.1, "High", IF(AllData[[#This Row],[Phosphate (PPM)]]&gt;0.05, "Some evidence", IF(AllData[[#This Row],[Phosphate (PPM)]]&lt;=0.05, "No Evidence", ""))))</f>
        <v>High</v>
      </c>
      <c r="U819">
        <v>0.5</v>
      </c>
    </row>
    <row r="820" spans="1:22" x14ac:dyDescent="0.25">
      <c r="A820" t="s">
        <v>1131</v>
      </c>
      <c r="B820" s="2">
        <v>45429</v>
      </c>
      <c r="C820" s="2" t="str" cm="1">
        <f t="array" ref="C8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0">
        <f>YEAR(AllData[[#This Row],[Date]])</f>
        <v>2024</v>
      </c>
      <c r="E820" s="1">
        <v>0.38263888888888886</v>
      </c>
      <c r="F820" s="2" t="str">
        <f>IF(AND(AllData[[#This Row],[Time]]&lt;0.5, AllData[[#This Row],[Time]]&gt;0.17)=TRUE, "Morning", IF(AND(AllData[[#This Row],[Time]]&lt;0.75, AllData[[#This Row],[Time]]&gt;=0.5)=TRUE, "Afternoon", IF(AND(AllData[[#This Row],[Time]]&lt;1, AllData[[#This Row],[Time]]&gt;=0.75)=TRUE, "Evening", "Night")))</f>
        <v>Morning</v>
      </c>
      <c r="G820" t="str">
        <f>_xlfn.XLOOKUP(AllData[[#This Row],[Location Name]], Locations[Location Name],Locations[Group As])</f>
        <v>Lower Lode</v>
      </c>
      <c r="H820" t="e" vm="1">
        <f>_xlfn.XLOOKUP(AllData[[#This Row],[Site Name]],LocationsKey[Site Name],LocationsKey[District])</f>
        <v>#VALUE!</v>
      </c>
      <c r="I820" t="e" vm="1">
        <f>_xlfn.XLOOKUP(AllData[[#This Row],[Site Name]],LocationsKey[Site Name],LocationsKey[Town])</f>
        <v>#VALUE!</v>
      </c>
      <c r="J820" t="str">
        <f>_xlfn.XLOOKUP(AllData[[#This Row],[Site Name]],LocationsKey[Site Name], LocationsKey[Waterway])</f>
        <v>Avon</v>
      </c>
      <c r="K820" t="s">
        <v>592</v>
      </c>
      <c r="L820">
        <v>51.984960000000001</v>
      </c>
      <c r="M820">
        <v>-2.1742780000000002</v>
      </c>
      <c r="N820" t="s">
        <v>29</v>
      </c>
      <c r="O820" s="127">
        <v>8440</v>
      </c>
      <c r="P820">
        <v>17.399999999999999</v>
      </c>
      <c r="Q820" s="127">
        <v>10</v>
      </c>
      <c r="R820" s="7" t="str">
        <f>IF(AllData[[#This Row],[Nitrate (PPM)]]&gt;2, "Very high", IF(AllData[[#This Row],[Nitrate (PPM)]]&gt;1, "High", IF(AllData[[#This Row],[Nitrate (PPM)]]&gt;0.5, "Some evidence", IF(AllData[[#This Row],[Nitrate (PPM)]]&gt;=0, "No evidence"))))</f>
        <v>Very high</v>
      </c>
      <c r="S820" s="133">
        <v>0.56000000000000005</v>
      </c>
      <c r="T820" s="7" t="str">
        <f>IF(AllData[[#This Row],[Phosphate (PPM)]]&gt;0.5, "Very high", IF(AllData[[#This Row],[Phosphate (PPM)]]&gt;0.1, "High", IF(AllData[[#This Row],[Phosphate (PPM)]]&gt;0.05, "Some evidence", IF(AllData[[#This Row],[Phosphate (PPM)]]&lt;=0.05, "No Evidence", ""))))</f>
        <v>Very high</v>
      </c>
      <c r="U820">
        <v>0</v>
      </c>
    </row>
    <row r="821" spans="1:22" x14ac:dyDescent="0.25">
      <c r="A821" t="s">
        <v>1132</v>
      </c>
      <c r="B821" s="2">
        <v>45429</v>
      </c>
      <c r="C821" s="2" t="str" cm="1">
        <f t="array" ref="C8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1">
        <f>YEAR(AllData[[#This Row],[Date]])</f>
        <v>2024</v>
      </c>
      <c r="E821" s="1">
        <v>0.5</v>
      </c>
      <c r="F821" s="2" t="str">
        <f>IF(AND(AllData[[#This Row],[Time]]&lt;0.5, AllData[[#This Row],[Time]]&gt;0.17)=TRUE, "Morning", IF(AND(AllData[[#This Row],[Time]]&lt;0.75, AllData[[#This Row],[Time]]&gt;=0.5)=TRUE, "Afternoon", IF(AND(AllData[[#This Row],[Time]]&lt;1, AllData[[#This Row],[Time]]&gt;=0.75)=TRUE, "Evening", "Night")))</f>
        <v>Afternoon</v>
      </c>
      <c r="G821" t="str">
        <f>_xlfn.XLOOKUP(AllData[[#This Row],[Location Name]], Locations[Location Name],Locations[Group As])</f>
        <v>Mill Bridge Peopleton</v>
      </c>
      <c r="H821" t="e" vm="17">
        <f>_xlfn.XLOOKUP(AllData[[#This Row],[Site Name]],LocationsKey[Site Name],LocationsKey[District])</f>
        <v>#VALUE!</v>
      </c>
      <c r="I821" t="str">
        <f>_xlfn.XLOOKUP(AllData[[#This Row],[Site Name]],LocationsKey[Site Name],LocationsKey[Town])</f>
        <v>Peopleton</v>
      </c>
      <c r="J821" t="str">
        <f>_xlfn.XLOOKUP(AllData[[#This Row],[Site Name]],LocationsKey[Site Name], LocationsKey[Waterway])</f>
        <v>Bow Brook</v>
      </c>
      <c r="K821" t="s">
        <v>921</v>
      </c>
      <c r="L821">
        <v>52.151504000000003</v>
      </c>
      <c r="M821">
        <v>-2.0960640000000001</v>
      </c>
      <c r="N821" t="s">
        <v>29</v>
      </c>
      <c r="O821" s="127">
        <v>1120</v>
      </c>
      <c r="P821">
        <v>16.7</v>
      </c>
      <c r="Q821" s="127">
        <v>5</v>
      </c>
      <c r="R821" s="7" t="str">
        <f>IF(AllData[[#This Row],[Nitrate (PPM)]]&gt;2, "Very high", IF(AllData[[#This Row],[Nitrate (PPM)]]&gt;1, "High", IF(AllData[[#This Row],[Nitrate (PPM)]]&gt;0.5, "Some evidence", IF(AllData[[#This Row],[Nitrate (PPM)]]&gt;=0, "No evidence"))))</f>
        <v>Very high</v>
      </c>
      <c r="S821" s="133">
        <v>1.04</v>
      </c>
      <c r="T821" s="7" t="str">
        <f>IF(AllData[[#This Row],[Phosphate (PPM)]]&gt;0.5, "Very high", IF(AllData[[#This Row],[Phosphate (PPM)]]&gt;0.1, "High", IF(AllData[[#This Row],[Phosphate (PPM)]]&gt;0.05, "Some evidence", IF(AllData[[#This Row],[Phosphate (PPM)]]&lt;=0.05, "No Evidence", ""))))</f>
        <v>Very high</v>
      </c>
      <c r="U821">
        <v>0.45</v>
      </c>
    </row>
    <row r="822" spans="1:22" x14ac:dyDescent="0.25">
      <c r="A822" t="s">
        <v>1133</v>
      </c>
      <c r="B822" s="2">
        <v>45429</v>
      </c>
      <c r="C822" s="2" t="str" cm="1">
        <f t="array" ref="C8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2">
        <f>YEAR(AllData[[#This Row],[Date]])</f>
        <v>2024</v>
      </c>
      <c r="E822" s="1">
        <v>0.54513888888888884</v>
      </c>
      <c r="F822" s="2" t="str">
        <f>IF(AND(AllData[[#This Row],[Time]]&lt;0.5, AllData[[#This Row],[Time]]&gt;0.17)=TRUE, "Morning", IF(AND(AllData[[#This Row],[Time]]&lt;0.75, AllData[[#This Row],[Time]]&gt;=0.5)=TRUE, "Afternoon", IF(AND(AllData[[#This Row],[Time]]&lt;1, AllData[[#This Row],[Time]]&gt;=0.75)=TRUE, "Evening", "Night")))</f>
        <v>Afternoon</v>
      </c>
      <c r="G822" t="str">
        <f>_xlfn.XLOOKUP(AllData[[#This Row],[Location Name]], Locations[Location Name],Locations[Group As])</f>
        <v>Swilgate</v>
      </c>
      <c r="H822" t="e" vm="1">
        <f>_xlfn.XLOOKUP(AllData[[#This Row],[Site Name]],LocationsKey[Site Name],LocationsKey[District])</f>
        <v>#VALUE!</v>
      </c>
      <c r="I822" t="e" vm="1">
        <f>_xlfn.XLOOKUP(AllData[[#This Row],[Site Name]],LocationsKey[Site Name],LocationsKey[Town])</f>
        <v>#VALUE!</v>
      </c>
      <c r="J822" t="str">
        <f>_xlfn.XLOOKUP(AllData[[#This Row],[Site Name]],LocationsKey[Site Name], LocationsKey[Waterway])</f>
        <v>Swilgate</v>
      </c>
      <c r="K822" t="s">
        <v>480</v>
      </c>
      <c r="L822">
        <v>51.988481</v>
      </c>
      <c r="M822">
        <v>-2.1641349999999999</v>
      </c>
      <c r="N822" t="s">
        <v>23</v>
      </c>
      <c r="O822" s="220">
        <v>857</v>
      </c>
      <c r="P822">
        <v>16.600000000000001</v>
      </c>
      <c r="Q822" s="220">
        <v>5</v>
      </c>
      <c r="R822" s="7" t="str">
        <f>IF(AllData[[#This Row],[Nitrate (PPM)]]&gt;2, "Very high", IF(AllData[[#This Row],[Nitrate (PPM)]]&gt;1, "High", IF(AllData[[#This Row],[Nitrate (PPM)]]&gt;0.5, "Some evidence", IF(AllData[[#This Row],[Nitrate (PPM)]]&gt;=0, "No evidence"))))</f>
        <v>Very high</v>
      </c>
      <c r="S822" s="222">
        <v>0.13</v>
      </c>
      <c r="T822" s="7" t="str">
        <f>IF(AllData[[#This Row],[Phosphate (PPM)]]&gt;0.5, "Very high", IF(AllData[[#This Row],[Phosphate (PPM)]]&gt;0.1, "High", IF(AllData[[#This Row],[Phosphate (PPM)]]&gt;0.05, "Some evidence", IF(AllData[[#This Row],[Phosphate (PPM)]]&lt;=0.05, "No Evidence", ""))))</f>
        <v>High</v>
      </c>
      <c r="U822">
        <v>0</v>
      </c>
    </row>
    <row r="823" spans="1:22" x14ac:dyDescent="0.25">
      <c r="A823" t="s">
        <v>1134</v>
      </c>
      <c r="B823" s="2">
        <v>45430</v>
      </c>
      <c r="C823" s="2" t="str" cm="1">
        <f t="array" ref="C8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3">
        <f>YEAR(AllData[[#This Row],[Date]])</f>
        <v>2024</v>
      </c>
      <c r="E823" s="1">
        <v>0.44791666666666669</v>
      </c>
      <c r="F823" s="2" t="str">
        <f>IF(AND(AllData[[#This Row],[Time]]&lt;0.5, AllData[[#This Row],[Time]]&gt;0.17)=TRUE, "Morning", IF(AND(AllData[[#This Row],[Time]]&lt;0.75, AllData[[#This Row],[Time]]&gt;=0.5)=TRUE, "Afternoon", IF(AND(AllData[[#This Row],[Time]]&lt;1, AllData[[#This Row],[Time]]&gt;=0.75)=TRUE, "Evening", "Night")))</f>
        <v>Morning</v>
      </c>
      <c r="G823" t="str">
        <f>_xlfn.XLOOKUP(AllData[[#This Row],[Location Name]], Locations[Location Name],Locations[Group As])</f>
        <v>Pitch 16</v>
      </c>
      <c r="H823" t="e" vm="2">
        <f>_xlfn.XLOOKUP(AllData[[#This Row],[Site Name]],LocationsKey[Site Name],LocationsKey[District])</f>
        <v>#VALUE!</v>
      </c>
      <c r="I823" t="e" vm="7">
        <f>_xlfn.XLOOKUP(AllData[[#This Row],[Site Name]],LocationsKey[Site Name],LocationsKey[Town])</f>
        <v>#VALUE!</v>
      </c>
      <c r="J823" t="str">
        <f>_xlfn.XLOOKUP(AllData[[#This Row],[Site Name]],LocationsKey[Site Name], LocationsKey[Waterway])</f>
        <v>Avon</v>
      </c>
      <c r="K823" t="s">
        <v>69</v>
      </c>
      <c r="L823">
        <v>52.173501999999999</v>
      </c>
      <c r="M823">
        <v>-1.743617</v>
      </c>
      <c r="N823" t="s">
        <v>29</v>
      </c>
      <c r="O823" s="127">
        <v>904</v>
      </c>
      <c r="P823">
        <v>20.2</v>
      </c>
      <c r="Q823" s="127">
        <v>6</v>
      </c>
      <c r="R823" s="7" t="str">
        <f>IF(AllData[[#This Row],[Nitrate (PPM)]]&gt;2, "Very high", IF(AllData[[#This Row],[Nitrate (PPM)]]&gt;1, "High", IF(AllData[[#This Row],[Nitrate (PPM)]]&gt;0.5, "Some evidence", IF(AllData[[#This Row],[Nitrate (PPM)]]&gt;=0, "No evidence"))))</f>
        <v>Very high</v>
      </c>
      <c r="S823" s="133">
        <v>0.38</v>
      </c>
      <c r="T823" s="7" t="str">
        <f>IF(AllData[[#This Row],[Phosphate (PPM)]]&gt;0.5, "Very high", IF(AllData[[#This Row],[Phosphate (PPM)]]&gt;0.1, "High", IF(AllData[[#This Row],[Phosphate (PPM)]]&gt;0.05, "Some evidence", IF(AllData[[#This Row],[Phosphate (PPM)]]&lt;=0.05, "No Evidence", ""))))</f>
        <v>High</v>
      </c>
      <c r="U823">
        <v>0.5</v>
      </c>
    </row>
    <row r="824" spans="1:22" x14ac:dyDescent="0.25">
      <c r="A824" t="s">
        <v>1135</v>
      </c>
      <c r="B824" s="2">
        <v>45430</v>
      </c>
      <c r="C824" s="2" t="str" cm="1">
        <f t="array" ref="C8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4">
        <f>YEAR(AllData[[#This Row],[Date]])</f>
        <v>2024</v>
      </c>
      <c r="E824" s="1">
        <v>0.44861111111111113</v>
      </c>
      <c r="F824" s="2" t="str">
        <f>IF(AND(AllData[[#This Row],[Time]]&lt;0.5, AllData[[#This Row],[Time]]&gt;0.17)=TRUE, "Morning", IF(AND(AllData[[#This Row],[Time]]&lt;0.75, AllData[[#This Row],[Time]]&gt;=0.5)=TRUE, "Afternoon", IF(AND(AllData[[#This Row],[Time]]&lt;1, AllData[[#This Row],[Time]]&gt;=0.75)=TRUE, "Evening", "Night")))</f>
        <v>Morning</v>
      </c>
      <c r="G824" t="str">
        <f>_xlfn.XLOOKUP(AllData[[#This Row],[Location Name]], Locations[Location Name],Locations[Group As])</f>
        <v>Avon Smiths Meadow Wyre Piddle</v>
      </c>
      <c r="H824" t="e" vm="17">
        <f>_xlfn.XLOOKUP(AllData[[#This Row],[Site Name]],LocationsKey[Site Name],LocationsKey[District])</f>
        <v>#VALUE!</v>
      </c>
      <c r="I824" t="e" vm="20">
        <f>_xlfn.XLOOKUP(AllData[[#This Row],[Site Name]],LocationsKey[Site Name],LocationsKey[Town])</f>
        <v>#VALUE!</v>
      </c>
      <c r="J824" t="str">
        <f>_xlfn.XLOOKUP(AllData[[#This Row],[Site Name]],LocationsKey[Site Name], LocationsKey[Waterway])</f>
        <v>Avon</v>
      </c>
      <c r="K824" t="s">
        <v>741</v>
      </c>
      <c r="L824">
        <v>52.122874000000003</v>
      </c>
      <c r="M824">
        <v>-2.057477</v>
      </c>
      <c r="N824" t="s">
        <v>23</v>
      </c>
      <c r="O824" s="127">
        <v>929</v>
      </c>
      <c r="P824">
        <v>18</v>
      </c>
      <c r="Q824" s="127">
        <v>7</v>
      </c>
      <c r="R824" s="7" t="str">
        <f>IF(AllData[[#This Row],[Nitrate (PPM)]]&gt;2, "Very high", IF(AllData[[#This Row],[Nitrate (PPM)]]&gt;1, "High", IF(AllData[[#This Row],[Nitrate (PPM)]]&gt;0.5, "Some evidence", IF(AllData[[#This Row],[Nitrate (PPM)]]&gt;=0, "No evidence"))))</f>
        <v>Very high</v>
      </c>
      <c r="S824" s="133">
        <v>0.57999999999999996</v>
      </c>
      <c r="T824" s="7" t="str">
        <f>IF(AllData[[#This Row],[Phosphate (PPM)]]&gt;0.5, "Very high", IF(AllData[[#This Row],[Phosphate (PPM)]]&gt;0.1, "High", IF(AllData[[#This Row],[Phosphate (PPM)]]&gt;0.05, "Some evidence", IF(AllData[[#This Row],[Phosphate (PPM)]]&lt;=0.05, "No Evidence", ""))))</f>
        <v>Very high</v>
      </c>
      <c r="U824">
        <v>0.64</v>
      </c>
      <c r="V824" t="s">
        <v>1136</v>
      </c>
    </row>
    <row r="825" spans="1:22" x14ac:dyDescent="0.25">
      <c r="A825" t="s">
        <v>1137</v>
      </c>
      <c r="B825" s="2">
        <v>45430</v>
      </c>
      <c r="C825" s="2" t="str" cm="1">
        <f t="array" ref="C8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5">
        <f>YEAR(AllData[[#This Row],[Date]])</f>
        <v>2024</v>
      </c>
      <c r="E825" s="1">
        <v>0.46388888888888891</v>
      </c>
      <c r="F825" s="2" t="str">
        <f>IF(AND(AllData[[#This Row],[Time]]&lt;0.5, AllData[[#This Row],[Time]]&gt;0.17)=TRUE, "Morning", IF(AND(AllData[[#This Row],[Time]]&lt;0.75, AllData[[#This Row],[Time]]&gt;=0.5)=TRUE, "Afternoon", IF(AND(AllData[[#This Row],[Time]]&lt;1, AllData[[#This Row],[Time]]&gt;=0.75)=TRUE, "Evening", "Night")))</f>
        <v>Morning</v>
      </c>
      <c r="G825" t="str">
        <f>_xlfn.XLOOKUP(AllData[[#This Row],[Location Name]], Locations[Location Name],Locations[Group As])</f>
        <v>Avonbank Drive</v>
      </c>
      <c r="H825" t="e" vm="2">
        <f>_xlfn.XLOOKUP(AllData[[#This Row],[Site Name]],LocationsKey[Site Name],LocationsKey[District])</f>
        <v>#VALUE!</v>
      </c>
      <c r="I825" t="e" vm="7">
        <f>_xlfn.XLOOKUP(AllData[[#This Row],[Site Name]],LocationsKey[Site Name],LocationsKey[Town])</f>
        <v>#VALUE!</v>
      </c>
      <c r="J825" t="str">
        <f>_xlfn.XLOOKUP(AllData[[#This Row],[Site Name]],LocationsKey[Site Name], LocationsKey[Waterway])</f>
        <v>Avon</v>
      </c>
      <c r="K825" t="s">
        <v>325</v>
      </c>
      <c r="L825">
        <v>52.177067999999998</v>
      </c>
      <c r="M825">
        <v>-1.7359260000000001</v>
      </c>
      <c r="N825" t="s">
        <v>66</v>
      </c>
      <c r="O825" s="127">
        <v>908</v>
      </c>
      <c r="P825">
        <v>20.100000000000001</v>
      </c>
      <c r="Q825" s="127">
        <v>10</v>
      </c>
      <c r="R825" s="7" t="str">
        <f>IF(AllData[[#This Row],[Nitrate (PPM)]]&gt;2, "Very high", IF(AllData[[#This Row],[Nitrate (PPM)]]&gt;1, "High", IF(AllData[[#This Row],[Nitrate (PPM)]]&gt;0.5, "Some evidence", IF(AllData[[#This Row],[Nitrate (PPM)]]&gt;=0, "No evidence"))))</f>
        <v>Very high</v>
      </c>
      <c r="S825" s="133">
        <v>0.28999999999999998</v>
      </c>
      <c r="T825" s="7" t="str">
        <f>IF(AllData[[#This Row],[Phosphate (PPM)]]&gt;0.5, "Very high", IF(AllData[[#This Row],[Phosphate (PPM)]]&gt;0.1, "High", IF(AllData[[#This Row],[Phosphate (PPM)]]&gt;0.05, "Some evidence", IF(AllData[[#This Row],[Phosphate (PPM)]]&lt;=0.05, "No Evidence", ""))))</f>
        <v>High</v>
      </c>
      <c r="U825">
        <v>0.5</v>
      </c>
    </row>
    <row r="826" spans="1:22" x14ac:dyDescent="0.25">
      <c r="A826" t="s">
        <v>1138</v>
      </c>
      <c r="B826" s="2">
        <v>45430</v>
      </c>
      <c r="C826" s="2" t="str" cm="1">
        <f t="array" ref="C8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6">
        <f>YEAR(AllData[[#This Row],[Date]])</f>
        <v>2024</v>
      </c>
      <c r="E826" s="1">
        <v>0.48125000000000001</v>
      </c>
      <c r="F826" s="2" t="str">
        <f>IF(AND(AllData[[#This Row],[Time]]&lt;0.5, AllData[[#This Row],[Time]]&gt;0.17)=TRUE, "Morning", IF(AND(AllData[[#This Row],[Time]]&lt;0.75, AllData[[#This Row],[Time]]&gt;=0.5)=TRUE, "Afternoon", IF(AND(AllData[[#This Row],[Time]]&lt;1, AllData[[#This Row],[Time]]&gt;=0.75)=TRUE, "Evening", "Night")))</f>
        <v>Morning</v>
      </c>
      <c r="G826" t="str">
        <f>_xlfn.XLOOKUP(AllData[[#This Row],[Location Name]], Locations[Location Name],Locations[Group As])</f>
        <v>Piddle Brook Wyre Piddle Bridge</v>
      </c>
      <c r="H826" t="e" vm="17">
        <f>_xlfn.XLOOKUP(AllData[[#This Row],[Site Name]],LocationsKey[Site Name],LocationsKey[District])</f>
        <v>#VALUE!</v>
      </c>
      <c r="I826" t="e" vm="20">
        <f>_xlfn.XLOOKUP(AllData[[#This Row],[Site Name]],LocationsKey[Site Name],LocationsKey[Town])</f>
        <v>#VALUE!</v>
      </c>
      <c r="J826" t="str">
        <f>_xlfn.XLOOKUP(AllData[[#This Row],[Site Name]],LocationsKey[Site Name], LocationsKey[Waterway])</f>
        <v>Piddle Brook</v>
      </c>
      <c r="K826" t="s">
        <v>744</v>
      </c>
      <c r="L826">
        <v>52.126404999999998</v>
      </c>
      <c r="M826">
        <v>-2.056543</v>
      </c>
      <c r="N826" t="s">
        <v>23</v>
      </c>
      <c r="O826" s="127">
        <v>1310</v>
      </c>
      <c r="P826">
        <v>16.2</v>
      </c>
      <c r="Q826" s="127">
        <v>5</v>
      </c>
      <c r="R826" s="7" t="str">
        <f>IF(AllData[[#This Row],[Nitrate (PPM)]]&gt;2, "Very high", IF(AllData[[#This Row],[Nitrate (PPM)]]&gt;1, "High", IF(AllData[[#This Row],[Nitrate (PPM)]]&gt;0.5, "Some evidence", IF(AllData[[#This Row],[Nitrate (PPM)]]&gt;=0, "No evidence"))))</f>
        <v>Very high</v>
      </c>
      <c r="S826" s="133">
        <v>0.89</v>
      </c>
      <c r="T826" s="7" t="str">
        <f>IF(AllData[[#This Row],[Phosphate (PPM)]]&gt;0.5, "Very high", IF(AllData[[#This Row],[Phosphate (PPM)]]&gt;0.1, "High", IF(AllData[[#This Row],[Phosphate (PPM)]]&gt;0.05, "Some evidence", IF(AllData[[#This Row],[Phosphate (PPM)]]&lt;=0.05, "No Evidence", ""))))</f>
        <v>Very high</v>
      </c>
      <c r="U826">
        <v>0.22</v>
      </c>
      <c r="V826" t="s">
        <v>1139</v>
      </c>
    </row>
    <row r="827" spans="1:22" x14ac:dyDescent="0.25">
      <c r="A827" t="s">
        <v>1144</v>
      </c>
      <c r="B827" s="2">
        <v>45430</v>
      </c>
      <c r="C827" s="2" t="str" cm="1">
        <f t="array" ref="C8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7">
        <f>YEAR(AllData[[#This Row],[Date]])</f>
        <v>2024</v>
      </c>
      <c r="E827" s="1">
        <v>0.49652777777777779</v>
      </c>
      <c r="F827" s="2" t="str">
        <f>IF(AND(AllData[[#This Row],[Time]]&lt;0.5, AllData[[#This Row],[Time]]&gt;0.17)=TRUE, "Morning", IF(AND(AllData[[#This Row],[Time]]&lt;0.75, AllData[[#This Row],[Time]]&gt;=0.5)=TRUE, "Afternoon", IF(AND(AllData[[#This Row],[Time]]&lt;1, AllData[[#This Row],[Time]]&gt;=0.75)=TRUE, "Evening", "Night")))</f>
        <v>Morning</v>
      </c>
      <c r="G827" t="str">
        <f>_xlfn.XLOOKUP(AllData[[#This Row],[Location Name]], Locations[Location Name],Locations[Group As])</f>
        <v>The Ford, Langley</v>
      </c>
      <c r="H827" t="e" vm="2">
        <f>_xlfn.XLOOKUP(AllData[[#This Row],[Site Name]],LocationsKey[Site Name],LocationsKey[District])</f>
        <v>#VALUE!</v>
      </c>
      <c r="I827" t="str">
        <f>_xlfn.XLOOKUP(AllData[[#This Row],[Site Name]],LocationsKey[Site Name],LocationsKey[Town])</f>
        <v>Langley</v>
      </c>
      <c r="J827" t="str">
        <f>_xlfn.XLOOKUP(AllData[[#This Row],[Site Name]],LocationsKey[Site Name], LocationsKey[Waterway])</f>
        <v>Langley Ford</v>
      </c>
      <c r="K827" t="s">
        <v>526</v>
      </c>
      <c r="L827">
        <v>52.269105000000003</v>
      </c>
      <c r="M827">
        <v>-1.72329</v>
      </c>
      <c r="N827" t="s">
        <v>29</v>
      </c>
      <c r="O827">
        <v>810</v>
      </c>
      <c r="P827">
        <v>13.5</v>
      </c>
      <c r="Q827">
        <v>2</v>
      </c>
      <c r="R827" s="7" t="str">
        <f>IF(AllData[[#This Row],[Nitrate (PPM)]]&gt;2, "Very high", IF(AllData[[#This Row],[Nitrate (PPM)]]&gt;1, "High", IF(AllData[[#This Row],[Nitrate (PPM)]]&gt;0.5, "Some evidence", IF(AllData[[#This Row],[Nitrate (PPM)]]&gt;=0, "No evidence"))))</f>
        <v>High</v>
      </c>
      <c r="S827" s="4">
        <v>0.66</v>
      </c>
      <c r="T827" s="7" t="str">
        <f>IF(AllData[[#This Row],[Phosphate (PPM)]]&gt;0.5, "Very high", IF(AllData[[#This Row],[Phosphate (PPM)]]&gt;0.1, "High", IF(AllData[[#This Row],[Phosphate (PPM)]]&gt;0.05, "Some evidence", IF(AllData[[#This Row],[Phosphate (PPM)]]&lt;=0.05, "No Evidence", ""))))</f>
        <v>Very high</v>
      </c>
      <c r="U827">
        <v>25</v>
      </c>
    </row>
    <row r="828" spans="1:22" x14ac:dyDescent="0.25">
      <c r="A828" t="s">
        <v>1140</v>
      </c>
      <c r="B828" s="2">
        <v>45430</v>
      </c>
      <c r="C828" s="2" t="str" cm="1">
        <f t="array" ref="C8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8">
        <f>YEAR(AllData[[#This Row],[Date]])</f>
        <v>2024</v>
      </c>
      <c r="E828" s="1">
        <v>0.52083333333333337</v>
      </c>
      <c r="F828" s="2" t="str">
        <f>IF(AND(AllData[[#This Row],[Time]]&lt;0.5, AllData[[#This Row],[Time]]&gt;0.17)=TRUE, "Morning", IF(AND(AllData[[#This Row],[Time]]&lt;0.75, AllData[[#This Row],[Time]]&gt;=0.5)=TRUE, "Afternoon", IF(AND(AllData[[#This Row],[Time]]&lt;1, AllData[[#This Row],[Time]]&gt;=0.75)=TRUE, "Evening", "Night")))</f>
        <v>Afternoon</v>
      </c>
      <c r="G828" t="str">
        <f>_xlfn.XLOOKUP(AllData[[#This Row],[Location Name]], Locations[Location Name],Locations[Group As])</f>
        <v>Fell Mill Footbridge</v>
      </c>
      <c r="H828" t="e" vm="2">
        <f>_xlfn.XLOOKUP(AllData[[#This Row],[Site Name]],LocationsKey[Site Name],LocationsKey[District])</f>
        <v>#VALUE!</v>
      </c>
      <c r="I828" t="e" vm="10">
        <f>_xlfn.XLOOKUP(AllData[[#This Row],[Site Name]],LocationsKey[Site Name],LocationsKey[Town])</f>
        <v>#VALUE!</v>
      </c>
      <c r="J828" t="str">
        <f>_xlfn.XLOOKUP(AllData[[#This Row],[Site Name]],LocationsKey[Site Name], LocationsKey[Waterway])</f>
        <v>Stour</v>
      </c>
      <c r="K828" t="s">
        <v>818</v>
      </c>
      <c r="L828">
        <v>52.070086000000003</v>
      </c>
      <c r="M828">
        <v>-1.61145</v>
      </c>
      <c r="N828" t="s">
        <v>29</v>
      </c>
      <c r="O828" s="127">
        <v>632</v>
      </c>
      <c r="P828">
        <v>15.9</v>
      </c>
      <c r="Q828" s="127">
        <v>5</v>
      </c>
      <c r="R828" s="7" t="str">
        <f>IF(AllData[[#This Row],[Nitrate (PPM)]]&gt;2, "Very high", IF(AllData[[#This Row],[Nitrate (PPM)]]&gt;1, "High", IF(AllData[[#This Row],[Nitrate (PPM)]]&gt;0.5, "Some evidence", IF(AllData[[#This Row],[Nitrate (PPM)]]&gt;=0, "No evidence"))))</f>
        <v>Very high</v>
      </c>
      <c r="S828" s="133">
        <v>0.12</v>
      </c>
      <c r="T828" s="7" t="str">
        <f>IF(AllData[[#This Row],[Phosphate (PPM)]]&gt;0.5, "Very high", IF(AllData[[#This Row],[Phosphate (PPM)]]&gt;0.1, "High", IF(AllData[[#This Row],[Phosphate (PPM)]]&gt;0.05, "Some evidence", IF(AllData[[#This Row],[Phosphate (PPM)]]&lt;=0.05, "No Evidence", ""))))</f>
        <v>High</v>
      </c>
      <c r="U828">
        <v>1.23</v>
      </c>
      <c r="V828" t="s">
        <v>1141</v>
      </c>
    </row>
    <row r="829" spans="1:22" x14ac:dyDescent="0.25">
      <c r="A829" t="s">
        <v>1142</v>
      </c>
      <c r="B829" s="2">
        <v>45430</v>
      </c>
      <c r="C829" s="2" t="str" cm="1">
        <f t="array" ref="C8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9">
        <f>YEAR(AllData[[#This Row],[Date]])</f>
        <v>2024</v>
      </c>
      <c r="E829" s="1">
        <v>0.63263888888888886</v>
      </c>
      <c r="F829" s="2" t="str">
        <f>IF(AND(AllData[[#This Row],[Time]]&lt;0.5, AllData[[#This Row],[Time]]&gt;0.17)=TRUE, "Morning", IF(AND(AllData[[#This Row],[Time]]&lt;0.75, AllData[[#This Row],[Time]]&gt;=0.5)=TRUE, "Afternoon", IF(AND(AllData[[#This Row],[Time]]&lt;1, AllData[[#This Row],[Time]]&gt;=0.75)=TRUE, "Evening", "Night")))</f>
        <v>Afternoon</v>
      </c>
      <c r="G829" t="str">
        <f>_xlfn.XLOOKUP(AllData[[#This Row],[Location Name]], Locations[Location Name],Locations[Group As])</f>
        <v>Preston-on-Stour River Bridge</v>
      </c>
      <c r="H829" t="e" vm="2">
        <f>_xlfn.XLOOKUP(AllData[[#This Row],[Site Name]],LocationsKey[Site Name],LocationsKey[District])</f>
        <v>#VALUE!</v>
      </c>
      <c r="I829" t="e" vm="9">
        <f>_xlfn.XLOOKUP(AllData[[#This Row],[Site Name]],LocationsKey[Site Name],LocationsKey[Town])</f>
        <v>#VALUE!</v>
      </c>
      <c r="J829" t="str">
        <f>_xlfn.XLOOKUP(AllData[[#This Row],[Site Name]],LocationsKey[Site Name], LocationsKey[Waterway])</f>
        <v>Stour</v>
      </c>
      <c r="K829" t="s">
        <v>163</v>
      </c>
      <c r="L829">
        <v>52.146642</v>
      </c>
      <c r="M829">
        <v>-1.700315</v>
      </c>
      <c r="N829" t="s">
        <v>29</v>
      </c>
      <c r="O829" s="127">
        <v>699</v>
      </c>
      <c r="P829">
        <v>17.100000000000001</v>
      </c>
      <c r="Q829" s="127">
        <v>5</v>
      </c>
      <c r="R829" s="7" t="str">
        <f>IF(AllData[[#This Row],[Nitrate (PPM)]]&gt;2, "Very high", IF(AllData[[#This Row],[Nitrate (PPM)]]&gt;1, "High", IF(AllData[[#This Row],[Nitrate (PPM)]]&gt;0.5, "Some evidence", IF(AllData[[#This Row],[Nitrate (PPM)]]&gt;=0, "No evidence"))))</f>
        <v>Very high</v>
      </c>
      <c r="S829" s="133">
        <v>0.28999999999999998</v>
      </c>
      <c r="T829" s="7" t="str">
        <f>IF(AllData[[#This Row],[Phosphate (PPM)]]&gt;0.5, "Very high", IF(AllData[[#This Row],[Phosphate (PPM)]]&gt;0.1, "High", IF(AllData[[#This Row],[Phosphate (PPM)]]&gt;0.05, "Some evidence", IF(AllData[[#This Row],[Phosphate (PPM)]]&lt;=0.05, "No Evidence", ""))))</f>
        <v>High</v>
      </c>
      <c r="U829">
        <v>1.25</v>
      </c>
    </row>
    <row r="830" spans="1:22" x14ac:dyDescent="0.25">
      <c r="A830" t="s">
        <v>1143</v>
      </c>
      <c r="B830" s="2">
        <v>45430</v>
      </c>
      <c r="C830" s="2" t="str" cm="1">
        <f t="array" ref="C8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0">
        <f>YEAR(AllData[[#This Row],[Date]])</f>
        <v>2024</v>
      </c>
      <c r="E830" s="1">
        <v>0.73541666666666672</v>
      </c>
      <c r="F830" s="2" t="str">
        <f>IF(AND(AllData[[#This Row],[Time]]&lt;0.5, AllData[[#This Row],[Time]]&gt;0.17)=TRUE, "Morning", IF(AND(AllData[[#This Row],[Time]]&lt;0.75, AllData[[#This Row],[Time]]&gt;=0.5)=TRUE, "Afternoon", IF(AND(AllData[[#This Row],[Time]]&lt;1, AllData[[#This Row],[Time]]&gt;=0.75)=TRUE, "Evening", "Night")))</f>
        <v>Afternoon</v>
      </c>
      <c r="G830" t="str">
        <f>_xlfn.XLOOKUP(AllData[[#This Row],[Location Name]], Locations[Location Name],Locations[Group As])</f>
        <v>Black Bear</v>
      </c>
      <c r="H830" t="e" vm="1">
        <f>_xlfn.XLOOKUP(AllData[[#This Row],[Site Name]],LocationsKey[Site Name],LocationsKey[District])</f>
        <v>#VALUE!</v>
      </c>
      <c r="I830" t="e" vm="1">
        <f>_xlfn.XLOOKUP(AllData[[#This Row],[Site Name]],LocationsKey[Site Name],LocationsKey[Town])</f>
        <v>#VALUE!</v>
      </c>
      <c r="J830" t="str">
        <f>_xlfn.XLOOKUP(AllData[[#This Row],[Site Name]],LocationsKey[Site Name], LocationsKey[Waterway])</f>
        <v>Avon</v>
      </c>
      <c r="K830" t="s">
        <v>567</v>
      </c>
      <c r="L830">
        <v>51.997385999999999</v>
      </c>
      <c r="M830">
        <v>-2.1561940000000002</v>
      </c>
      <c r="N830" t="s">
        <v>23</v>
      </c>
      <c r="O830" s="127">
        <v>917</v>
      </c>
      <c r="P830">
        <v>19.5</v>
      </c>
      <c r="Q830" s="127">
        <v>8</v>
      </c>
      <c r="R830" s="7" t="str">
        <f>IF(AllData[[#This Row],[Nitrate (PPM)]]&gt;2, "Very high", IF(AllData[[#This Row],[Nitrate (PPM)]]&gt;1, "High", IF(AllData[[#This Row],[Nitrate (PPM)]]&gt;0.5, "Some evidence", IF(AllData[[#This Row],[Nitrate (PPM)]]&gt;=0, "No evidence"))))</f>
        <v>Very high</v>
      </c>
      <c r="S830" s="133">
        <v>0.54</v>
      </c>
      <c r="T830" s="7" t="str">
        <f>IF(AllData[[#This Row],[Phosphate (PPM)]]&gt;0.5, "Very high", IF(AllData[[#This Row],[Phosphate (PPM)]]&gt;0.1, "High", IF(AllData[[#This Row],[Phosphate (PPM)]]&gt;0.05, "Some evidence", IF(AllData[[#This Row],[Phosphate (PPM)]]&lt;=0.05, "No Evidence", ""))))</f>
        <v>Very high</v>
      </c>
      <c r="U830">
        <v>0</v>
      </c>
    </row>
    <row r="831" spans="1:22" x14ac:dyDescent="0.25">
      <c r="A831" t="s">
        <v>1145</v>
      </c>
      <c r="B831" s="2">
        <v>45431</v>
      </c>
      <c r="C831" s="2" t="str" cm="1">
        <f t="array" ref="C8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1">
        <f>YEAR(AllData[[#This Row],[Date]])</f>
        <v>2024</v>
      </c>
      <c r="E831" s="1">
        <v>0.5</v>
      </c>
      <c r="F831" s="2" t="str">
        <f>IF(AND(AllData[[#This Row],[Time]]&lt;0.5, AllData[[#This Row],[Time]]&gt;0.17)=TRUE, "Morning", IF(AND(AllData[[#This Row],[Time]]&lt;0.75, AllData[[#This Row],[Time]]&gt;=0.5)=TRUE, "Afternoon", IF(AND(AllData[[#This Row],[Time]]&lt;1, AllData[[#This Row],[Time]]&gt;=0.75)=TRUE, "Evening", "Night")))</f>
        <v>Afternoon</v>
      </c>
      <c r="G831" t="str">
        <f>_xlfn.XLOOKUP(AllData[[#This Row],[Location Name]], Locations[Location Name],Locations[Group As])</f>
        <v>Carrant Bredon Rd</v>
      </c>
      <c r="H831" t="e" vm="1">
        <f>_xlfn.XLOOKUP(AllData[[#This Row],[Site Name]],LocationsKey[Site Name],LocationsKey[District])</f>
        <v>#VALUE!</v>
      </c>
      <c r="I831" t="e" vm="1">
        <f>_xlfn.XLOOKUP(AllData[[#This Row],[Site Name]],LocationsKey[Site Name],LocationsKey[Town])</f>
        <v>#VALUE!</v>
      </c>
      <c r="J831" t="str">
        <f>_xlfn.XLOOKUP(AllData[[#This Row],[Site Name]],LocationsKey[Site Name], LocationsKey[Waterway])</f>
        <v>Carrant</v>
      </c>
      <c r="K831" t="s">
        <v>600</v>
      </c>
      <c r="L831">
        <v>51.996167</v>
      </c>
      <c r="M831">
        <v>-2.156129</v>
      </c>
      <c r="N831" t="s">
        <v>23</v>
      </c>
      <c r="O831" s="127">
        <v>741</v>
      </c>
      <c r="P831">
        <v>16.399999999999999</v>
      </c>
      <c r="Q831" s="127">
        <v>6</v>
      </c>
      <c r="R831" s="7" t="str">
        <f>IF(AllData[[#This Row],[Nitrate (PPM)]]&gt;2, "Very high", IF(AllData[[#This Row],[Nitrate (PPM)]]&gt;1, "High", IF(AllData[[#This Row],[Nitrate (PPM)]]&gt;0.5, "Some evidence", IF(AllData[[#This Row],[Nitrate (PPM)]]&gt;=0, "No evidence"))))</f>
        <v>Very high</v>
      </c>
      <c r="S831" s="133">
        <v>0.31</v>
      </c>
      <c r="T831" s="7" t="str">
        <f>IF(AllData[[#This Row],[Phosphate (PPM)]]&gt;0.5, "Very high", IF(AllData[[#This Row],[Phosphate (PPM)]]&gt;0.1, "High", IF(AllData[[#This Row],[Phosphate (PPM)]]&gt;0.05, "Some evidence", IF(AllData[[#This Row],[Phosphate (PPM)]]&lt;=0.05, "No Evidence", ""))))</f>
        <v>High</v>
      </c>
      <c r="U831">
        <v>0.05</v>
      </c>
    </row>
    <row r="832" spans="1:22" x14ac:dyDescent="0.25">
      <c r="A832" t="s">
        <v>1146</v>
      </c>
      <c r="B832" s="2">
        <v>45431</v>
      </c>
      <c r="C832" s="2" t="str" cm="1">
        <f t="array" ref="C8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2">
        <f>YEAR(AllData[[#This Row],[Date]])</f>
        <v>2024</v>
      </c>
      <c r="E832" s="1">
        <v>0.58333333333333337</v>
      </c>
      <c r="F832" s="2" t="str">
        <f>IF(AND(AllData[[#This Row],[Time]]&lt;0.5, AllData[[#This Row],[Time]]&gt;0.17)=TRUE, "Morning", IF(AND(AllData[[#This Row],[Time]]&lt;0.75, AllData[[#This Row],[Time]]&gt;=0.5)=TRUE, "Afternoon", IF(AND(AllData[[#This Row],[Time]]&lt;1, AllData[[#This Row],[Time]]&gt;=0.75)=TRUE, "Evening", "Night")))</f>
        <v>Afternoon</v>
      </c>
      <c r="G832" t="str">
        <f>_xlfn.XLOOKUP(AllData[[#This Row],[Location Name]], Locations[Location Name],Locations[Group As])</f>
        <v>Clifford Chambers Mill Bridge</v>
      </c>
      <c r="H832" t="e" vm="2">
        <f>_xlfn.XLOOKUP(AllData[[#This Row],[Site Name]],LocationsKey[Site Name],LocationsKey[District])</f>
        <v>#VALUE!</v>
      </c>
      <c r="I832" t="e" vm="12">
        <f>_xlfn.XLOOKUP(AllData[[#This Row],[Site Name]],LocationsKey[Site Name],LocationsKey[Town])</f>
        <v>#VALUE!</v>
      </c>
      <c r="J832" t="str">
        <f>_xlfn.XLOOKUP(AllData[[#This Row],[Site Name]],LocationsKey[Site Name], LocationsKey[Waterway])</f>
        <v>Stour</v>
      </c>
      <c r="K832" t="s">
        <v>263</v>
      </c>
      <c r="N832" t="s">
        <v>66</v>
      </c>
      <c r="O832" s="220">
        <v>693</v>
      </c>
      <c r="P832">
        <v>19.2</v>
      </c>
      <c r="Q832" s="220">
        <v>8</v>
      </c>
      <c r="R832" s="7" t="str">
        <f>IF(AllData[[#This Row],[Nitrate (PPM)]]&gt;2, "Very high", IF(AllData[[#This Row],[Nitrate (PPM)]]&gt;1, "High", IF(AllData[[#This Row],[Nitrate (PPM)]]&gt;0.5, "Some evidence", IF(AllData[[#This Row],[Nitrate (PPM)]]&gt;=0, "No evidence"))))</f>
        <v>Very high</v>
      </c>
      <c r="S832" s="222">
        <v>0.19</v>
      </c>
      <c r="T832" s="7" t="str">
        <f>IF(AllData[[#This Row],[Phosphate (PPM)]]&gt;0.5, "Very high", IF(AllData[[#This Row],[Phosphate (PPM)]]&gt;0.1, "High", IF(AllData[[#This Row],[Phosphate (PPM)]]&gt;0.05, "Some evidence", IF(AllData[[#This Row],[Phosphate (PPM)]]&lt;=0.05, "No Evidence", ""))))</f>
        <v>High</v>
      </c>
      <c r="U832">
        <v>0.6</v>
      </c>
    </row>
    <row r="833" spans="1:22" x14ac:dyDescent="0.25">
      <c r="A833" t="s">
        <v>1149</v>
      </c>
      <c r="B833" s="2">
        <v>45432</v>
      </c>
      <c r="C833" s="2" t="str" cm="1">
        <f t="array" ref="C8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3">
        <f>YEAR(AllData[[#This Row],[Date]])</f>
        <v>2024</v>
      </c>
      <c r="E833" s="1">
        <v>0.38541666666666669</v>
      </c>
      <c r="F833" s="2" t="str">
        <f>IF(AND(AllData[[#This Row],[Time]]&lt;0.5, AllData[[#This Row],[Time]]&gt;0.17)=TRUE, "Morning", IF(AND(AllData[[#This Row],[Time]]&lt;0.75, AllData[[#This Row],[Time]]&gt;=0.5)=TRUE, "Afternoon", IF(AND(AllData[[#This Row],[Time]]&lt;1, AllData[[#This Row],[Time]]&gt;=0.75)=TRUE, "Evening", "Night")))</f>
        <v>Morning</v>
      </c>
      <c r="G833" t="str">
        <f>_xlfn.XLOOKUP(AllData[[#This Row],[Location Name]], Locations[Location Name],Locations[Group As])</f>
        <v>Sherbourne Brook 1</v>
      </c>
      <c r="H833" t="e" vm="2">
        <f>_xlfn.XLOOKUP(AllData[[#This Row],[Site Name]],LocationsKey[Site Name],LocationsKey[District])</f>
        <v>#VALUE!</v>
      </c>
      <c r="I833" t="e" vm="16">
        <f>_xlfn.XLOOKUP(AllData[[#This Row],[Site Name]],LocationsKey[Site Name],LocationsKey[Town])</f>
        <v>#VALUE!</v>
      </c>
      <c r="J833" t="str">
        <f>_xlfn.XLOOKUP(AllData[[#This Row],[Site Name]],LocationsKey[Site Name], LocationsKey[Waterway])</f>
        <v>Sherbourne Brook</v>
      </c>
      <c r="K833" t="s">
        <v>570</v>
      </c>
      <c r="L833">
        <v>52.252499999999998</v>
      </c>
      <c r="M833">
        <v>-1.6685000000000001</v>
      </c>
      <c r="N833" t="s">
        <v>23</v>
      </c>
      <c r="O833">
        <v>1100</v>
      </c>
      <c r="P833">
        <v>13.2</v>
      </c>
      <c r="Q833">
        <v>10</v>
      </c>
      <c r="R833" s="7" t="str">
        <f>IF(AllData[[#This Row],[Nitrate (PPM)]]&gt;2, "Very high", IF(AllData[[#This Row],[Nitrate (PPM)]]&gt;1, "High", IF(AllData[[#This Row],[Nitrate (PPM)]]&gt;0.5, "Some evidence", IF(AllData[[#This Row],[Nitrate (PPM)]]&gt;=0, "No evidence"))))</f>
        <v>Very high</v>
      </c>
      <c r="S833" s="4">
        <v>0.52</v>
      </c>
      <c r="T833" s="7" t="str">
        <f>IF(AllData[[#This Row],[Phosphate (PPM)]]&gt;0.5, "Very high", IF(AllData[[#This Row],[Phosphate (PPM)]]&gt;0.1, "High", IF(AllData[[#This Row],[Phosphate (PPM)]]&gt;0.05, "Some evidence", IF(AllData[[#This Row],[Phosphate (PPM)]]&lt;=0.05, "No Evidence", ""))))</f>
        <v>Very high</v>
      </c>
      <c r="U833">
        <v>0.2</v>
      </c>
    </row>
    <row r="834" spans="1:22" x14ac:dyDescent="0.25">
      <c r="A834" t="s">
        <v>1147</v>
      </c>
      <c r="B834" s="2">
        <v>45432</v>
      </c>
      <c r="C834" s="2" t="str" cm="1">
        <f t="array" ref="C8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4">
        <f>YEAR(AllData[[#This Row],[Date]])</f>
        <v>2024</v>
      </c>
      <c r="E834" s="1">
        <v>0.39583333333333331</v>
      </c>
      <c r="F834" s="2" t="str">
        <f>IF(AND(AllData[[#This Row],[Time]]&lt;0.5, AllData[[#This Row],[Time]]&gt;0.17)=TRUE, "Morning", IF(AND(AllData[[#This Row],[Time]]&lt;0.75, AllData[[#This Row],[Time]]&gt;=0.5)=TRUE, "Afternoon", IF(AND(AllData[[#This Row],[Time]]&lt;1, AllData[[#This Row],[Time]]&gt;=0.75)=TRUE, "Evening", "Night")))</f>
        <v>Morning</v>
      </c>
      <c r="G834" t="str">
        <f>_xlfn.XLOOKUP(AllData[[#This Row],[Location Name]], Locations[Location Name],Locations[Group As])</f>
        <v>Bell Brook 1</v>
      </c>
      <c r="H834" t="e" vm="2">
        <f>_xlfn.XLOOKUP(AllData[[#This Row],[Site Name]],LocationsKey[Site Name],LocationsKey[District])</f>
        <v>#VALUE!</v>
      </c>
      <c r="I834" t="e" vm="15">
        <f>_xlfn.XLOOKUP(AllData[[#This Row],[Site Name]],LocationsKey[Site Name],LocationsKey[Town])</f>
        <v>#VALUE!</v>
      </c>
      <c r="J834" t="str">
        <f>_xlfn.XLOOKUP(AllData[[#This Row],[Site Name]],LocationsKey[Site Name], LocationsKey[Waterway])</f>
        <v>Bell Brook</v>
      </c>
      <c r="K834" t="s">
        <v>534</v>
      </c>
      <c r="L834">
        <v>52.244900000000001</v>
      </c>
      <c r="M834">
        <v>-1.6617</v>
      </c>
      <c r="N834" t="s">
        <v>23</v>
      </c>
      <c r="O834">
        <v>823</v>
      </c>
      <c r="P834">
        <v>14.4</v>
      </c>
      <c r="Q834">
        <v>6</v>
      </c>
      <c r="R834" s="7" t="str">
        <f>IF(AllData[[#This Row],[Nitrate (PPM)]]&gt;2, "Very high", IF(AllData[[#This Row],[Nitrate (PPM)]]&gt;1, "High", IF(AllData[[#This Row],[Nitrate (PPM)]]&gt;0.5, "Some evidence", IF(AllData[[#This Row],[Nitrate (PPM)]]&gt;=0, "No evidence"))))</f>
        <v>Very high</v>
      </c>
      <c r="S834" s="4">
        <v>0.41</v>
      </c>
      <c r="T834" s="7" t="str">
        <f>IF(AllData[[#This Row],[Phosphate (PPM)]]&gt;0.5, "Very high", IF(AllData[[#This Row],[Phosphate (PPM)]]&gt;0.1, "High", IF(AllData[[#This Row],[Phosphate (PPM)]]&gt;0.05, "Some evidence", IF(AllData[[#This Row],[Phosphate (PPM)]]&lt;=0.05, "No Evidence", ""))))</f>
        <v>High</v>
      </c>
      <c r="U834">
        <v>0.2</v>
      </c>
      <c r="V834" t="s">
        <v>1148</v>
      </c>
    </row>
    <row r="835" spans="1:22" x14ac:dyDescent="0.25">
      <c r="A835" t="s">
        <v>1772</v>
      </c>
      <c r="B835" s="2">
        <v>45432</v>
      </c>
      <c r="C835" s="2" t="str" cm="1">
        <f t="array" ref="C8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5">
        <f>YEAR(AllData[[#This Row],[Date]])</f>
        <v>2024</v>
      </c>
      <c r="F835" s="2" t="str">
        <f>IF(AND(AllData[[#This Row],[Time]]&lt;0.5, AllData[[#This Row],[Time]]&gt;0.17)=TRUE, "Morning", IF(AND(AllData[[#This Row],[Time]]&lt;0.75, AllData[[#This Row],[Time]]&gt;=0.5)=TRUE, "Afternoon", IF(AND(AllData[[#This Row],[Time]]&lt;1, AllData[[#This Row],[Time]]&gt;=0.75)=TRUE, "Evening", "Night")))</f>
        <v>Night</v>
      </c>
      <c r="G835" t="str">
        <f>_xlfn.XLOOKUP(AllData[[#This Row],[Location Name]], Locations[Location Name],Locations[Group As])</f>
        <v>Site 1  :  Middle Street</v>
      </c>
      <c r="H835" t="e" vm="2">
        <f>_xlfn.XLOOKUP(AllData[[#This Row],[Site Name]],LocationsKey[Site Name],LocationsKey[District])</f>
        <v>#VALUE!</v>
      </c>
      <c r="I835" t="e" vm="11">
        <f>_xlfn.XLOOKUP(AllData[[#This Row],[Site Name]],LocationsKey[Site Name],LocationsKey[Town])</f>
        <v>#VALUE!</v>
      </c>
      <c r="J835" t="str">
        <f>_xlfn.XLOOKUP(AllData[[#This Row],[Site Name]],LocationsKey[Site Name], LocationsKey[Waterway])</f>
        <v>Fosseway Brook</v>
      </c>
      <c r="K835" t="s">
        <v>1859</v>
      </c>
      <c r="L835">
        <v>52.090052999999997</v>
      </c>
      <c r="M835">
        <v>-1.692628</v>
      </c>
      <c r="N835" t="s">
        <v>66</v>
      </c>
      <c r="O835">
        <v>612</v>
      </c>
      <c r="P835">
        <v>20.3</v>
      </c>
      <c r="Q835">
        <v>2</v>
      </c>
      <c r="R835" s="7" t="str">
        <f>IF(AllData[[#This Row],[Nitrate (PPM)]]&gt;2, "Very high", IF(AllData[[#This Row],[Nitrate (PPM)]]&gt;1, "High", IF(AllData[[#This Row],[Nitrate (PPM)]]&gt;0.5, "Some evidence", IF(AllData[[#This Row],[Nitrate (PPM)]]&gt;=0, "No evidence"))))</f>
        <v>High</v>
      </c>
      <c r="S835" s="4">
        <v>0.35</v>
      </c>
      <c r="T835" s="7" t="str">
        <f>IF(AllData[[#This Row],[Phosphate (PPM)]]&gt;0.5, "Very high", IF(AllData[[#This Row],[Phosphate (PPM)]]&gt;0.1, "High", IF(AllData[[#This Row],[Phosphate (PPM)]]&gt;0.05, "Some evidence", IF(AllData[[#This Row],[Phosphate (PPM)]]&lt;=0.05, "No Evidence", ""))))</f>
        <v>High</v>
      </c>
      <c r="U835">
        <v>0</v>
      </c>
      <c r="V835" t="s">
        <v>1913</v>
      </c>
    </row>
    <row r="836" spans="1:22" x14ac:dyDescent="0.25">
      <c r="A836" t="s">
        <v>1422</v>
      </c>
      <c r="B836" s="2">
        <v>45432</v>
      </c>
      <c r="C836" s="2" t="str" cm="1">
        <f t="array" ref="C8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6">
        <f>YEAR(AllData[[#This Row],[Date]])</f>
        <v>2024</v>
      </c>
      <c r="E836" s="1"/>
      <c r="F836" s="2" t="str">
        <f>IF(AND(AllData[[#This Row],[Time]]&lt;0.5, AllData[[#This Row],[Time]]&gt;0.17)=TRUE, "Morning", IF(AND(AllData[[#This Row],[Time]]&lt;0.75, AllData[[#This Row],[Time]]&gt;=0.5)=TRUE, "Afternoon", IF(AND(AllData[[#This Row],[Time]]&lt;1, AllData[[#This Row],[Time]]&gt;=0.75)=TRUE, "Evening", "Night")))</f>
        <v>Night</v>
      </c>
      <c r="G836" t="str">
        <f>_xlfn.XLOOKUP(AllData[[#This Row],[Location Name]], Locations[Location Name],Locations[Group As])</f>
        <v>Site 1  :  Middle Street</v>
      </c>
      <c r="H836" t="e" vm="2">
        <f>_xlfn.XLOOKUP(AllData[[#This Row],[Site Name]],LocationsKey[Site Name],LocationsKey[District])</f>
        <v>#VALUE!</v>
      </c>
      <c r="I836" t="e" vm="11">
        <f>_xlfn.XLOOKUP(AllData[[#This Row],[Site Name]],LocationsKey[Site Name],LocationsKey[Town])</f>
        <v>#VALUE!</v>
      </c>
      <c r="J836" t="str">
        <f>_xlfn.XLOOKUP(AllData[[#This Row],[Site Name]],LocationsKey[Site Name], LocationsKey[Waterway])</f>
        <v>Fosseway Brook</v>
      </c>
      <c r="K836" t="s">
        <v>1373</v>
      </c>
      <c r="L836">
        <v>52.090052999999997</v>
      </c>
      <c r="M836">
        <v>-1.692628</v>
      </c>
      <c r="N836" t="s">
        <v>66</v>
      </c>
      <c r="O836">
        <v>612</v>
      </c>
      <c r="P836">
        <v>20.3</v>
      </c>
      <c r="Q836">
        <v>2</v>
      </c>
      <c r="R836" s="7" t="str">
        <f>IF(AllData[[#This Row],[Nitrate (PPM)]]&gt;2, "Very high", IF(AllData[[#This Row],[Nitrate (PPM)]]&gt;1, "High", IF(AllData[[#This Row],[Nitrate (PPM)]]&gt;0.5, "Some evidence", IF(AllData[[#This Row],[Nitrate (PPM)]]&gt;=0, "No evidence"))))</f>
        <v>High</v>
      </c>
      <c r="S836" s="4">
        <v>0.35</v>
      </c>
      <c r="T836" s="7" t="str">
        <f>IF(AllData[[#This Row],[Phosphate (PPM)]]&gt;0.5, "Very high", IF(AllData[[#This Row],[Phosphate (PPM)]]&gt;0.1, "High", IF(AllData[[#This Row],[Phosphate (PPM)]]&gt;0.05, "Some evidence", IF(AllData[[#This Row],[Phosphate (PPM)]]&lt;=0.05, "No Evidence", ""))))</f>
        <v>High</v>
      </c>
      <c r="V836" t="s">
        <v>1423</v>
      </c>
    </row>
    <row r="837" spans="1:22" x14ac:dyDescent="0.25">
      <c r="A837" t="s">
        <v>1770</v>
      </c>
      <c r="B837" s="2">
        <v>45432</v>
      </c>
      <c r="C837" s="2" t="str" cm="1">
        <f t="array" ref="C8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7">
        <f>YEAR(AllData[[#This Row],[Date]])</f>
        <v>2024</v>
      </c>
      <c r="F837" s="2" t="str">
        <f>IF(AND(AllData[[#This Row],[Time]]&lt;0.5, AllData[[#This Row],[Time]]&gt;0.17)=TRUE, "Morning", IF(AND(AllData[[#This Row],[Time]]&lt;0.75, AllData[[#This Row],[Time]]&gt;=0.5)=TRUE, "Afternoon", IF(AND(AllData[[#This Row],[Time]]&lt;1, AllData[[#This Row],[Time]]&gt;=0.75)=TRUE, "Evening", "Night")))</f>
        <v>Night</v>
      </c>
      <c r="G837" t="str">
        <f>_xlfn.XLOOKUP(AllData[[#This Row],[Location Name]], Locations[Location Name],Locations[Group As])</f>
        <v>Site 2  :  Cross Leys culvert</v>
      </c>
      <c r="H837" t="e" vm="2">
        <f>_xlfn.XLOOKUP(AllData[[#This Row],[Site Name]],LocationsKey[Site Name],LocationsKey[District])</f>
        <v>#VALUE!</v>
      </c>
      <c r="I837" t="e" vm="11">
        <f>_xlfn.XLOOKUP(AllData[[#This Row],[Site Name]],LocationsKey[Site Name],LocationsKey[Town])</f>
        <v>#VALUE!</v>
      </c>
      <c r="J837" t="str">
        <f>_xlfn.XLOOKUP(AllData[[#This Row],[Site Name]],LocationsKey[Site Name], LocationsKey[Waterway])</f>
        <v>Fosseway Brook</v>
      </c>
      <c r="K837" t="s">
        <v>1860</v>
      </c>
      <c r="L837">
        <v>52.093009000000002</v>
      </c>
      <c r="M837">
        <v>-1.68628</v>
      </c>
      <c r="N837" t="s">
        <v>66</v>
      </c>
      <c r="O837">
        <v>698</v>
      </c>
      <c r="P837">
        <v>17.5</v>
      </c>
      <c r="Q837">
        <v>2</v>
      </c>
      <c r="R837" s="7" t="str">
        <f>IF(AllData[[#This Row],[Nitrate (PPM)]]&gt;2, "Very high", IF(AllData[[#This Row],[Nitrate (PPM)]]&gt;1, "High", IF(AllData[[#This Row],[Nitrate (PPM)]]&gt;0.5, "Some evidence", IF(AllData[[#This Row],[Nitrate (PPM)]]&gt;=0, "No evidence"))))</f>
        <v>High</v>
      </c>
      <c r="S837" s="4">
        <v>0.96</v>
      </c>
      <c r="T837" s="7" t="str">
        <f>IF(AllData[[#This Row],[Phosphate (PPM)]]&gt;0.5, "Very high", IF(AllData[[#This Row],[Phosphate (PPM)]]&gt;0.1, "High", IF(AllData[[#This Row],[Phosphate (PPM)]]&gt;0.05, "Some evidence", IF(AllData[[#This Row],[Phosphate (PPM)]]&lt;=0.05, "No Evidence", ""))))</f>
        <v>Very high</v>
      </c>
      <c r="U837">
        <v>0</v>
      </c>
      <c r="V837" t="s">
        <v>1911</v>
      </c>
    </row>
    <row r="838" spans="1:22" x14ac:dyDescent="0.25">
      <c r="A838" t="s">
        <v>1425</v>
      </c>
      <c r="B838" s="2">
        <v>45432</v>
      </c>
      <c r="C838" s="2" t="str" cm="1">
        <f t="array" ref="C8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8">
        <f>YEAR(AllData[[#This Row],[Date]])</f>
        <v>2024</v>
      </c>
      <c r="E838" s="1"/>
      <c r="F838" s="2" t="str">
        <f>IF(AND(AllData[[#This Row],[Time]]&lt;0.5, AllData[[#This Row],[Time]]&gt;0.17)=TRUE, "Morning", IF(AND(AllData[[#This Row],[Time]]&lt;0.75, AllData[[#This Row],[Time]]&gt;=0.5)=TRUE, "Afternoon", IF(AND(AllData[[#This Row],[Time]]&lt;1, AllData[[#This Row],[Time]]&gt;=0.75)=TRUE, "Evening", "Night")))</f>
        <v>Night</v>
      </c>
      <c r="G838" t="str">
        <f>_xlfn.XLOOKUP(AllData[[#This Row],[Location Name]], Locations[Location Name],Locations[Group As])</f>
        <v>Site 2  :  Cross Leys culvert</v>
      </c>
      <c r="H838" t="e" vm="2">
        <f>_xlfn.XLOOKUP(AllData[[#This Row],[Site Name]],LocationsKey[Site Name],LocationsKey[District])</f>
        <v>#VALUE!</v>
      </c>
      <c r="I838" t="e" vm="11">
        <f>_xlfn.XLOOKUP(AllData[[#This Row],[Site Name]],LocationsKey[Site Name],LocationsKey[Town])</f>
        <v>#VALUE!</v>
      </c>
      <c r="J838" t="str">
        <f>_xlfn.XLOOKUP(AllData[[#This Row],[Site Name]],LocationsKey[Site Name], LocationsKey[Waterway])</f>
        <v>Fosseway Brook</v>
      </c>
      <c r="K838" t="s">
        <v>1371</v>
      </c>
      <c r="L838">
        <v>52.093009000000002</v>
      </c>
      <c r="M838">
        <v>-1.68628</v>
      </c>
      <c r="N838" t="s">
        <v>66</v>
      </c>
      <c r="O838">
        <v>698</v>
      </c>
      <c r="P838">
        <v>17.5</v>
      </c>
      <c r="Q838">
        <v>2</v>
      </c>
      <c r="R838" s="7" t="str">
        <f>IF(AllData[[#This Row],[Nitrate (PPM)]]&gt;2, "Very high", IF(AllData[[#This Row],[Nitrate (PPM)]]&gt;1, "High", IF(AllData[[#This Row],[Nitrate (PPM)]]&gt;0.5, "Some evidence", IF(AllData[[#This Row],[Nitrate (PPM)]]&gt;=0, "No evidence"))))</f>
        <v>High</v>
      </c>
      <c r="S838" s="4">
        <v>0.96</v>
      </c>
      <c r="T838" s="7" t="str">
        <f>IF(AllData[[#This Row],[Phosphate (PPM)]]&gt;0.5, "Very high", IF(AllData[[#This Row],[Phosphate (PPM)]]&gt;0.1, "High", IF(AllData[[#This Row],[Phosphate (PPM)]]&gt;0.05, "Some evidence", IF(AllData[[#This Row],[Phosphate (PPM)]]&lt;=0.05, "No Evidence", ""))))</f>
        <v>Very high</v>
      </c>
      <c r="V838" t="s">
        <v>1426</v>
      </c>
    </row>
    <row r="839" spans="1:22" x14ac:dyDescent="0.25">
      <c r="A839" t="s">
        <v>1771</v>
      </c>
      <c r="B839" s="2">
        <v>45432</v>
      </c>
      <c r="C839" s="2" t="str" cm="1">
        <f t="array" ref="C8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9">
        <f>YEAR(AllData[[#This Row],[Date]])</f>
        <v>2024</v>
      </c>
      <c r="F839" s="2" t="str">
        <f>IF(AND(AllData[[#This Row],[Time]]&lt;0.5, AllData[[#This Row],[Time]]&gt;0.17)=TRUE, "Morning", IF(AND(AllData[[#This Row],[Time]]&lt;0.75, AllData[[#This Row],[Time]]&gt;=0.5)=TRUE, "Afternoon", IF(AND(AllData[[#This Row],[Time]]&lt;1, AllData[[#This Row],[Time]]&gt;=0.75)=TRUE, "Evening", "Night")))</f>
        <v>Night</v>
      </c>
      <c r="G839" t="str">
        <f>_xlfn.XLOOKUP(AllData[[#This Row],[Location Name]], Locations[Location Name],Locations[Group As])</f>
        <v>Site 3  :  Severn Trent Water processing plant outflow</v>
      </c>
      <c r="H839" t="e" vm="2">
        <f>_xlfn.XLOOKUP(AllData[[#This Row],[Site Name]],LocationsKey[Site Name],LocationsKey[District])</f>
        <v>#VALUE!</v>
      </c>
      <c r="I839" t="e" vm="11">
        <f>_xlfn.XLOOKUP(AllData[[#This Row],[Site Name]],LocationsKey[Site Name],LocationsKey[Town])</f>
        <v>#VALUE!</v>
      </c>
      <c r="J839" t="str">
        <f>_xlfn.XLOOKUP(AllData[[#This Row],[Site Name]],LocationsKey[Site Name], LocationsKey[Waterway])</f>
        <v>Fosseway Brook</v>
      </c>
      <c r="K839" t="s">
        <v>1861</v>
      </c>
      <c r="L839">
        <v>52.094475000000003</v>
      </c>
      <c r="M839">
        <v>-1.6758839999999999</v>
      </c>
      <c r="N839" t="s">
        <v>29</v>
      </c>
      <c r="O839">
        <v>903</v>
      </c>
      <c r="P839">
        <v>16.5</v>
      </c>
      <c r="Q839">
        <v>5</v>
      </c>
      <c r="R839" s="7" t="str">
        <f>IF(AllData[[#This Row],[Nitrate (PPM)]]&gt;2, "Very high", IF(AllData[[#This Row],[Nitrate (PPM)]]&gt;1, "High", IF(AllData[[#This Row],[Nitrate (PPM)]]&gt;0.5, "Some evidence", IF(AllData[[#This Row],[Nitrate (PPM)]]&gt;=0, "No evidence"))))</f>
        <v>Very high</v>
      </c>
      <c r="S839" s="4">
        <v>2.5</v>
      </c>
      <c r="T839" s="7" t="str">
        <f>IF(AllData[[#This Row],[Phosphate (PPM)]]&gt;0.5, "Very high", IF(AllData[[#This Row],[Phosphate (PPM)]]&gt;0.1, "High", IF(AllData[[#This Row],[Phosphate (PPM)]]&gt;0.05, "Some evidence", IF(AllData[[#This Row],[Phosphate (PPM)]]&lt;=0.05, "No Evidence", ""))))</f>
        <v>Very high</v>
      </c>
      <c r="U839">
        <v>0</v>
      </c>
      <c r="V839" t="s">
        <v>1912</v>
      </c>
    </row>
    <row r="840" spans="1:22" x14ac:dyDescent="0.25">
      <c r="A840" t="s">
        <v>1424</v>
      </c>
      <c r="B840" s="2">
        <v>45432</v>
      </c>
      <c r="C840" s="2" t="str" cm="1">
        <f t="array" ref="C8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0">
        <f>YEAR(AllData[[#This Row],[Date]])</f>
        <v>2024</v>
      </c>
      <c r="E840" s="1"/>
      <c r="F840" s="2" t="str">
        <f>IF(AND(AllData[[#This Row],[Time]]&lt;0.5, AllData[[#This Row],[Time]]&gt;0.17)=TRUE, "Morning", IF(AND(AllData[[#This Row],[Time]]&lt;0.75, AllData[[#This Row],[Time]]&gt;=0.5)=TRUE, "Afternoon", IF(AND(AllData[[#This Row],[Time]]&lt;1, AllData[[#This Row],[Time]]&gt;=0.75)=TRUE, "Evening", "Night")))</f>
        <v>Night</v>
      </c>
      <c r="G840" t="str">
        <f>_xlfn.XLOOKUP(AllData[[#This Row],[Location Name]], Locations[Location Name],Locations[Group As])</f>
        <v>Site 3  :  Severn Trent Water processing plant outflow</v>
      </c>
      <c r="H840" t="e" vm="2">
        <f>_xlfn.XLOOKUP(AllData[[#This Row],[Site Name]],LocationsKey[Site Name],LocationsKey[District])</f>
        <v>#VALUE!</v>
      </c>
      <c r="I840" t="e" vm="11">
        <f>_xlfn.XLOOKUP(AllData[[#This Row],[Site Name]],LocationsKey[Site Name],LocationsKey[Town])</f>
        <v>#VALUE!</v>
      </c>
      <c r="J840" t="str">
        <f>_xlfn.XLOOKUP(AllData[[#This Row],[Site Name]],LocationsKey[Site Name], LocationsKey[Waterway])</f>
        <v>Fosseway Brook</v>
      </c>
      <c r="K840" t="s">
        <v>1368</v>
      </c>
      <c r="L840">
        <v>52.094475000000003</v>
      </c>
      <c r="M840">
        <v>-1.6758839999999999</v>
      </c>
      <c r="N840" t="s">
        <v>29</v>
      </c>
      <c r="O840">
        <v>903</v>
      </c>
      <c r="P840">
        <v>16.5</v>
      </c>
      <c r="Q840">
        <v>5</v>
      </c>
      <c r="R840" s="7" t="str">
        <f>IF(AllData[[#This Row],[Nitrate (PPM)]]&gt;2, "Very high", IF(AllData[[#This Row],[Nitrate (PPM)]]&gt;1, "High", IF(AllData[[#This Row],[Nitrate (PPM)]]&gt;0.5, "Some evidence", IF(AllData[[#This Row],[Nitrate (PPM)]]&gt;=0, "No evidence"))))</f>
        <v>Very high</v>
      </c>
      <c r="S840" s="4">
        <v>2.5</v>
      </c>
      <c r="T840" s="7" t="str">
        <f>IF(AllData[[#This Row],[Phosphate (PPM)]]&gt;0.5, "Very high", IF(AllData[[#This Row],[Phosphate (PPM)]]&gt;0.1, "High", IF(AllData[[#This Row],[Phosphate (PPM)]]&gt;0.05, "Some evidence", IF(AllData[[#This Row],[Phosphate (PPM)]]&lt;=0.05, "No Evidence", ""))))</f>
        <v>Very high</v>
      </c>
    </row>
    <row r="841" spans="1:22" x14ac:dyDescent="0.25">
      <c r="A841" t="s">
        <v>1150</v>
      </c>
      <c r="B841" s="2">
        <v>45433</v>
      </c>
      <c r="C841" s="2" t="str" cm="1">
        <f t="array" ref="C8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1">
        <f>YEAR(AllData[[#This Row],[Date]])</f>
        <v>2024</v>
      </c>
      <c r="E841" s="1">
        <v>0.60833333333333328</v>
      </c>
      <c r="F841" s="2" t="str">
        <f>IF(AND(AllData[[#This Row],[Time]]&lt;0.5, AllData[[#This Row],[Time]]&gt;0.17)=TRUE, "Morning", IF(AND(AllData[[#This Row],[Time]]&lt;0.75, AllData[[#This Row],[Time]]&gt;=0.5)=TRUE, "Afternoon", IF(AND(AllData[[#This Row],[Time]]&lt;1, AllData[[#This Row],[Time]]&gt;=0.75)=TRUE, "Evening", "Night")))</f>
        <v>Afternoon</v>
      </c>
      <c r="G841" t="str">
        <f>_xlfn.XLOOKUP(AllData[[#This Row],[Location Name]], Locations[Location Name],Locations[Group As])</f>
        <v>Abbey Mill</v>
      </c>
      <c r="H841" t="e" vm="1">
        <f>_xlfn.XLOOKUP(AllData[[#This Row],[Site Name]],LocationsKey[Site Name],LocationsKey[District])</f>
        <v>#VALUE!</v>
      </c>
      <c r="I841" t="e" vm="1">
        <f>_xlfn.XLOOKUP(AllData[[#This Row],[Site Name]],LocationsKey[Site Name],LocationsKey[Town])</f>
        <v>#VALUE!</v>
      </c>
      <c r="J841" t="str">
        <f>_xlfn.XLOOKUP(AllData[[#This Row],[Site Name]],LocationsKey[Site Name], LocationsKey[Waterway])</f>
        <v>Avon</v>
      </c>
      <c r="K841" t="s">
        <v>25</v>
      </c>
      <c r="L841">
        <v>51.991301</v>
      </c>
      <c r="M841">
        <v>-2.1627369999999999</v>
      </c>
      <c r="N841" t="s">
        <v>23</v>
      </c>
      <c r="O841" s="127">
        <v>977</v>
      </c>
      <c r="P841">
        <v>18.5</v>
      </c>
      <c r="Q841" s="127">
        <v>7</v>
      </c>
      <c r="R841" s="7" t="str">
        <f>IF(AllData[[#This Row],[Nitrate (PPM)]]&gt;2, "Very high", IF(AllData[[#This Row],[Nitrate (PPM)]]&gt;1, "High", IF(AllData[[#This Row],[Nitrate (PPM)]]&gt;0.5, "Some evidence", IF(AllData[[#This Row],[Nitrate (PPM)]]&gt;=0, "No evidence"))))</f>
        <v>Very high</v>
      </c>
      <c r="S841" s="133">
        <v>0.67</v>
      </c>
      <c r="T841" s="7" t="str">
        <f>IF(AllData[[#This Row],[Phosphate (PPM)]]&gt;0.5, "Very high", IF(AllData[[#This Row],[Phosphate (PPM)]]&gt;0.1, "High", IF(AllData[[#This Row],[Phosphate (PPM)]]&gt;0.05, "Some evidence", IF(AllData[[#This Row],[Phosphate (PPM)]]&lt;=0.05, "No Evidence", ""))))</f>
        <v>Very high</v>
      </c>
      <c r="U841">
        <v>0.6</v>
      </c>
    </row>
    <row r="842" spans="1:22" x14ac:dyDescent="0.25">
      <c r="A842" t="s">
        <v>1151</v>
      </c>
      <c r="B842" s="2">
        <v>45434</v>
      </c>
      <c r="C842" s="2" t="str" cm="1">
        <f t="array" ref="C8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2">
        <f>YEAR(AllData[[#This Row],[Date]])</f>
        <v>2024</v>
      </c>
      <c r="E842" s="1">
        <v>0.68125000000000002</v>
      </c>
      <c r="F842" s="2" t="str">
        <f>IF(AND(AllData[[#This Row],[Time]]&lt;0.5, AllData[[#This Row],[Time]]&gt;0.17)=TRUE, "Morning", IF(AND(AllData[[#This Row],[Time]]&lt;0.75, AllData[[#This Row],[Time]]&gt;=0.5)=TRUE, "Afternoon", IF(AND(AllData[[#This Row],[Time]]&lt;1, AllData[[#This Row],[Time]]&gt;=0.75)=TRUE, "Evening", "Night")))</f>
        <v>Afternoon</v>
      </c>
      <c r="G842" t="str">
        <f>_xlfn.XLOOKUP(AllData[[#This Row],[Location Name]], Locations[Location Name],Locations[Group As])</f>
        <v>Alveston Weir</v>
      </c>
      <c r="H842" t="e" vm="2">
        <f>_xlfn.XLOOKUP(AllData[[#This Row],[Site Name]],LocationsKey[Site Name],LocationsKey[District])</f>
        <v>#VALUE!</v>
      </c>
      <c r="I842" t="e" vm="13">
        <f>_xlfn.XLOOKUP(AllData[[#This Row],[Site Name]],LocationsKey[Site Name],LocationsKey[Town])</f>
        <v>#VALUE!</v>
      </c>
      <c r="J842" t="str">
        <f>_xlfn.XLOOKUP(AllData[[#This Row],[Site Name]],LocationsKey[Site Name], LocationsKey[Waterway])</f>
        <v>Avon</v>
      </c>
      <c r="K842" t="s">
        <v>286</v>
      </c>
      <c r="L842">
        <v>52.212288999999998</v>
      </c>
      <c r="M842">
        <v>-1.660452</v>
      </c>
      <c r="N842" t="s">
        <v>29</v>
      </c>
      <c r="O842" s="127">
        <v>571</v>
      </c>
      <c r="P842">
        <v>16</v>
      </c>
      <c r="Q842" s="127">
        <v>5</v>
      </c>
      <c r="R842" s="7" t="str">
        <f>IF(AllData[[#This Row],[Nitrate (PPM)]]&gt;2, "Very high", IF(AllData[[#This Row],[Nitrate (PPM)]]&gt;1, "High", IF(AllData[[#This Row],[Nitrate (PPM)]]&gt;0.5, "Some evidence", IF(AllData[[#This Row],[Nitrate (PPM)]]&gt;=0, "No evidence"))))</f>
        <v>Very high</v>
      </c>
      <c r="S842" s="133">
        <v>0.65</v>
      </c>
      <c r="T842" s="7" t="str">
        <f>IF(AllData[[#This Row],[Phosphate (PPM)]]&gt;0.5, "Very high", IF(AllData[[#This Row],[Phosphate (PPM)]]&gt;0.1, "High", IF(AllData[[#This Row],[Phosphate (PPM)]]&gt;0.05, "Some evidence", IF(AllData[[#This Row],[Phosphate (PPM)]]&lt;=0.05, "No Evidence", ""))))</f>
        <v>Very high</v>
      </c>
      <c r="U842">
        <v>1.75</v>
      </c>
      <c r="V842" t="s">
        <v>1152</v>
      </c>
    </row>
    <row r="843" spans="1:22" x14ac:dyDescent="0.25">
      <c r="A843" t="s">
        <v>1153</v>
      </c>
      <c r="B843" s="2">
        <v>45434</v>
      </c>
      <c r="C843" s="2" t="str" cm="1">
        <f t="array" ref="C8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3">
        <f>YEAR(AllData[[#This Row],[Date]])</f>
        <v>2024</v>
      </c>
      <c r="E843" s="1">
        <v>0.6875</v>
      </c>
      <c r="F843" s="2" t="str">
        <f>IF(AND(AllData[[#This Row],[Time]]&lt;0.5, AllData[[#This Row],[Time]]&gt;0.17)=TRUE, "Morning", IF(AND(AllData[[#This Row],[Time]]&lt;0.75, AllData[[#This Row],[Time]]&gt;=0.5)=TRUE, "Afternoon", IF(AND(AllData[[#This Row],[Time]]&lt;1, AllData[[#This Row],[Time]]&gt;=0.75)=TRUE, "Evening", "Night")))</f>
        <v>Afternoon</v>
      </c>
      <c r="G843" t="str">
        <f>_xlfn.XLOOKUP(AllData[[#This Row],[Location Name]], Locations[Location Name],Locations[Group As])</f>
        <v>Stour Newbold Mill</v>
      </c>
      <c r="H843" t="e" vm="2">
        <f>_xlfn.XLOOKUP(AllData[[#This Row],[Site Name]],LocationsKey[Site Name],LocationsKey[District])</f>
        <v>#VALUE!</v>
      </c>
      <c r="I843" t="e" vm="8">
        <f>_xlfn.XLOOKUP(AllData[[#This Row],[Site Name]],LocationsKey[Site Name],LocationsKey[Town])</f>
        <v>#VALUE!</v>
      </c>
      <c r="J843" t="str">
        <f>_xlfn.XLOOKUP(AllData[[#This Row],[Site Name]],LocationsKey[Site Name], LocationsKey[Waterway])</f>
        <v>Stour</v>
      </c>
      <c r="K843" t="s">
        <v>140</v>
      </c>
      <c r="N843" t="s">
        <v>66</v>
      </c>
      <c r="O843">
        <v>397</v>
      </c>
      <c r="P843">
        <v>20</v>
      </c>
      <c r="Q843">
        <v>2</v>
      </c>
      <c r="R843" s="7" t="str">
        <f>IF(AllData[[#This Row],[Nitrate (PPM)]]&gt;2, "Very high", IF(AllData[[#This Row],[Nitrate (PPM)]]&gt;1, "High", IF(AllData[[#This Row],[Nitrate (PPM)]]&gt;0.5, "Some evidence", IF(AllData[[#This Row],[Nitrate (PPM)]]&gt;=0, "No evidence"))))</f>
        <v>High</v>
      </c>
      <c r="S843" s="4">
        <v>0.64</v>
      </c>
      <c r="T843" s="7" t="str">
        <f>IF(AllData[[#This Row],[Phosphate (PPM)]]&gt;0.5, "Very high", IF(AllData[[#This Row],[Phosphate (PPM)]]&gt;0.1, "High", IF(AllData[[#This Row],[Phosphate (PPM)]]&gt;0.05, "Some evidence", IF(AllData[[#This Row],[Phosphate (PPM)]]&lt;=0.05, "No Evidence", ""))))</f>
        <v>Very high</v>
      </c>
      <c r="U843">
        <v>4</v>
      </c>
      <c r="V843" t="s">
        <v>1154</v>
      </c>
    </row>
    <row r="844" spans="1:22" x14ac:dyDescent="0.25">
      <c r="A844" t="s">
        <v>1155</v>
      </c>
      <c r="B844" s="2">
        <v>45435</v>
      </c>
      <c r="C844" s="2" t="str" cm="1">
        <f t="array" ref="C8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4">
        <f>YEAR(AllData[[#This Row],[Date]])</f>
        <v>2024</v>
      </c>
      <c r="E844" s="1">
        <v>0.4375</v>
      </c>
      <c r="F844" s="2" t="str">
        <f>IF(AND(AllData[[#This Row],[Time]]&lt;0.5, AllData[[#This Row],[Time]]&gt;0.17)=TRUE, "Morning", IF(AND(AllData[[#This Row],[Time]]&lt;0.75, AllData[[#This Row],[Time]]&gt;=0.5)=TRUE, "Afternoon", IF(AND(AllData[[#This Row],[Time]]&lt;1, AllData[[#This Row],[Time]]&gt;=0.75)=TRUE, "Evening", "Night")))</f>
        <v>Morning</v>
      </c>
      <c r="G844" t="str">
        <f>_xlfn.XLOOKUP(AllData[[#This Row],[Location Name]], Locations[Location Name],Locations[Group As])</f>
        <v>Swilgate</v>
      </c>
      <c r="H844" t="e" vm="1">
        <f>_xlfn.XLOOKUP(AllData[[#This Row],[Site Name]],LocationsKey[Site Name],LocationsKey[District])</f>
        <v>#VALUE!</v>
      </c>
      <c r="I844" t="e" vm="1">
        <f>_xlfn.XLOOKUP(AllData[[#This Row],[Site Name]],LocationsKey[Site Name],LocationsKey[Town])</f>
        <v>#VALUE!</v>
      </c>
      <c r="J844" t="str">
        <f>_xlfn.XLOOKUP(AllData[[#This Row],[Site Name]],LocationsKey[Site Name], LocationsKey[Waterway])</f>
        <v>Swilgate</v>
      </c>
      <c r="K844" t="s">
        <v>84</v>
      </c>
      <c r="N844" t="s">
        <v>23</v>
      </c>
      <c r="O844" s="127">
        <v>607</v>
      </c>
      <c r="P844">
        <v>14.6</v>
      </c>
      <c r="Q844" s="127">
        <v>5</v>
      </c>
      <c r="R844" s="7" t="str">
        <f>IF(AllData[[#This Row],[Nitrate (PPM)]]&gt;2, "Very high", IF(AllData[[#This Row],[Nitrate (PPM)]]&gt;1, "High", IF(AllData[[#This Row],[Nitrate (PPM)]]&gt;0.5, "Some evidence", IF(AllData[[#This Row],[Nitrate (PPM)]]&gt;=0, "No evidence"))))</f>
        <v>Very high</v>
      </c>
      <c r="S844" s="133">
        <v>0.47</v>
      </c>
      <c r="T844" s="7" t="str">
        <f>IF(AllData[[#This Row],[Phosphate (PPM)]]&gt;0.5, "Very high", IF(AllData[[#This Row],[Phosphate (PPM)]]&gt;0.1, "High", IF(AllData[[#This Row],[Phosphate (PPM)]]&gt;0.05, "Some evidence", IF(AllData[[#This Row],[Phosphate (PPM)]]&lt;=0.05, "No Evidence", ""))))</f>
        <v>High</v>
      </c>
      <c r="U844">
        <v>0</v>
      </c>
    </row>
    <row r="845" spans="1:22" x14ac:dyDescent="0.25">
      <c r="A845" t="s">
        <v>1156</v>
      </c>
      <c r="B845" s="2">
        <v>45435</v>
      </c>
      <c r="C845" s="2" t="str" cm="1">
        <f t="array" ref="C8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5">
        <f>YEAR(AllData[[#This Row],[Date]])</f>
        <v>2024</v>
      </c>
      <c r="E845" s="1">
        <v>0.45694444444444443</v>
      </c>
      <c r="F845" s="2" t="str">
        <f>IF(AND(AllData[[#This Row],[Time]]&lt;0.5, AllData[[#This Row],[Time]]&gt;0.17)=TRUE, "Morning", IF(AND(AllData[[#This Row],[Time]]&lt;0.75, AllData[[#This Row],[Time]]&gt;=0.5)=TRUE, "Afternoon", IF(AND(AllData[[#This Row],[Time]]&lt;1, AllData[[#This Row],[Time]]&gt;=0.75)=TRUE, "Evening", "Night")))</f>
        <v>Morning</v>
      </c>
      <c r="G845" t="str">
        <f>_xlfn.XLOOKUP(AllData[[#This Row],[Location Name]], Locations[Location Name],Locations[Group As])</f>
        <v>Preston-on-Stour River Bridge</v>
      </c>
      <c r="H845" t="e" vm="2">
        <f>_xlfn.XLOOKUP(AllData[[#This Row],[Site Name]],LocationsKey[Site Name],LocationsKey[District])</f>
        <v>#VALUE!</v>
      </c>
      <c r="I845" t="e" vm="9">
        <f>_xlfn.XLOOKUP(AllData[[#This Row],[Site Name]],LocationsKey[Site Name],LocationsKey[Town])</f>
        <v>#VALUE!</v>
      </c>
      <c r="J845" t="str">
        <f>_xlfn.XLOOKUP(AllData[[#This Row],[Site Name]],LocationsKey[Site Name], LocationsKey[Waterway])</f>
        <v>Stour</v>
      </c>
      <c r="K845" t="s">
        <v>163</v>
      </c>
      <c r="L845">
        <v>52.146552</v>
      </c>
      <c r="M845">
        <v>-1.6998120000000001</v>
      </c>
      <c r="N845" t="s">
        <v>29</v>
      </c>
      <c r="O845" s="127">
        <v>687</v>
      </c>
      <c r="P845">
        <v>15.9</v>
      </c>
      <c r="Q845" s="127">
        <v>6</v>
      </c>
      <c r="R845" s="7" t="str">
        <f>IF(AllData[[#This Row],[Nitrate (PPM)]]&gt;2, "Very high", IF(AllData[[#This Row],[Nitrate (PPM)]]&gt;1, "High", IF(AllData[[#This Row],[Nitrate (PPM)]]&gt;0.5, "Some evidence", IF(AllData[[#This Row],[Nitrate (PPM)]]&gt;=0, "No evidence"))))</f>
        <v>Very high</v>
      </c>
      <c r="S845" s="133">
        <v>0.35</v>
      </c>
      <c r="T845" s="7" t="str">
        <f>IF(AllData[[#This Row],[Phosphate (PPM)]]&gt;0.5, "Very high", IF(AllData[[#This Row],[Phosphate (PPM)]]&gt;0.1, "High", IF(AllData[[#This Row],[Phosphate (PPM)]]&gt;0.05, "Some evidence", IF(AllData[[#This Row],[Phosphate (PPM)]]&lt;=0.05, "No Evidence", ""))))</f>
        <v>High</v>
      </c>
      <c r="U845">
        <v>1.5</v>
      </c>
    </row>
    <row r="846" spans="1:22" x14ac:dyDescent="0.25">
      <c r="A846" t="s">
        <v>1157</v>
      </c>
      <c r="B846" s="2">
        <v>45435</v>
      </c>
      <c r="C846" s="2" t="str" cm="1">
        <f t="array" ref="C8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6">
        <f>YEAR(AllData[[#This Row],[Date]])</f>
        <v>2024</v>
      </c>
      <c r="E846" s="1">
        <v>0.54166666666666663</v>
      </c>
      <c r="F846" s="2" t="str">
        <f>IF(AND(AllData[[#This Row],[Time]]&lt;0.5, AllData[[#This Row],[Time]]&gt;0.17)=TRUE, "Morning", IF(AND(AllData[[#This Row],[Time]]&lt;0.75, AllData[[#This Row],[Time]]&gt;=0.5)=TRUE, "Afternoon", IF(AND(AllData[[#This Row],[Time]]&lt;1, AllData[[#This Row],[Time]]&gt;=0.75)=TRUE, "Evening", "Night")))</f>
        <v>Afternoon</v>
      </c>
      <c r="G846" t="str">
        <f>_xlfn.XLOOKUP(AllData[[#This Row],[Location Name]], Locations[Location Name],Locations[Group As])</f>
        <v>Stour Willington</v>
      </c>
      <c r="H846" t="e" vm="2">
        <f>_xlfn.XLOOKUP(AllData[[#This Row],[Site Name]],LocationsKey[Site Name],LocationsKey[District])</f>
        <v>#VALUE!</v>
      </c>
      <c r="I846" t="str">
        <f>_xlfn.XLOOKUP(AllData[[#This Row],[Site Name]],LocationsKey[Site Name],LocationsKey[Town])</f>
        <v>Willington</v>
      </c>
      <c r="J846" t="str">
        <f>_xlfn.XLOOKUP(AllData[[#This Row],[Site Name]],LocationsKey[Site Name], LocationsKey[Waterway])</f>
        <v>Stour</v>
      </c>
      <c r="K846" t="s">
        <v>517</v>
      </c>
      <c r="L846">
        <v>52.053552000000003</v>
      </c>
      <c r="M846">
        <v>-1.6201319999999999</v>
      </c>
      <c r="N846" t="s">
        <v>23</v>
      </c>
      <c r="O846" s="220">
        <v>534</v>
      </c>
      <c r="P846">
        <v>14.1</v>
      </c>
      <c r="Q846" s="220">
        <v>5</v>
      </c>
      <c r="R846" s="7" t="str">
        <f>IF(AllData[[#This Row],[Nitrate (PPM)]]&gt;2, "Very high", IF(AllData[[#This Row],[Nitrate (PPM)]]&gt;1, "High", IF(AllData[[#This Row],[Nitrate (PPM)]]&gt;0.5, "Some evidence", IF(AllData[[#This Row],[Nitrate (PPM)]]&gt;=0, "No evidence"))))</f>
        <v>Very high</v>
      </c>
      <c r="S846" s="222">
        <v>0.32</v>
      </c>
      <c r="T846" s="7" t="str">
        <f>IF(AllData[[#This Row],[Phosphate (PPM)]]&gt;0.5, "Very high", IF(AllData[[#This Row],[Phosphate (PPM)]]&gt;0.1, "High", IF(AllData[[#This Row],[Phosphate (PPM)]]&gt;0.05, "Some evidence", IF(AllData[[#This Row],[Phosphate (PPM)]]&lt;=0.05, "No Evidence", ""))))</f>
        <v>High</v>
      </c>
      <c r="U846">
        <v>0.5</v>
      </c>
      <c r="V846" t="s">
        <v>1158</v>
      </c>
    </row>
    <row r="847" spans="1:22" x14ac:dyDescent="0.25">
      <c r="A847" t="s">
        <v>1159</v>
      </c>
      <c r="B847" s="2">
        <v>45436</v>
      </c>
      <c r="C847" s="2" t="str" cm="1">
        <f t="array" ref="C8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7">
        <f>YEAR(AllData[[#This Row],[Date]])</f>
        <v>2024</v>
      </c>
      <c r="E847" s="1">
        <v>0.59027777777777779</v>
      </c>
      <c r="F847" s="2" t="str">
        <f>IF(AND(AllData[[#This Row],[Time]]&lt;0.5, AllData[[#This Row],[Time]]&gt;0.17)=TRUE, "Morning", IF(AND(AllData[[#This Row],[Time]]&lt;0.75, AllData[[#This Row],[Time]]&gt;=0.5)=TRUE, "Afternoon", IF(AND(AllData[[#This Row],[Time]]&lt;1, AllData[[#This Row],[Time]]&gt;=0.75)=TRUE, "Evening", "Night")))</f>
        <v>Afternoon</v>
      </c>
      <c r="G847" t="str">
        <f>_xlfn.XLOOKUP(AllData[[#This Row],[Location Name]], Locations[Location Name],Locations[Group As])</f>
        <v>Swiffen Bank</v>
      </c>
      <c r="H847" t="e" vm="2">
        <f>_xlfn.XLOOKUP(AllData[[#This Row],[Site Name]],LocationsKey[Site Name],LocationsKey[District])</f>
        <v>#VALUE!</v>
      </c>
      <c r="I847" t="e" vm="13">
        <f>_xlfn.XLOOKUP(AllData[[#This Row],[Site Name]],LocationsKey[Site Name],LocationsKey[Town])</f>
        <v>#VALUE!</v>
      </c>
      <c r="J847" t="str">
        <f>_xlfn.XLOOKUP(AllData[[#This Row],[Site Name]],LocationsKey[Site Name], LocationsKey[Waterway])</f>
        <v>Avon</v>
      </c>
      <c r="K847" t="s">
        <v>284</v>
      </c>
      <c r="L847">
        <v>52.206477999999997</v>
      </c>
      <c r="M847">
        <v>-1.653894</v>
      </c>
      <c r="N847" t="s">
        <v>29</v>
      </c>
      <c r="O847" s="220">
        <v>540</v>
      </c>
      <c r="P847">
        <v>17</v>
      </c>
      <c r="Q847" s="220">
        <v>10</v>
      </c>
      <c r="R847" s="7" t="str">
        <f>IF(AllData[[#This Row],[Nitrate (PPM)]]&gt;2, "Very high", IF(AllData[[#This Row],[Nitrate (PPM)]]&gt;1, "High", IF(AllData[[#This Row],[Nitrate (PPM)]]&gt;0.5, "Some evidence", IF(AllData[[#This Row],[Nitrate (PPM)]]&gt;=0, "No evidence"))))</f>
        <v>Very high</v>
      </c>
      <c r="S847" s="222">
        <v>0.64</v>
      </c>
      <c r="T847" s="7" t="str">
        <f>IF(AllData[[#This Row],[Phosphate (PPM)]]&gt;0.5, "Very high", IF(AllData[[#This Row],[Phosphate (PPM)]]&gt;0.1, "High", IF(AllData[[#This Row],[Phosphate (PPM)]]&gt;0.05, "Some evidence", IF(AllData[[#This Row],[Phosphate (PPM)]]&lt;=0.05, "No Evidence", ""))))</f>
        <v>Very high</v>
      </c>
      <c r="U847">
        <v>1</v>
      </c>
      <c r="V847" t="s">
        <v>1160</v>
      </c>
    </row>
    <row r="848" spans="1:22" x14ac:dyDescent="0.25">
      <c r="A848" t="s">
        <v>1161</v>
      </c>
      <c r="B848" s="2">
        <v>45437</v>
      </c>
      <c r="C848" s="2" t="str" cm="1">
        <f t="array" ref="C8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8">
        <f>YEAR(AllData[[#This Row],[Date]])</f>
        <v>2024</v>
      </c>
      <c r="E848" s="1">
        <v>0.39652777777777776</v>
      </c>
      <c r="F848" s="2" t="str">
        <f>IF(AND(AllData[[#This Row],[Time]]&lt;0.5, AllData[[#This Row],[Time]]&gt;0.17)=TRUE, "Morning", IF(AND(AllData[[#This Row],[Time]]&lt;0.75, AllData[[#This Row],[Time]]&gt;=0.5)=TRUE, "Afternoon", IF(AND(AllData[[#This Row],[Time]]&lt;1, AllData[[#This Row],[Time]]&gt;=0.75)=TRUE, "Evening", "Night")))</f>
        <v>Morning</v>
      </c>
      <c r="G848" t="str">
        <f>_xlfn.XLOOKUP(AllData[[#This Row],[Location Name]], Locations[Location Name],Locations[Group As])</f>
        <v>Lower Lode</v>
      </c>
      <c r="H848" t="e" vm="1">
        <f>_xlfn.XLOOKUP(AllData[[#This Row],[Site Name]],LocationsKey[Site Name],LocationsKey[District])</f>
        <v>#VALUE!</v>
      </c>
      <c r="I848" t="e" vm="1">
        <f>_xlfn.XLOOKUP(AllData[[#This Row],[Site Name]],LocationsKey[Site Name],LocationsKey[Town])</f>
        <v>#VALUE!</v>
      </c>
      <c r="J848" t="str">
        <f>_xlfn.XLOOKUP(AllData[[#This Row],[Site Name]],LocationsKey[Site Name], LocationsKey[Waterway])</f>
        <v>Avon</v>
      </c>
      <c r="K848" t="s">
        <v>592</v>
      </c>
      <c r="L848">
        <v>51.985076999999997</v>
      </c>
      <c r="M848">
        <v>-2.174258</v>
      </c>
      <c r="N848" t="s">
        <v>29</v>
      </c>
      <c r="O848" s="127">
        <v>6800</v>
      </c>
      <c r="P848">
        <v>16.100000000000001</v>
      </c>
      <c r="Q848" s="127">
        <v>10</v>
      </c>
      <c r="R848" s="7" t="str">
        <f>IF(AllData[[#This Row],[Nitrate (PPM)]]&gt;2, "Very high", IF(AllData[[#This Row],[Nitrate (PPM)]]&gt;1, "High", IF(AllData[[#This Row],[Nitrate (PPM)]]&gt;0.5, "Some evidence", IF(AllData[[#This Row],[Nitrate (PPM)]]&gt;=0, "No evidence"))))</f>
        <v>Very high</v>
      </c>
      <c r="S848" s="133">
        <v>0.48</v>
      </c>
      <c r="T848" s="7" t="str">
        <f>IF(AllData[[#This Row],[Phosphate (PPM)]]&gt;0.5, "Very high", IF(AllData[[#This Row],[Phosphate (PPM)]]&gt;0.1, "High", IF(AllData[[#This Row],[Phosphate (PPM)]]&gt;0.05, "Some evidence", IF(AllData[[#This Row],[Phosphate (PPM)]]&lt;=0.05, "No Evidence", ""))))</f>
        <v>High</v>
      </c>
      <c r="U848">
        <v>2</v>
      </c>
    </row>
    <row r="849" spans="1:22" x14ac:dyDescent="0.25">
      <c r="A849" t="s">
        <v>1162</v>
      </c>
      <c r="B849" s="2">
        <v>45437</v>
      </c>
      <c r="C849" s="2" t="str" cm="1">
        <f t="array" ref="C8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9">
        <f>YEAR(AllData[[#This Row],[Date]])</f>
        <v>2024</v>
      </c>
      <c r="E849" s="1">
        <v>0.43541666666666667</v>
      </c>
      <c r="F849" s="2" t="str">
        <f>IF(AND(AllData[[#This Row],[Time]]&lt;0.5, AllData[[#This Row],[Time]]&gt;0.17)=TRUE, "Morning", IF(AND(AllData[[#This Row],[Time]]&lt;0.75, AllData[[#This Row],[Time]]&gt;=0.5)=TRUE, "Afternoon", IF(AND(AllData[[#This Row],[Time]]&lt;1, AllData[[#This Row],[Time]]&gt;=0.75)=TRUE, "Evening", "Night")))</f>
        <v>Morning</v>
      </c>
      <c r="G849" t="str">
        <f>_xlfn.XLOOKUP(AllData[[#This Row],[Location Name]], Locations[Location Name],Locations[Group As])</f>
        <v>Avon Smiths Meadow Wyre Piddle</v>
      </c>
      <c r="H849" t="e" vm="17">
        <f>_xlfn.XLOOKUP(AllData[[#This Row],[Site Name]],LocationsKey[Site Name],LocationsKey[District])</f>
        <v>#VALUE!</v>
      </c>
      <c r="I849" t="e" vm="20">
        <f>_xlfn.XLOOKUP(AllData[[#This Row],[Site Name]],LocationsKey[Site Name],LocationsKey[Town])</f>
        <v>#VALUE!</v>
      </c>
      <c r="J849" t="str">
        <f>_xlfn.XLOOKUP(AllData[[#This Row],[Site Name]],LocationsKey[Site Name], LocationsKey[Waterway])</f>
        <v>Avon</v>
      </c>
      <c r="K849" t="s">
        <v>741</v>
      </c>
      <c r="L849">
        <v>52.122926999999997</v>
      </c>
      <c r="M849">
        <v>-2.057528</v>
      </c>
      <c r="N849" t="s">
        <v>23</v>
      </c>
      <c r="O849" s="127">
        <v>633</v>
      </c>
      <c r="P849">
        <v>16.2</v>
      </c>
      <c r="Q849" s="127">
        <v>6</v>
      </c>
      <c r="R849" s="7" t="str">
        <f>IF(AllData[[#This Row],[Nitrate (PPM)]]&gt;2, "Very high", IF(AllData[[#This Row],[Nitrate (PPM)]]&gt;1, "High", IF(AllData[[#This Row],[Nitrate (PPM)]]&gt;0.5, "Some evidence", IF(AllData[[#This Row],[Nitrate (PPM)]]&gt;=0, "No evidence"))))</f>
        <v>Very high</v>
      </c>
      <c r="S849" s="133">
        <v>0.56999999999999995</v>
      </c>
      <c r="T849" s="7" t="str">
        <f>IF(AllData[[#This Row],[Phosphate (PPM)]]&gt;0.5, "Very high", IF(AllData[[#This Row],[Phosphate (PPM)]]&gt;0.1, "High", IF(AllData[[#This Row],[Phosphate (PPM)]]&gt;0.05, "Some evidence", IF(AllData[[#This Row],[Phosphate (PPM)]]&lt;=0.05, "No Evidence", ""))))</f>
        <v>Very high</v>
      </c>
      <c r="U849">
        <v>0.9</v>
      </c>
      <c r="V849" t="s">
        <v>1163</v>
      </c>
    </row>
    <row r="850" spans="1:22" x14ac:dyDescent="0.25">
      <c r="A850" t="s">
        <v>1164</v>
      </c>
      <c r="B850" s="2">
        <v>45437</v>
      </c>
      <c r="C850" s="2" t="str" cm="1">
        <f t="array" ref="C8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0">
        <f>YEAR(AllData[[#This Row],[Date]])</f>
        <v>2024</v>
      </c>
      <c r="E850" s="1">
        <v>0.46388888888888891</v>
      </c>
      <c r="F850" s="2" t="str">
        <f>IF(AND(AllData[[#This Row],[Time]]&lt;0.5, AllData[[#This Row],[Time]]&gt;0.17)=TRUE, "Morning", IF(AND(AllData[[#This Row],[Time]]&lt;0.75, AllData[[#This Row],[Time]]&gt;=0.5)=TRUE, "Afternoon", IF(AND(AllData[[#This Row],[Time]]&lt;1, AllData[[#This Row],[Time]]&gt;=0.75)=TRUE, "Evening", "Night")))</f>
        <v>Morning</v>
      </c>
      <c r="G850" t="str">
        <f>_xlfn.XLOOKUP(AllData[[#This Row],[Location Name]], Locations[Location Name],Locations[Group As])</f>
        <v>Piddle Brook Wyre Piddle Bridge</v>
      </c>
      <c r="H850" t="e" vm="17">
        <f>_xlfn.XLOOKUP(AllData[[#This Row],[Site Name]],LocationsKey[Site Name],LocationsKey[District])</f>
        <v>#VALUE!</v>
      </c>
      <c r="I850" t="e" vm="20">
        <f>_xlfn.XLOOKUP(AllData[[#This Row],[Site Name]],LocationsKey[Site Name],LocationsKey[Town])</f>
        <v>#VALUE!</v>
      </c>
      <c r="J850" t="str">
        <f>_xlfn.XLOOKUP(AllData[[#This Row],[Site Name]],LocationsKey[Site Name], LocationsKey[Waterway])</f>
        <v>Piddle Brook</v>
      </c>
      <c r="K850" t="s">
        <v>744</v>
      </c>
      <c r="L850">
        <v>52.126448000000003</v>
      </c>
      <c r="M850">
        <v>-2.056457</v>
      </c>
      <c r="N850" t="s">
        <v>23</v>
      </c>
      <c r="O850" s="127">
        <v>1120</v>
      </c>
      <c r="P850">
        <v>14.2</v>
      </c>
      <c r="Q850" s="127">
        <v>10</v>
      </c>
      <c r="R850" s="7" t="str">
        <f>IF(AllData[[#This Row],[Nitrate (PPM)]]&gt;2, "Very high", IF(AllData[[#This Row],[Nitrate (PPM)]]&gt;1, "High", IF(AllData[[#This Row],[Nitrate (PPM)]]&gt;0.5, "Some evidence", IF(AllData[[#This Row],[Nitrate (PPM)]]&gt;=0, "No evidence"))))</f>
        <v>Very high</v>
      </c>
      <c r="S850" s="133">
        <v>0.64</v>
      </c>
      <c r="T850" s="7" t="str">
        <f>IF(AllData[[#This Row],[Phosphate (PPM)]]&gt;0.5, "Very high", IF(AllData[[#This Row],[Phosphate (PPM)]]&gt;0.1, "High", IF(AllData[[#This Row],[Phosphate (PPM)]]&gt;0.05, "Some evidence", IF(AllData[[#This Row],[Phosphate (PPM)]]&lt;=0.05, "No Evidence", ""))))</f>
        <v>Very high</v>
      </c>
      <c r="U850">
        <v>0.34</v>
      </c>
      <c r="V850" t="s">
        <v>1165</v>
      </c>
    </row>
    <row r="851" spans="1:22" x14ac:dyDescent="0.25">
      <c r="A851" t="s">
        <v>1166</v>
      </c>
      <c r="B851" s="2">
        <v>45437</v>
      </c>
      <c r="C851" s="2" t="str" cm="1">
        <f t="array" ref="C8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1">
        <f>YEAR(AllData[[#This Row],[Date]])</f>
        <v>2024</v>
      </c>
      <c r="E851" s="1">
        <v>0.5</v>
      </c>
      <c r="F851" s="2" t="str">
        <f>IF(AND(AllData[[#This Row],[Time]]&lt;0.5, AllData[[#This Row],[Time]]&gt;0.17)=TRUE, "Morning", IF(AND(AllData[[#This Row],[Time]]&lt;0.75, AllData[[#This Row],[Time]]&gt;=0.5)=TRUE, "Afternoon", IF(AND(AllData[[#This Row],[Time]]&lt;1, AllData[[#This Row],[Time]]&gt;=0.75)=TRUE, "Evening", "Night")))</f>
        <v>Afternoon</v>
      </c>
      <c r="G851" t="str">
        <f>_xlfn.XLOOKUP(AllData[[#This Row],[Location Name]], Locations[Location Name],Locations[Group As])</f>
        <v>Carrant Bredon Rd</v>
      </c>
      <c r="H851" t="e" vm="1">
        <f>_xlfn.XLOOKUP(AllData[[#This Row],[Site Name]],LocationsKey[Site Name],LocationsKey[District])</f>
        <v>#VALUE!</v>
      </c>
      <c r="I851" t="e" vm="1">
        <f>_xlfn.XLOOKUP(AllData[[#This Row],[Site Name]],LocationsKey[Site Name],LocationsKey[Town])</f>
        <v>#VALUE!</v>
      </c>
      <c r="J851" t="str">
        <f>_xlfn.XLOOKUP(AllData[[#This Row],[Site Name]],LocationsKey[Site Name], LocationsKey[Waterway])</f>
        <v>Carrant</v>
      </c>
      <c r="K851" t="s">
        <v>600</v>
      </c>
      <c r="L851">
        <v>51.996152000000002</v>
      </c>
      <c r="M851">
        <v>-2.1559210000000002</v>
      </c>
      <c r="N851" t="s">
        <v>23</v>
      </c>
      <c r="O851" s="127">
        <v>651</v>
      </c>
      <c r="P851">
        <v>14</v>
      </c>
      <c r="Q851" s="127">
        <v>5</v>
      </c>
      <c r="R851" s="7" t="str">
        <f>IF(AllData[[#This Row],[Nitrate (PPM)]]&gt;2, "Very high", IF(AllData[[#This Row],[Nitrate (PPM)]]&gt;1, "High", IF(AllData[[#This Row],[Nitrate (PPM)]]&gt;0.5, "Some evidence", IF(AllData[[#This Row],[Nitrate (PPM)]]&gt;=0, "No evidence"))))</f>
        <v>Very high</v>
      </c>
      <c r="S851" s="133">
        <v>0.33</v>
      </c>
      <c r="T851" s="7" t="str">
        <f>IF(AllData[[#This Row],[Phosphate (PPM)]]&gt;0.5, "Very high", IF(AllData[[#This Row],[Phosphate (PPM)]]&gt;0.1, "High", IF(AllData[[#This Row],[Phosphate (PPM)]]&gt;0.05, "Some evidence", IF(AllData[[#This Row],[Phosphate (PPM)]]&lt;=0.05, "No Evidence", ""))))</f>
        <v>High</v>
      </c>
      <c r="U851">
        <v>0</v>
      </c>
    </row>
    <row r="852" spans="1:22" x14ac:dyDescent="0.25">
      <c r="A852" t="s">
        <v>1167</v>
      </c>
      <c r="B852" s="2">
        <v>45438</v>
      </c>
      <c r="C852" s="2" t="str" cm="1">
        <f t="array" ref="C8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2">
        <f>YEAR(AllData[[#This Row],[Date]])</f>
        <v>2024</v>
      </c>
      <c r="E852" s="1">
        <v>0.45833333333333331</v>
      </c>
      <c r="F852" s="2" t="str">
        <f>IF(AND(AllData[[#This Row],[Time]]&lt;0.5, AllData[[#This Row],[Time]]&gt;0.17)=TRUE, "Morning", IF(AND(AllData[[#This Row],[Time]]&lt;0.75, AllData[[#This Row],[Time]]&gt;=0.5)=TRUE, "Afternoon", IF(AND(AllData[[#This Row],[Time]]&lt;1, AllData[[#This Row],[Time]]&gt;=0.75)=TRUE, "Evening", "Night")))</f>
        <v>Morning</v>
      </c>
      <c r="G852" t="str">
        <f>_xlfn.XLOOKUP(AllData[[#This Row],[Location Name]], Locations[Location Name],Locations[Group As])</f>
        <v>Avonbank Drive</v>
      </c>
      <c r="H852" t="e" vm="2">
        <f>_xlfn.XLOOKUP(AllData[[#This Row],[Site Name]],LocationsKey[Site Name],LocationsKey[District])</f>
        <v>#VALUE!</v>
      </c>
      <c r="I852" t="e" vm="7">
        <f>_xlfn.XLOOKUP(AllData[[#This Row],[Site Name]],LocationsKey[Site Name],LocationsKey[Town])</f>
        <v>#VALUE!</v>
      </c>
      <c r="J852" t="str">
        <f>_xlfn.XLOOKUP(AllData[[#This Row],[Site Name]],LocationsKey[Site Name], LocationsKey[Waterway])</f>
        <v>Avon</v>
      </c>
      <c r="K852" t="s">
        <v>103</v>
      </c>
      <c r="L852">
        <v>52.177</v>
      </c>
      <c r="M852">
        <v>-1.736</v>
      </c>
      <c r="N852" t="s">
        <v>66</v>
      </c>
      <c r="O852" s="127">
        <v>802</v>
      </c>
      <c r="P852">
        <v>21.3</v>
      </c>
      <c r="Q852" s="127">
        <v>5</v>
      </c>
      <c r="R852" s="7" t="str">
        <f>IF(AllData[[#This Row],[Nitrate (PPM)]]&gt;2, "Very high", IF(AllData[[#This Row],[Nitrate (PPM)]]&gt;1, "High", IF(AllData[[#This Row],[Nitrate (PPM)]]&gt;0.5, "Some evidence", IF(AllData[[#This Row],[Nitrate (PPM)]]&gt;=0, "No evidence"))))</f>
        <v>Very high</v>
      </c>
      <c r="S852" s="133">
        <v>0.95</v>
      </c>
      <c r="T852" s="7" t="str">
        <f>IF(AllData[[#This Row],[Phosphate (PPM)]]&gt;0.5, "Very high", IF(AllData[[#This Row],[Phosphate (PPM)]]&gt;0.1, "High", IF(AllData[[#This Row],[Phosphate (PPM)]]&gt;0.05, "Some evidence", IF(AllData[[#This Row],[Phosphate (PPM)]]&lt;=0.05, "No Evidence", ""))))</f>
        <v>Very high</v>
      </c>
      <c r="U852">
        <v>0.8</v>
      </c>
      <c r="V852" t="s">
        <v>1168</v>
      </c>
    </row>
    <row r="853" spans="1:22" x14ac:dyDescent="0.25">
      <c r="A853" t="s">
        <v>1169</v>
      </c>
      <c r="B853" s="2">
        <v>45438</v>
      </c>
      <c r="C853" s="2" t="str" cm="1">
        <f t="array" ref="C8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3">
        <f>YEAR(AllData[[#This Row],[Date]])</f>
        <v>2024</v>
      </c>
      <c r="E853" s="1">
        <v>0.45833333333333331</v>
      </c>
      <c r="F853" s="2" t="str">
        <f>IF(AND(AllData[[#This Row],[Time]]&lt;0.5, AllData[[#This Row],[Time]]&gt;0.17)=TRUE, "Morning", IF(AND(AllData[[#This Row],[Time]]&lt;0.75, AllData[[#This Row],[Time]]&gt;=0.5)=TRUE, "Afternoon", IF(AND(AllData[[#This Row],[Time]]&lt;1, AllData[[#This Row],[Time]]&gt;=0.75)=TRUE, "Evening", "Night")))</f>
        <v>Morning</v>
      </c>
      <c r="G853" t="str">
        <f>_xlfn.XLOOKUP(AllData[[#This Row],[Location Name]], Locations[Location Name],Locations[Group As])</f>
        <v>Pitch 16</v>
      </c>
      <c r="H853" t="e" vm="2">
        <f>_xlfn.XLOOKUP(AllData[[#This Row],[Site Name]],LocationsKey[Site Name],LocationsKey[District])</f>
        <v>#VALUE!</v>
      </c>
      <c r="I853" t="e" vm="7">
        <f>_xlfn.XLOOKUP(AllData[[#This Row],[Site Name]],LocationsKey[Site Name],LocationsKey[Town])</f>
        <v>#VALUE!</v>
      </c>
      <c r="J853" t="str">
        <f>_xlfn.XLOOKUP(AllData[[#This Row],[Site Name]],LocationsKey[Site Name], LocationsKey[Waterway])</f>
        <v>Avon</v>
      </c>
      <c r="K853" t="s">
        <v>69</v>
      </c>
      <c r="N853" t="s">
        <v>29</v>
      </c>
      <c r="O853" s="127">
        <v>785</v>
      </c>
      <c r="P853">
        <v>22</v>
      </c>
      <c r="Q853" s="127">
        <v>5</v>
      </c>
      <c r="R853" s="7" t="str">
        <f>IF(AllData[[#This Row],[Nitrate (PPM)]]&gt;2, "Very high", IF(AllData[[#This Row],[Nitrate (PPM)]]&gt;1, "High", IF(AllData[[#This Row],[Nitrate (PPM)]]&gt;0.5, "Some evidence", IF(AllData[[#This Row],[Nitrate (PPM)]]&gt;=0, "No evidence"))))</f>
        <v>Very high</v>
      </c>
      <c r="S853" s="133">
        <v>0.53</v>
      </c>
      <c r="T853" s="7" t="str">
        <f>IF(AllData[[#This Row],[Phosphate (PPM)]]&gt;0.5, "Very high", IF(AllData[[#This Row],[Phosphate (PPM)]]&gt;0.1, "High", IF(AllData[[#This Row],[Phosphate (PPM)]]&gt;0.05, "Some evidence", IF(AllData[[#This Row],[Phosphate (PPM)]]&lt;=0.05, "No Evidence", ""))))</f>
        <v>Very high</v>
      </c>
      <c r="U853">
        <v>0.8</v>
      </c>
      <c r="V853" t="s">
        <v>1168</v>
      </c>
    </row>
    <row r="854" spans="1:22" x14ac:dyDescent="0.25">
      <c r="A854" t="s">
        <v>1800</v>
      </c>
      <c r="B854" s="2">
        <v>45438</v>
      </c>
      <c r="C854" s="2" t="str" cm="1">
        <f t="array" ref="C8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4">
        <f>YEAR(AllData[[#This Row],[Date]])</f>
        <v>2024</v>
      </c>
      <c r="F854" s="2" t="str">
        <f>IF(AND(AllData[[#This Row],[Time]]&lt;0.5, AllData[[#This Row],[Time]]&gt;0.17)=TRUE, "Morning", IF(AND(AllData[[#This Row],[Time]]&lt;0.75, AllData[[#This Row],[Time]]&gt;=0.5)=TRUE, "Afternoon", IF(AND(AllData[[#This Row],[Time]]&lt;1, AllData[[#This Row],[Time]]&gt;=0.75)=TRUE, "Evening", "Night")))</f>
        <v>Night</v>
      </c>
      <c r="G854" t="str">
        <f>_xlfn.XLOOKUP(AllData[[#This Row],[Location Name]], Locations[Location Name],Locations[Group As])</f>
        <v>Site 1  :  Middle Street</v>
      </c>
      <c r="H854" t="e" vm="2">
        <f>_xlfn.XLOOKUP(AllData[[#This Row],[Site Name]],LocationsKey[Site Name],LocationsKey[District])</f>
        <v>#VALUE!</v>
      </c>
      <c r="I854" t="e" vm="11">
        <f>_xlfn.XLOOKUP(AllData[[#This Row],[Site Name]],LocationsKey[Site Name],LocationsKey[Town])</f>
        <v>#VALUE!</v>
      </c>
      <c r="J854" t="str">
        <f>_xlfn.XLOOKUP(AllData[[#This Row],[Site Name]],LocationsKey[Site Name], LocationsKey[Waterway])</f>
        <v>Fosseway Brook</v>
      </c>
      <c r="K854" t="s">
        <v>1859</v>
      </c>
      <c r="L854">
        <v>52.090085000000002</v>
      </c>
      <c r="M854">
        <v>-1.692593</v>
      </c>
      <c r="N854" t="s">
        <v>66</v>
      </c>
      <c r="O854">
        <v>585</v>
      </c>
      <c r="P854">
        <v>19.100000000000001</v>
      </c>
      <c r="Q854">
        <v>2</v>
      </c>
      <c r="R854" s="7" t="str">
        <f>IF(AllData[[#This Row],[Nitrate (PPM)]]&gt;2, "Very high", IF(AllData[[#This Row],[Nitrate (PPM)]]&gt;1, "High", IF(AllData[[#This Row],[Nitrate (PPM)]]&gt;0.5, "Some evidence", IF(AllData[[#This Row],[Nitrate (PPM)]]&gt;=0, "No evidence"))))</f>
        <v>High</v>
      </c>
      <c r="S854" s="4">
        <v>0.1</v>
      </c>
      <c r="T854" s="7" t="str">
        <f>IF(AllData[[#This Row],[Phosphate (PPM)]]&gt;0.5, "Very high", IF(AllData[[#This Row],[Phosphate (PPM)]]&gt;0.1, "High", IF(AllData[[#This Row],[Phosphate (PPM)]]&gt;0.05, "Some evidence", IF(AllData[[#This Row],[Phosphate (PPM)]]&lt;=0.05, "No Evidence", ""))))</f>
        <v>Some evidence</v>
      </c>
      <c r="U854">
        <v>0</v>
      </c>
      <c r="V854" t="s">
        <v>1909</v>
      </c>
    </row>
    <row r="855" spans="1:22" x14ac:dyDescent="0.25">
      <c r="A855" t="s">
        <v>1384</v>
      </c>
      <c r="B855" s="2">
        <v>45438</v>
      </c>
      <c r="C855" s="2" t="str" cm="1">
        <f t="array" ref="C8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5">
        <f>YEAR(AllData[[#This Row],[Date]])</f>
        <v>2024</v>
      </c>
      <c r="E855" s="1"/>
      <c r="F855" s="2" t="str">
        <f>IF(AND(AllData[[#This Row],[Time]]&lt;0.5, AllData[[#This Row],[Time]]&gt;0.17)=TRUE, "Morning", IF(AND(AllData[[#This Row],[Time]]&lt;0.75, AllData[[#This Row],[Time]]&gt;=0.5)=TRUE, "Afternoon", IF(AND(AllData[[#This Row],[Time]]&lt;1, AllData[[#This Row],[Time]]&gt;=0.75)=TRUE, "Evening", "Night")))</f>
        <v>Night</v>
      </c>
      <c r="G855" t="str">
        <f>_xlfn.XLOOKUP(AllData[[#This Row],[Location Name]], Locations[Location Name],Locations[Group As])</f>
        <v>Site 1  :  Middle Street</v>
      </c>
      <c r="H855" t="e" vm="2">
        <f>_xlfn.XLOOKUP(AllData[[#This Row],[Site Name]],LocationsKey[Site Name],LocationsKey[District])</f>
        <v>#VALUE!</v>
      </c>
      <c r="I855" t="e" vm="11">
        <f>_xlfn.XLOOKUP(AllData[[#This Row],[Site Name]],LocationsKey[Site Name],LocationsKey[Town])</f>
        <v>#VALUE!</v>
      </c>
      <c r="J855" t="str">
        <f>_xlfn.XLOOKUP(AllData[[#This Row],[Site Name]],LocationsKey[Site Name], LocationsKey[Waterway])</f>
        <v>Fosseway Brook</v>
      </c>
      <c r="K855" t="s">
        <v>1373</v>
      </c>
      <c r="L855">
        <v>52.090085000000002</v>
      </c>
      <c r="M855">
        <v>-1.692593</v>
      </c>
      <c r="N855" t="s">
        <v>66</v>
      </c>
      <c r="O855">
        <v>585</v>
      </c>
      <c r="P855">
        <v>19.100000000000001</v>
      </c>
      <c r="Q855">
        <v>2</v>
      </c>
      <c r="R855" s="7" t="str">
        <f>IF(AllData[[#This Row],[Nitrate (PPM)]]&gt;2, "Very high", IF(AllData[[#This Row],[Nitrate (PPM)]]&gt;1, "High", IF(AllData[[#This Row],[Nitrate (PPM)]]&gt;0.5, "Some evidence", IF(AllData[[#This Row],[Nitrate (PPM)]]&gt;=0, "No evidence"))))</f>
        <v>High</v>
      </c>
      <c r="S855" s="4">
        <v>0.1</v>
      </c>
      <c r="T855" s="7" t="str">
        <f>IF(AllData[[#This Row],[Phosphate (PPM)]]&gt;0.5, "Very high", IF(AllData[[#This Row],[Phosphate (PPM)]]&gt;0.1, "High", IF(AllData[[#This Row],[Phosphate (PPM)]]&gt;0.05, "Some evidence", IF(AllData[[#This Row],[Phosphate (PPM)]]&lt;=0.05, "No Evidence", ""))))</f>
        <v>Some evidence</v>
      </c>
    </row>
    <row r="856" spans="1:22" x14ac:dyDescent="0.25">
      <c r="A856" t="s">
        <v>1801</v>
      </c>
      <c r="B856" s="2">
        <v>45438</v>
      </c>
      <c r="C856" s="2" t="str" cm="1">
        <f t="array" ref="C8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6">
        <f>YEAR(AllData[[#This Row],[Date]])</f>
        <v>2024</v>
      </c>
      <c r="F856" s="2" t="str">
        <f>IF(AND(AllData[[#This Row],[Time]]&lt;0.5, AllData[[#This Row],[Time]]&gt;0.17)=TRUE, "Morning", IF(AND(AllData[[#This Row],[Time]]&lt;0.75, AllData[[#This Row],[Time]]&gt;=0.5)=TRUE, "Afternoon", IF(AND(AllData[[#This Row],[Time]]&lt;1, AllData[[#This Row],[Time]]&gt;=0.75)=TRUE, "Evening", "Night")))</f>
        <v>Night</v>
      </c>
      <c r="G856" t="str">
        <f>_xlfn.XLOOKUP(AllData[[#This Row],[Location Name]], Locations[Location Name],Locations[Group As])</f>
        <v>Site 2  :  Cross Leys culvert</v>
      </c>
      <c r="H856" t="e" vm="2">
        <f>_xlfn.XLOOKUP(AllData[[#This Row],[Site Name]],LocationsKey[Site Name],LocationsKey[District])</f>
        <v>#VALUE!</v>
      </c>
      <c r="I856" t="e" vm="11">
        <f>_xlfn.XLOOKUP(AllData[[#This Row],[Site Name]],LocationsKey[Site Name],LocationsKey[Town])</f>
        <v>#VALUE!</v>
      </c>
      <c r="J856" t="str">
        <f>_xlfn.XLOOKUP(AllData[[#This Row],[Site Name]],LocationsKey[Site Name], LocationsKey[Waterway])</f>
        <v>Fosseway Brook</v>
      </c>
      <c r="K856" t="s">
        <v>1860</v>
      </c>
      <c r="L856">
        <v>52.092967999999999</v>
      </c>
      <c r="M856">
        <v>-1.6862710000000001</v>
      </c>
      <c r="N856" t="s">
        <v>66</v>
      </c>
      <c r="O856">
        <v>646</v>
      </c>
      <c r="P856">
        <v>18</v>
      </c>
      <c r="Q856">
        <v>2</v>
      </c>
      <c r="R856" s="7" t="str">
        <f>IF(AllData[[#This Row],[Nitrate (PPM)]]&gt;2, "Very high", IF(AllData[[#This Row],[Nitrate (PPM)]]&gt;1, "High", IF(AllData[[#This Row],[Nitrate (PPM)]]&gt;0.5, "Some evidence", IF(AllData[[#This Row],[Nitrate (PPM)]]&gt;=0, "No evidence"))))</f>
        <v>High</v>
      </c>
      <c r="S856" s="4">
        <v>0.3</v>
      </c>
      <c r="T856" s="7" t="str">
        <f>IF(AllData[[#This Row],[Phosphate (PPM)]]&gt;0.5, "Very high", IF(AllData[[#This Row],[Phosphate (PPM)]]&gt;0.1, "High", IF(AllData[[#This Row],[Phosphate (PPM)]]&gt;0.05, "Some evidence", IF(AllData[[#This Row],[Phosphate (PPM)]]&lt;=0.05, "No Evidence", ""))))</f>
        <v>High</v>
      </c>
      <c r="U856">
        <v>0</v>
      </c>
      <c r="V856" t="s">
        <v>1909</v>
      </c>
    </row>
    <row r="857" spans="1:22" x14ac:dyDescent="0.25">
      <c r="A857" t="s">
        <v>1383</v>
      </c>
      <c r="B857" s="2">
        <v>45438</v>
      </c>
      <c r="C857" s="2" t="str" cm="1">
        <f t="array" ref="C8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7">
        <f>YEAR(AllData[[#This Row],[Date]])</f>
        <v>2024</v>
      </c>
      <c r="E857" s="1"/>
      <c r="F857" s="2" t="str">
        <f>IF(AND(AllData[[#This Row],[Time]]&lt;0.5, AllData[[#This Row],[Time]]&gt;0.17)=TRUE, "Morning", IF(AND(AllData[[#This Row],[Time]]&lt;0.75, AllData[[#This Row],[Time]]&gt;=0.5)=TRUE, "Afternoon", IF(AND(AllData[[#This Row],[Time]]&lt;1, AllData[[#This Row],[Time]]&gt;=0.75)=TRUE, "Evening", "Night")))</f>
        <v>Night</v>
      </c>
      <c r="G857" t="str">
        <f>_xlfn.XLOOKUP(AllData[[#This Row],[Location Name]], Locations[Location Name],Locations[Group As])</f>
        <v>Site 2  :  Cross Leys culvert</v>
      </c>
      <c r="H857" t="e" vm="2">
        <f>_xlfn.XLOOKUP(AllData[[#This Row],[Site Name]],LocationsKey[Site Name],LocationsKey[District])</f>
        <v>#VALUE!</v>
      </c>
      <c r="I857" t="e" vm="11">
        <f>_xlfn.XLOOKUP(AllData[[#This Row],[Site Name]],LocationsKey[Site Name],LocationsKey[Town])</f>
        <v>#VALUE!</v>
      </c>
      <c r="J857" t="str">
        <f>_xlfn.XLOOKUP(AllData[[#This Row],[Site Name]],LocationsKey[Site Name], LocationsKey[Waterway])</f>
        <v>Fosseway Brook</v>
      </c>
      <c r="K857" t="s">
        <v>1371</v>
      </c>
      <c r="L857">
        <v>52.092967999999999</v>
      </c>
      <c r="M857">
        <v>-1.6862710000000001</v>
      </c>
      <c r="N857" t="s">
        <v>66</v>
      </c>
      <c r="O857">
        <v>646</v>
      </c>
      <c r="P857">
        <v>18</v>
      </c>
      <c r="Q857">
        <v>2</v>
      </c>
      <c r="R857" s="7" t="str">
        <f>IF(AllData[[#This Row],[Nitrate (PPM)]]&gt;2, "Very high", IF(AllData[[#This Row],[Nitrate (PPM)]]&gt;1, "High", IF(AllData[[#This Row],[Nitrate (PPM)]]&gt;0.5, "Some evidence", IF(AllData[[#This Row],[Nitrate (PPM)]]&gt;=0, "No evidence"))))</f>
        <v>High</v>
      </c>
      <c r="S857" s="4">
        <v>0.3</v>
      </c>
      <c r="T857" s="7" t="str">
        <f>IF(AllData[[#This Row],[Phosphate (PPM)]]&gt;0.5, "Very high", IF(AllData[[#This Row],[Phosphate (PPM)]]&gt;0.1, "High", IF(AllData[[#This Row],[Phosphate (PPM)]]&gt;0.05, "Some evidence", IF(AllData[[#This Row],[Phosphate (PPM)]]&lt;=0.05, "No Evidence", ""))))</f>
        <v>High</v>
      </c>
    </row>
    <row r="858" spans="1:22" x14ac:dyDescent="0.25">
      <c r="A858" t="s">
        <v>1802</v>
      </c>
      <c r="B858" s="2">
        <v>45438</v>
      </c>
      <c r="C858" s="2" t="str" cm="1">
        <f t="array" ref="C8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8">
        <f>YEAR(AllData[[#This Row],[Date]])</f>
        <v>2024</v>
      </c>
      <c r="F858" s="2" t="str">
        <f>IF(AND(AllData[[#This Row],[Time]]&lt;0.5, AllData[[#This Row],[Time]]&gt;0.17)=TRUE, "Morning", IF(AND(AllData[[#This Row],[Time]]&lt;0.75, AllData[[#This Row],[Time]]&gt;=0.5)=TRUE, "Afternoon", IF(AND(AllData[[#This Row],[Time]]&lt;1, AllData[[#This Row],[Time]]&gt;=0.75)=TRUE, "Evening", "Night")))</f>
        <v>Night</v>
      </c>
      <c r="G858" t="str">
        <f>_xlfn.XLOOKUP(AllData[[#This Row],[Location Name]], Locations[Location Name],Locations[Group As])</f>
        <v>Site 3  :  Severn Trent Water processing plant outflow</v>
      </c>
      <c r="H858" t="e" vm="2">
        <f>_xlfn.XLOOKUP(AllData[[#This Row],[Site Name]],LocationsKey[Site Name],LocationsKey[District])</f>
        <v>#VALUE!</v>
      </c>
      <c r="I858" t="e" vm="11">
        <f>_xlfn.XLOOKUP(AllData[[#This Row],[Site Name]],LocationsKey[Site Name],LocationsKey[Town])</f>
        <v>#VALUE!</v>
      </c>
      <c r="J858" t="str">
        <f>_xlfn.XLOOKUP(AllData[[#This Row],[Site Name]],LocationsKey[Site Name], LocationsKey[Waterway])</f>
        <v>Fosseway Brook</v>
      </c>
      <c r="K858" t="s">
        <v>1861</v>
      </c>
      <c r="L858">
        <v>52.094423999999997</v>
      </c>
      <c r="M858">
        <v>-1.6759090000000001</v>
      </c>
      <c r="N858" t="s">
        <v>29</v>
      </c>
      <c r="O858">
        <v>830</v>
      </c>
      <c r="P858">
        <v>18.3</v>
      </c>
      <c r="Q858">
        <v>10</v>
      </c>
      <c r="R858" s="7" t="str">
        <f>IF(AllData[[#This Row],[Nitrate (PPM)]]&gt;2, "Very high", IF(AllData[[#This Row],[Nitrate (PPM)]]&gt;1, "High", IF(AllData[[#This Row],[Nitrate (PPM)]]&gt;0.5, "Some evidence", IF(AllData[[#This Row],[Nitrate (PPM)]]&gt;=0, "No evidence"))))</f>
        <v>Very high</v>
      </c>
      <c r="S858" s="4">
        <v>2.09</v>
      </c>
      <c r="T858" s="7" t="str">
        <f>IF(AllData[[#This Row],[Phosphate (PPM)]]&gt;0.5, "Very high", IF(AllData[[#This Row],[Phosphate (PPM)]]&gt;0.1, "High", IF(AllData[[#This Row],[Phosphate (PPM)]]&gt;0.05, "Some evidence", IF(AllData[[#This Row],[Phosphate (PPM)]]&lt;=0.05, "No Evidence", ""))))</f>
        <v>Very high</v>
      </c>
      <c r="U858">
        <v>0</v>
      </c>
      <c r="V858" t="s">
        <v>1910</v>
      </c>
    </row>
    <row r="859" spans="1:22" x14ac:dyDescent="0.25">
      <c r="A859" t="s">
        <v>1382</v>
      </c>
      <c r="B859" s="2">
        <v>45438</v>
      </c>
      <c r="C859" s="2" t="str" cm="1">
        <f t="array" ref="C8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9">
        <f>YEAR(AllData[[#This Row],[Date]])</f>
        <v>2024</v>
      </c>
      <c r="E859" s="1"/>
      <c r="F859" s="2" t="str">
        <f>IF(AND(AllData[[#This Row],[Time]]&lt;0.5, AllData[[#This Row],[Time]]&gt;0.17)=TRUE, "Morning", IF(AND(AllData[[#This Row],[Time]]&lt;0.75, AllData[[#This Row],[Time]]&gt;=0.5)=TRUE, "Afternoon", IF(AND(AllData[[#This Row],[Time]]&lt;1, AllData[[#This Row],[Time]]&gt;=0.75)=TRUE, "Evening", "Night")))</f>
        <v>Night</v>
      </c>
      <c r="G859" t="str">
        <f>_xlfn.XLOOKUP(AllData[[#This Row],[Location Name]], Locations[Location Name],Locations[Group As])</f>
        <v>Site 3  :  Severn Trent Water processing plant outflow</v>
      </c>
      <c r="H859" t="e" vm="2">
        <f>_xlfn.XLOOKUP(AllData[[#This Row],[Site Name]],LocationsKey[Site Name],LocationsKey[District])</f>
        <v>#VALUE!</v>
      </c>
      <c r="I859" t="e" vm="11">
        <f>_xlfn.XLOOKUP(AllData[[#This Row],[Site Name]],LocationsKey[Site Name],LocationsKey[Town])</f>
        <v>#VALUE!</v>
      </c>
      <c r="J859" t="str">
        <f>_xlfn.XLOOKUP(AllData[[#This Row],[Site Name]],LocationsKey[Site Name], LocationsKey[Waterway])</f>
        <v>Fosseway Brook</v>
      </c>
      <c r="K859" t="s">
        <v>1368</v>
      </c>
      <c r="L859">
        <v>52.094423999999997</v>
      </c>
      <c r="M859">
        <v>-1.6759090000000001</v>
      </c>
      <c r="N859" t="s">
        <v>29</v>
      </c>
      <c r="O859">
        <v>830</v>
      </c>
      <c r="P859">
        <v>18.3</v>
      </c>
      <c r="Q859">
        <v>10</v>
      </c>
      <c r="R859" s="7" t="str">
        <f>IF(AllData[[#This Row],[Nitrate (PPM)]]&gt;2, "Very high", IF(AllData[[#This Row],[Nitrate (PPM)]]&gt;1, "High", IF(AllData[[#This Row],[Nitrate (PPM)]]&gt;0.5, "Some evidence", IF(AllData[[#This Row],[Nitrate (PPM)]]&gt;=0, "No evidence"))))</f>
        <v>Very high</v>
      </c>
      <c r="S859" s="4">
        <v>2.09</v>
      </c>
      <c r="T859" s="7" t="str">
        <f>IF(AllData[[#This Row],[Phosphate (PPM)]]&gt;0.5, "Very high", IF(AllData[[#This Row],[Phosphate (PPM)]]&gt;0.1, "High", IF(AllData[[#This Row],[Phosphate (PPM)]]&gt;0.05, "Some evidence", IF(AllData[[#This Row],[Phosphate (PPM)]]&lt;=0.05, "No Evidence", ""))))</f>
        <v>Very high</v>
      </c>
    </row>
    <row r="860" spans="1:22" x14ac:dyDescent="0.25">
      <c r="A860" t="s">
        <v>1170</v>
      </c>
      <c r="B860" s="2">
        <v>45439</v>
      </c>
      <c r="C860" s="2" t="str" cm="1">
        <f t="array" ref="C8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0">
        <f>YEAR(AllData[[#This Row],[Date]])</f>
        <v>2024</v>
      </c>
      <c r="E860" s="1">
        <v>0.40486111111111112</v>
      </c>
      <c r="F860" s="2" t="str">
        <f>IF(AND(AllData[[#This Row],[Time]]&lt;0.5, AllData[[#This Row],[Time]]&gt;0.17)=TRUE, "Morning", IF(AND(AllData[[#This Row],[Time]]&lt;0.75, AllData[[#This Row],[Time]]&gt;=0.5)=TRUE, "Afternoon", IF(AND(AllData[[#This Row],[Time]]&lt;1, AllData[[#This Row],[Time]]&gt;=0.75)=TRUE, "Evening", "Night")))</f>
        <v>Morning</v>
      </c>
      <c r="G860" t="str">
        <f>_xlfn.XLOOKUP(AllData[[#This Row],[Location Name]], Locations[Location Name],Locations[Group As])</f>
        <v>Carrant Mitton Path</v>
      </c>
      <c r="H860" t="e" vm="1">
        <f>_xlfn.XLOOKUP(AllData[[#This Row],[Site Name]],LocationsKey[Site Name],LocationsKey[District])</f>
        <v>#VALUE!</v>
      </c>
      <c r="I860" t="e" vm="1">
        <f>_xlfn.XLOOKUP(AllData[[#This Row],[Site Name]],LocationsKey[Site Name],LocationsKey[Town])</f>
        <v>#VALUE!</v>
      </c>
      <c r="J860" t="str">
        <f>_xlfn.XLOOKUP(AllData[[#This Row],[Site Name]],LocationsKey[Site Name], LocationsKey[Waterway])</f>
        <v>Carrant</v>
      </c>
      <c r="K860" t="s">
        <v>958</v>
      </c>
      <c r="L860">
        <v>52.000115999999998</v>
      </c>
      <c r="M860">
        <v>-2.1419220000000001</v>
      </c>
      <c r="N860" t="s">
        <v>23</v>
      </c>
      <c r="O860" s="127">
        <v>698</v>
      </c>
      <c r="P860">
        <v>15.3</v>
      </c>
      <c r="Q860" s="127">
        <v>9</v>
      </c>
      <c r="R860" s="7" t="str">
        <f>IF(AllData[[#This Row],[Nitrate (PPM)]]&gt;2, "Very high", IF(AllData[[#This Row],[Nitrate (PPM)]]&gt;1, "High", IF(AllData[[#This Row],[Nitrate (PPM)]]&gt;0.5, "Some evidence", IF(AllData[[#This Row],[Nitrate (PPM)]]&gt;=0, "No evidence"))))</f>
        <v>Very high</v>
      </c>
      <c r="S860" s="133">
        <v>0.22</v>
      </c>
      <c r="T860" s="7" t="str">
        <f>IF(AllData[[#This Row],[Phosphate (PPM)]]&gt;0.5, "Very high", IF(AllData[[#This Row],[Phosphate (PPM)]]&gt;0.1, "High", IF(AllData[[#This Row],[Phosphate (PPM)]]&gt;0.05, "Some evidence", IF(AllData[[#This Row],[Phosphate (PPM)]]&lt;=0.05, "No Evidence", ""))))</f>
        <v>High</v>
      </c>
      <c r="U860">
        <v>0</v>
      </c>
    </row>
    <row r="861" spans="1:22" x14ac:dyDescent="0.25">
      <c r="A861" t="s">
        <v>1171</v>
      </c>
      <c r="B861" s="2">
        <v>45439</v>
      </c>
      <c r="C861" s="2" t="str" cm="1">
        <f t="array" ref="C8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1">
        <f>YEAR(AllData[[#This Row],[Date]])</f>
        <v>2024</v>
      </c>
      <c r="E861" s="1">
        <v>0.41666666666666669</v>
      </c>
      <c r="F861" s="2" t="str">
        <f>IF(AND(AllData[[#This Row],[Time]]&lt;0.5, AllData[[#This Row],[Time]]&gt;0.17)=TRUE, "Morning", IF(AND(AllData[[#This Row],[Time]]&lt;0.75, AllData[[#This Row],[Time]]&gt;=0.5)=TRUE, "Afternoon", IF(AND(AllData[[#This Row],[Time]]&lt;1, AllData[[#This Row],[Time]]&gt;=0.75)=TRUE, "Evening", "Night")))</f>
        <v>Morning</v>
      </c>
      <c r="G861" t="str">
        <f>_xlfn.XLOOKUP(AllData[[#This Row],[Location Name]], Locations[Location Name],Locations[Group As])</f>
        <v>Fell Mill Footbridge</v>
      </c>
      <c r="H861" t="e" vm="2">
        <f>_xlfn.XLOOKUP(AllData[[#This Row],[Site Name]],LocationsKey[Site Name],LocationsKey[District])</f>
        <v>#VALUE!</v>
      </c>
      <c r="I861" t="e" vm="10">
        <f>_xlfn.XLOOKUP(AllData[[#This Row],[Site Name]],LocationsKey[Site Name],LocationsKey[Town])</f>
        <v>#VALUE!</v>
      </c>
      <c r="J861" t="str">
        <f>_xlfn.XLOOKUP(AllData[[#This Row],[Site Name]],LocationsKey[Site Name], LocationsKey[Waterway])</f>
        <v>Stour</v>
      </c>
      <c r="K861" t="s">
        <v>818</v>
      </c>
      <c r="L861">
        <v>52.070086000000003</v>
      </c>
      <c r="M861">
        <v>-1.61145</v>
      </c>
      <c r="N861" t="s">
        <v>29</v>
      </c>
      <c r="O861" s="127">
        <v>617</v>
      </c>
      <c r="P861">
        <v>14.3</v>
      </c>
      <c r="Q861" s="127">
        <v>10</v>
      </c>
      <c r="R861" s="7" t="str">
        <f>IF(AllData[[#This Row],[Nitrate (PPM)]]&gt;2, "Very high", IF(AllData[[#This Row],[Nitrate (PPM)]]&gt;1, "High", IF(AllData[[#This Row],[Nitrate (PPM)]]&gt;0.5, "Some evidence", IF(AllData[[#This Row],[Nitrate (PPM)]]&gt;=0, "No evidence"))))</f>
        <v>Very high</v>
      </c>
      <c r="S861" s="133">
        <v>0.56999999999999995</v>
      </c>
      <c r="T861" s="7" t="str">
        <f>IF(AllData[[#This Row],[Phosphate (PPM)]]&gt;0.5, "Very high", IF(AllData[[#This Row],[Phosphate (PPM)]]&gt;0.1, "High", IF(AllData[[#This Row],[Phosphate (PPM)]]&gt;0.05, "Some evidence", IF(AllData[[#This Row],[Phosphate (PPM)]]&lt;=0.05, "No Evidence", ""))))</f>
        <v>Very high</v>
      </c>
      <c r="U861">
        <v>1.4</v>
      </c>
    </row>
    <row r="862" spans="1:22" x14ac:dyDescent="0.25">
      <c r="A862" t="s">
        <v>1179</v>
      </c>
      <c r="B862" s="2">
        <v>45439</v>
      </c>
      <c r="C862" s="2" t="str" cm="1">
        <f t="array" ref="C8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2">
        <f>YEAR(AllData[[#This Row],[Date]])</f>
        <v>2024</v>
      </c>
      <c r="E862" s="1">
        <v>0.41666666666666669</v>
      </c>
      <c r="F862" s="2" t="str">
        <f>IF(AND(AllData[[#This Row],[Time]]&lt;0.5, AllData[[#This Row],[Time]]&gt;0.17)=TRUE, "Morning", IF(AND(AllData[[#This Row],[Time]]&lt;0.75, AllData[[#This Row],[Time]]&gt;=0.5)=TRUE, "Afternoon", IF(AND(AllData[[#This Row],[Time]]&lt;1, AllData[[#This Row],[Time]]&gt;=0.75)=TRUE, "Evening", "Night")))</f>
        <v>Morning</v>
      </c>
      <c r="G862" t="str">
        <f>_xlfn.XLOOKUP(AllData[[#This Row],[Location Name]], Locations[Location Name],Locations[Group As])</f>
        <v>Sherbourne Brook 1</v>
      </c>
      <c r="H862" t="e" vm="2">
        <f>_xlfn.XLOOKUP(AllData[[#This Row],[Site Name]],LocationsKey[Site Name],LocationsKey[District])</f>
        <v>#VALUE!</v>
      </c>
      <c r="I862" t="e" vm="16">
        <f>_xlfn.XLOOKUP(AllData[[#This Row],[Site Name]],LocationsKey[Site Name],LocationsKey[Town])</f>
        <v>#VALUE!</v>
      </c>
      <c r="J862" t="str">
        <f>_xlfn.XLOOKUP(AllData[[#This Row],[Site Name]],LocationsKey[Site Name], LocationsKey[Waterway])</f>
        <v>Sherbourne Brook</v>
      </c>
      <c r="K862" t="s">
        <v>570</v>
      </c>
      <c r="L862">
        <v>52.252499999999998</v>
      </c>
      <c r="M862">
        <v>-1.6685000000000001</v>
      </c>
      <c r="N862" t="s">
        <v>23</v>
      </c>
      <c r="O862">
        <v>1050</v>
      </c>
      <c r="P862">
        <v>13.7</v>
      </c>
      <c r="Q862">
        <v>10</v>
      </c>
      <c r="R862" s="7" t="str">
        <f>IF(AllData[[#This Row],[Nitrate (PPM)]]&gt;2, "Very high", IF(AllData[[#This Row],[Nitrate (PPM)]]&gt;1, "High", IF(AllData[[#This Row],[Nitrate (PPM)]]&gt;0.5, "Some evidence", IF(AllData[[#This Row],[Nitrate (PPM)]]&gt;=0, "No evidence"))))</f>
        <v>Very high</v>
      </c>
      <c r="S862" s="4">
        <v>0.22</v>
      </c>
      <c r="T862" s="7" t="str">
        <f>IF(AllData[[#This Row],[Phosphate (PPM)]]&gt;0.5, "Very high", IF(AllData[[#This Row],[Phosphate (PPM)]]&gt;0.1, "High", IF(AllData[[#This Row],[Phosphate (PPM)]]&gt;0.05, "Some evidence", IF(AllData[[#This Row],[Phosphate (PPM)]]&lt;=0.05, "No Evidence", ""))))</f>
        <v>High</v>
      </c>
      <c r="U862">
        <v>0.2</v>
      </c>
    </row>
    <row r="863" spans="1:22" x14ac:dyDescent="0.25">
      <c r="A863" t="s">
        <v>1172</v>
      </c>
      <c r="B863" s="2">
        <v>45439</v>
      </c>
      <c r="C863" s="2" t="str" cm="1">
        <f t="array" ref="C8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3">
        <f>YEAR(AllData[[#This Row],[Date]])</f>
        <v>2024</v>
      </c>
      <c r="E863" s="1">
        <v>0.41805555555555557</v>
      </c>
      <c r="F863" s="2" t="str">
        <f>IF(AND(AllData[[#This Row],[Time]]&lt;0.5, AllData[[#This Row],[Time]]&gt;0.17)=TRUE, "Morning", IF(AND(AllData[[#This Row],[Time]]&lt;0.75, AllData[[#This Row],[Time]]&gt;=0.5)=TRUE, "Afternoon", IF(AND(AllData[[#This Row],[Time]]&lt;1, AllData[[#This Row],[Time]]&gt;=0.75)=TRUE, "Evening", "Night")))</f>
        <v>Morning</v>
      </c>
      <c r="G863" t="str">
        <f>_xlfn.XLOOKUP(AllData[[#This Row],[Location Name]], Locations[Location Name],Locations[Group As])</f>
        <v>Carrant M5 Bridge</v>
      </c>
      <c r="H863" t="e" vm="1">
        <f>_xlfn.XLOOKUP(AllData[[#This Row],[Site Name]],LocationsKey[Site Name],LocationsKey[District])</f>
        <v>#VALUE!</v>
      </c>
      <c r="I863" t="e" vm="1">
        <f>_xlfn.XLOOKUP(AllData[[#This Row],[Site Name]],LocationsKey[Site Name],LocationsKey[Town])</f>
        <v>#VALUE!</v>
      </c>
      <c r="J863" t="str">
        <f>_xlfn.XLOOKUP(AllData[[#This Row],[Site Name]],LocationsKey[Site Name], LocationsKey[Waterway])</f>
        <v>Carrant</v>
      </c>
      <c r="K863" t="s">
        <v>1015</v>
      </c>
      <c r="L863">
        <v>52.011811999999999</v>
      </c>
      <c r="M863">
        <v>-2.1203129999999999</v>
      </c>
      <c r="N863" t="s">
        <v>23</v>
      </c>
      <c r="O863" s="127">
        <v>732</v>
      </c>
      <c r="P863">
        <v>15.2</v>
      </c>
      <c r="Q863" s="127">
        <v>7</v>
      </c>
      <c r="R863" s="7" t="str">
        <f>IF(AllData[[#This Row],[Nitrate (PPM)]]&gt;2, "Very high", IF(AllData[[#This Row],[Nitrate (PPM)]]&gt;1, "High", IF(AllData[[#This Row],[Nitrate (PPM)]]&gt;0.5, "Some evidence", IF(AllData[[#This Row],[Nitrate (PPM)]]&gt;=0, "No evidence"))))</f>
        <v>Very high</v>
      </c>
      <c r="S863" s="133">
        <v>0.45</v>
      </c>
      <c r="T863" s="7" t="str">
        <f>IF(AllData[[#This Row],[Phosphate (PPM)]]&gt;0.5, "Very high", IF(AllData[[#This Row],[Phosphate (PPM)]]&gt;0.1, "High", IF(AllData[[#This Row],[Phosphate (PPM)]]&gt;0.05, "Some evidence", IF(AllData[[#This Row],[Phosphate (PPM)]]&lt;=0.05, "No Evidence", ""))))</f>
        <v>High</v>
      </c>
      <c r="U863">
        <v>0</v>
      </c>
    </row>
    <row r="864" spans="1:22" x14ac:dyDescent="0.25">
      <c r="A864" t="s">
        <v>1178</v>
      </c>
      <c r="B864" s="2">
        <v>45439</v>
      </c>
      <c r="C864" s="2" t="str" cm="1">
        <f t="array" ref="C8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4">
        <f>YEAR(AllData[[#This Row],[Date]])</f>
        <v>2024</v>
      </c>
      <c r="E864" s="1">
        <v>0.42708333333333331</v>
      </c>
      <c r="F864" s="2" t="str">
        <f>IF(AND(AllData[[#This Row],[Time]]&lt;0.5, AllData[[#This Row],[Time]]&gt;0.17)=TRUE, "Morning", IF(AND(AllData[[#This Row],[Time]]&lt;0.75, AllData[[#This Row],[Time]]&gt;=0.5)=TRUE, "Afternoon", IF(AND(AllData[[#This Row],[Time]]&lt;1, AllData[[#This Row],[Time]]&gt;=0.75)=TRUE, "Evening", "Night")))</f>
        <v>Morning</v>
      </c>
      <c r="G864" t="str">
        <f>_xlfn.XLOOKUP(AllData[[#This Row],[Location Name]], Locations[Location Name],Locations[Group As])</f>
        <v>Bell Brook 1</v>
      </c>
      <c r="H864" t="e" vm="2">
        <f>_xlfn.XLOOKUP(AllData[[#This Row],[Site Name]],LocationsKey[Site Name],LocationsKey[District])</f>
        <v>#VALUE!</v>
      </c>
      <c r="I864" t="e" vm="15">
        <f>_xlfn.XLOOKUP(AllData[[#This Row],[Site Name]],LocationsKey[Site Name],LocationsKey[Town])</f>
        <v>#VALUE!</v>
      </c>
      <c r="J864" t="str">
        <f>_xlfn.XLOOKUP(AllData[[#This Row],[Site Name]],LocationsKey[Site Name], LocationsKey[Waterway])</f>
        <v>Bell Brook</v>
      </c>
      <c r="K864" t="s">
        <v>534</v>
      </c>
      <c r="L864">
        <v>52.244900000000001</v>
      </c>
      <c r="M864">
        <v>-1.6617</v>
      </c>
      <c r="N864" t="s">
        <v>23</v>
      </c>
      <c r="O864">
        <v>686</v>
      </c>
      <c r="P864">
        <v>14.5</v>
      </c>
      <c r="Q864">
        <v>5</v>
      </c>
      <c r="R864" s="7" t="str">
        <f>IF(AllData[[#This Row],[Nitrate (PPM)]]&gt;2, "Very high", IF(AllData[[#This Row],[Nitrate (PPM)]]&gt;1, "High", IF(AllData[[#This Row],[Nitrate (PPM)]]&gt;0.5, "Some evidence", IF(AllData[[#This Row],[Nitrate (PPM)]]&gt;=0, "No evidence"))))</f>
        <v>Very high</v>
      </c>
      <c r="S864" s="4">
        <v>0.46</v>
      </c>
      <c r="T864" s="7" t="str">
        <f>IF(AllData[[#This Row],[Phosphate (PPM)]]&gt;0.5, "Very high", IF(AllData[[#This Row],[Phosphate (PPM)]]&gt;0.1, "High", IF(AllData[[#This Row],[Phosphate (PPM)]]&gt;0.05, "Some evidence", IF(AllData[[#This Row],[Phosphate (PPM)]]&lt;=0.05, "No Evidence", ""))))</f>
        <v>High</v>
      </c>
      <c r="U864">
        <v>0.2</v>
      </c>
    </row>
    <row r="865" spans="1:22" x14ac:dyDescent="0.25">
      <c r="A865" t="s">
        <v>1173</v>
      </c>
      <c r="B865" s="2">
        <v>45439</v>
      </c>
      <c r="C865" s="2" t="str" cm="1">
        <f t="array" ref="C8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5">
        <f>YEAR(AllData[[#This Row],[Date]])</f>
        <v>2024</v>
      </c>
      <c r="E865" s="1">
        <v>0.4375</v>
      </c>
      <c r="F865" s="2" t="str">
        <f>IF(AND(AllData[[#This Row],[Time]]&lt;0.5, AllData[[#This Row],[Time]]&gt;0.17)=TRUE, "Morning", IF(AND(AllData[[#This Row],[Time]]&lt;0.75, AllData[[#This Row],[Time]]&gt;=0.5)=TRUE, "Afternoon", IF(AND(AllData[[#This Row],[Time]]&lt;1, AllData[[#This Row],[Time]]&gt;=0.75)=TRUE, "Evening", "Night")))</f>
        <v>Morning</v>
      </c>
      <c r="G865" t="str">
        <f>_xlfn.XLOOKUP(AllData[[#This Row],[Location Name]], Locations[Location Name],Locations[Group As])</f>
        <v>Abbey Mill</v>
      </c>
      <c r="H865" t="e" vm="1">
        <f>_xlfn.XLOOKUP(AllData[[#This Row],[Site Name]],LocationsKey[Site Name],LocationsKey[District])</f>
        <v>#VALUE!</v>
      </c>
      <c r="I865" t="e" vm="1">
        <f>_xlfn.XLOOKUP(AllData[[#This Row],[Site Name]],LocationsKey[Site Name],LocationsKey[Town])</f>
        <v>#VALUE!</v>
      </c>
      <c r="J865" t="str">
        <f>_xlfn.XLOOKUP(AllData[[#This Row],[Site Name]],LocationsKey[Site Name], LocationsKey[Waterway])</f>
        <v>Avon</v>
      </c>
      <c r="K865" t="s">
        <v>25</v>
      </c>
      <c r="N865" t="s">
        <v>23</v>
      </c>
      <c r="O865" s="127">
        <v>733</v>
      </c>
      <c r="P865">
        <v>16</v>
      </c>
      <c r="Q865" s="127">
        <v>5</v>
      </c>
      <c r="R865" s="7" t="str">
        <f>IF(AllData[[#This Row],[Nitrate (PPM)]]&gt;2, "Very high", IF(AllData[[#This Row],[Nitrate (PPM)]]&gt;1, "High", IF(AllData[[#This Row],[Nitrate (PPM)]]&gt;0.5, "Some evidence", IF(AllData[[#This Row],[Nitrate (PPM)]]&gt;=0, "No evidence"))))</f>
        <v>Very high</v>
      </c>
      <c r="S865" s="133">
        <v>0.64</v>
      </c>
      <c r="T865" s="7" t="str">
        <f>IF(AllData[[#This Row],[Phosphate (PPM)]]&gt;0.5, "Very high", IF(AllData[[#This Row],[Phosphate (PPM)]]&gt;0.1, "High", IF(AllData[[#This Row],[Phosphate (PPM)]]&gt;0.05, "Some evidence", IF(AllData[[#This Row],[Phosphate (PPM)]]&lt;=0.05, "No Evidence", ""))))</f>
        <v>Very high</v>
      </c>
      <c r="U865">
        <v>0</v>
      </c>
    </row>
    <row r="866" spans="1:22" x14ac:dyDescent="0.25">
      <c r="A866" t="s">
        <v>1174</v>
      </c>
      <c r="B866" s="2">
        <v>45439</v>
      </c>
      <c r="C866" s="2" t="str" cm="1">
        <f t="array" ref="C8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6">
        <f>YEAR(AllData[[#This Row],[Date]])</f>
        <v>2024</v>
      </c>
      <c r="E866" s="1">
        <v>0.44166666666666665</v>
      </c>
      <c r="F866" s="2" t="str">
        <f>IF(AND(AllData[[#This Row],[Time]]&lt;0.5, AllData[[#This Row],[Time]]&gt;0.17)=TRUE, "Morning", IF(AND(AllData[[#This Row],[Time]]&lt;0.75, AllData[[#This Row],[Time]]&gt;=0.5)=TRUE, "Afternoon", IF(AND(AllData[[#This Row],[Time]]&lt;1, AllData[[#This Row],[Time]]&gt;=0.75)=TRUE, "Evening", "Night")))</f>
        <v>Morning</v>
      </c>
      <c r="G866" t="str">
        <f>_xlfn.XLOOKUP(AllData[[#This Row],[Location Name]], Locations[Location Name],Locations[Group As])</f>
        <v>Black Bear</v>
      </c>
      <c r="H866" t="e" vm="1">
        <f>_xlfn.XLOOKUP(AllData[[#This Row],[Site Name]],LocationsKey[Site Name],LocationsKey[District])</f>
        <v>#VALUE!</v>
      </c>
      <c r="I866" t="e" vm="1">
        <f>_xlfn.XLOOKUP(AllData[[#This Row],[Site Name]],LocationsKey[Site Name],LocationsKey[Town])</f>
        <v>#VALUE!</v>
      </c>
      <c r="J866" t="str">
        <f>_xlfn.XLOOKUP(AllData[[#This Row],[Site Name]],LocationsKey[Site Name], LocationsKey[Waterway])</f>
        <v>Avon</v>
      </c>
      <c r="K866" t="s">
        <v>1045</v>
      </c>
      <c r="L866">
        <v>51.997521999999996</v>
      </c>
      <c r="M866">
        <v>-2.1561469999999998</v>
      </c>
      <c r="N866" t="s">
        <v>23</v>
      </c>
      <c r="O866" s="127">
        <v>694</v>
      </c>
      <c r="P866">
        <v>15.8</v>
      </c>
      <c r="Q866" s="127">
        <v>10</v>
      </c>
      <c r="R866" s="7" t="str">
        <f>IF(AllData[[#This Row],[Nitrate (PPM)]]&gt;2, "Very high", IF(AllData[[#This Row],[Nitrate (PPM)]]&gt;1, "High", IF(AllData[[#This Row],[Nitrate (PPM)]]&gt;0.5, "Some evidence", IF(AllData[[#This Row],[Nitrate (PPM)]]&gt;=0, "No evidence"))))</f>
        <v>Very high</v>
      </c>
      <c r="S866" s="133">
        <v>0.75</v>
      </c>
      <c r="T866" s="7" t="str">
        <f>IF(AllData[[#This Row],[Phosphate (PPM)]]&gt;0.5, "Very high", IF(AllData[[#This Row],[Phosphate (PPM)]]&gt;0.1, "High", IF(AllData[[#This Row],[Phosphate (PPM)]]&gt;0.05, "Some evidence", IF(AllData[[#This Row],[Phosphate (PPM)]]&lt;=0.05, "No Evidence", ""))))</f>
        <v>Very high</v>
      </c>
      <c r="U866">
        <v>0</v>
      </c>
    </row>
    <row r="867" spans="1:22" x14ac:dyDescent="0.25">
      <c r="A867" t="s">
        <v>1175</v>
      </c>
      <c r="B867" s="2">
        <v>45439</v>
      </c>
      <c r="C867" s="2" t="str" cm="1">
        <f t="array" ref="C8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7">
        <f>YEAR(AllData[[#This Row],[Date]])</f>
        <v>2024</v>
      </c>
      <c r="E867" s="1">
        <v>0.44583333333333336</v>
      </c>
      <c r="F867" s="2" t="str">
        <f>IF(AND(AllData[[#This Row],[Time]]&lt;0.5, AllData[[#This Row],[Time]]&gt;0.17)=TRUE, "Morning", IF(AND(AllData[[#This Row],[Time]]&lt;0.75, AllData[[#This Row],[Time]]&gt;=0.5)=TRUE, "Afternoon", IF(AND(AllData[[#This Row],[Time]]&lt;1, AllData[[#This Row],[Time]]&gt;=0.75)=TRUE, "Evening", "Night")))</f>
        <v>Morning</v>
      </c>
      <c r="G867" t="str">
        <f>_xlfn.XLOOKUP(AllData[[#This Row],[Location Name]], Locations[Location Name],Locations[Group As])</f>
        <v>Stour Stretton-on-Fosse Village</v>
      </c>
      <c r="H867" t="e" vm="2">
        <f>_xlfn.XLOOKUP(AllData[[#This Row],[Site Name]],LocationsKey[Site Name],LocationsKey[District])</f>
        <v>#VALUE!</v>
      </c>
      <c r="I867" t="e" vm="14">
        <f>_xlfn.XLOOKUP(AllData[[#This Row],[Site Name]],LocationsKey[Site Name],LocationsKey[Town])</f>
        <v>#VALUE!</v>
      </c>
      <c r="J867" t="str">
        <f>_xlfn.XLOOKUP(AllData[[#This Row],[Site Name]],LocationsKey[Site Name], LocationsKey[Waterway])</f>
        <v>Stour</v>
      </c>
      <c r="K867" t="s">
        <v>544</v>
      </c>
      <c r="L867">
        <v>52.046515999999997</v>
      </c>
      <c r="M867">
        <v>-1.6733880000000001</v>
      </c>
      <c r="N867" t="s">
        <v>66</v>
      </c>
      <c r="O867" s="127">
        <v>758</v>
      </c>
      <c r="P867">
        <v>13.2</v>
      </c>
      <c r="Q867" s="127">
        <v>1</v>
      </c>
      <c r="R867" s="7" t="str">
        <f>IF(AllData[[#This Row],[Nitrate (PPM)]]&gt;2, "Very high", IF(AllData[[#This Row],[Nitrate (PPM)]]&gt;1, "High", IF(AllData[[#This Row],[Nitrate (PPM)]]&gt;0.5, "Some evidence", IF(AllData[[#This Row],[Nitrate (PPM)]]&gt;=0, "No evidence"))))</f>
        <v>Some evidence</v>
      </c>
      <c r="S867" s="133">
        <v>2.46</v>
      </c>
      <c r="T867" s="7" t="str">
        <f>IF(AllData[[#This Row],[Phosphate (PPM)]]&gt;0.5, "Very high", IF(AllData[[#This Row],[Phosphate (PPM)]]&gt;0.1, "High", IF(AllData[[#This Row],[Phosphate (PPM)]]&gt;0.05, "Some evidence", IF(AllData[[#This Row],[Phosphate (PPM)]]&lt;=0.05, "No Evidence", ""))))</f>
        <v>Very high</v>
      </c>
      <c r="U867">
        <v>0.15</v>
      </c>
    </row>
    <row r="868" spans="1:22" x14ac:dyDescent="0.25">
      <c r="A868" t="s">
        <v>1176</v>
      </c>
      <c r="B868" s="2">
        <v>45439</v>
      </c>
      <c r="C868" s="2" t="str" cm="1">
        <f t="array" ref="C8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8">
        <f>YEAR(AllData[[#This Row],[Date]])</f>
        <v>2024</v>
      </c>
      <c r="E868" s="1">
        <v>0.45347222222222222</v>
      </c>
      <c r="F868" s="2" t="str">
        <f>IF(AND(AllData[[#This Row],[Time]]&lt;0.5, AllData[[#This Row],[Time]]&gt;0.17)=TRUE, "Morning", IF(AND(AllData[[#This Row],[Time]]&lt;0.75, AllData[[#This Row],[Time]]&gt;=0.5)=TRUE, "Afternoon", IF(AND(AllData[[#This Row],[Time]]&lt;1, AllData[[#This Row],[Time]]&gt;=0.75)=TRUE, "Evening", "Night")))</f>
        <v>Morning</v>
      </c>
      <c r="G868" t="str">
        <f>_xlfn.XLOOKUP(AllData[[#This Row],[Location Name]], Locations[Location Name],Locations[Group As])</f>
        <v>Stour Stretton-on-Fosse Sewage Works</v>
      </c>
      <c r="H868" t="e" vm="2">
        <f>_xlfn.XLOOKUP(AllData[[#This Row],[Site Name]],LocationsKey[Site Name],LocationsKey[District])</f>
        <v>#VALUE!</v>
      </c>
      <c r="I868" t="e" vm="14">
        <f>_xlfn.XLOOKUP(AllData[[#This Row],[Site Name]],LocationsKey[Site Name],LocationsKey[Town])</f>
        <v>#VALUE!</v>
      </c>
      <c r="J868" t="str">
        <f>_xlfn.XLOOKUP(AllData[[#This Row],[Site Name]],LocationsKey[Site Name], LocationsKey[Waterway])</f>
        <v>Stour</v>
      </c>
      <c r="K868" t="s">
        <v>335</v>
      </c>
      <c r="L868">
        <v>52.045654999999996</v>
      </c>
      <c r="M868">
        <v>-1.6719310000000001</v>
      </c>
      <c r="N868" t="s">
        <v>29</v>
      </c>
      <c r="O868" s="127">
        <v>789</v>
      </c>
      <c r="P868">
        <v>13.8</v>
      </c>
      <c r="Q868" s="127">
        <v>1</v>
      </c>
      <c r="R868" s="7" t="str">
        <f>IF(AllData[[#This Row],[Nitrate (PPM)]]&gt;2, "Very high", IF(AllData[[#This Row],[Nitrate (PPM)]]&gt;1, "High", IF(AllData[[#This Row],[Nitrate (PPM)]]&gt;0.5, "Some evidence", IF(AllData[[#This Row],[Nitrate (PPM)]]&gt;=0, "No evidence"))))</f>
        <v>Some evidence</v>
      </c>
      <c r="S868" s="133">
        <v>2.5</v>
      </c>
      <c r="T868" s="7" t="str">
        <f>IF(AllData[[#This Row],[Phosphate (PPM)]]&gt;0.5, "Very high", IF(AllData[[#This Row],[Phosphate (PPM)]]&gt;0.1, "High", IF(AllData[[#This Row],[Phosphate (PPM)]]&gt;0.05, "Some evidence", IF(AllData[[#This Row],[Phosphate (PPM)]]&lt;=0.05, "No Evidence", ""))))</f>
        <v>Very high</v>
      </c>
      <c r="U868">
        <v>0.25</v>
      </c>
      <c r="V868" t="s">
        <v>1177</v>
      </c>
    </row>
    <row r="869" spans="1:22" x14ac:dyDescent="0.25">
      <c r="A869" t="s">
        <v>1180</v>
      </c>
      <c r="B869" s="2">
        <v>45440</v>
      </c>
      <c r="C869" s="2" t="str" cm="1">
        <f t="array" ref="C8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9">
        <f>YEAR(AllData[[#This Row],[Date]])</f>
        <v>2024</v>
      </c>
      <c r="E869" s="1">
        <v>0.41666666666666669</v>
      </c>
      <c r="F869" s="2" t="str">
        <f>IF(AND(AllData[[#This Row],[Time]]&lt;0.5, AllData[[#This Row],[Time]]&gt;0.17)=TRUE, "Morning", IF(AND(AllData[[#This Row],[Time]]&lt;0.75, AllData[[#This Row],[Time]]&gt;=0.5)=TRUE, "Afternoon", IF(AND(AllData[[#This Row],[Time]]&lt;1, AllData[[#This Row],[Time]]&gt;=0.75)=TRUE, "Evening", "Night")))</f>
        <v>Morning</v>
      </c>
      <c r="G869" t="str">
        <f>_xlfn.XLOOKUP(AllData[[#This Row],[Location Name]], Locations[Location Name],Locations[Group As])</f>
        <v>The Ford, Langley</v>
      </c>
      <c r="H869" t="e" vm="2">
        <f>_xlfn.XLOOKUP(AllData[[#This Row],[Site Name]],LocationsKey[Site Name],LocationsKey[District])</f>
        <v>#VALUE!</v>
      </c>
      <c r="I869" t="str">
        <f>_xlfn.XLOOKUP(AllData[[#This Row],[Site Name]],LocationsKey[Site Name],LocationsKey[Town])</f>
        <v>Langley</v>
      </c>
      <c r="J869" t="str">
        <f>_xlfn.XLOOKUP(AllData[[#This Row],[Site Name]],LocationsKey[Site Name], LocationsKey[Waterway])</f>
        <v>Langley Ford</v>
      </c>
      <c r="K869" t="s">
        <v>526</v>
      </c>
      <c r="L869">
        <v>52.269092000000001</v>
      </c>
      <c r="M869">
        <v>-1.7232670000000001</v>
      </c>
      <c r="N869" t="s">
        <v>29</v>
      </c>
      <c r="O869">
        <v>899</v>
      </c>
      <c r="P869">
        <v>16</v>
      </c>
      <c r="Q869">
        <v>5</v>
      </c>
      <c r="R869" s="7" t="str">
        <f>IF(AllData[[#This Row],[Nitrate (PPM)]]&gt;2, "Very high", IF(AllData[[#This Row],[Nitrate (PPM)]]&gt;1, "High", IF(AllData[[#This Row],[Nitrate (PPM)]]&gt;0.5, "Some evidence", IF(AllData[[#This Row],[Nitrate (PPM)]]&gt;=0, "No evidence"))))</f>
        <v>Very high</v>
      </c>
      <c r="S869" s="4">
        <v>0.44</v>
      </c>
      <c r="T869" s="7" t="str">
        <f>IF(AllData[[#This Row],[Phosphate (PPM)]]&gt;0.5, "Very high", IF(AllData[[#This Row],[Phosphate (PPM)]]&gt;0.1, "High", IF(AllData[[#This Row],[Phosphate (PPM)]]&gt;0.05, "Some evidence", IF(AllData[[#This Row],[Phosphate (PPM)]]&lt;=0.05, "No Evidence", ""))))</f>
        <v>High</v>
      </c>
      <c r="U869">
        <v>0.25</v>
      </c>
    </row>
    <row r="870" spans="1:22" x14ac:dyDescent="0.25">
      <c r="A870" t="s">
        <v>1181</v>
      </c>
      <c r="B870" s="2">
        <v>45441</v>
      </c>
      <c r="C870" s="2" t="str" cm="1">
        <f t="array" ref="C8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0">
        <f>YEAR(AllData[[#This Row],[Date]])</f>
        <v>2024</v>
      </c>
      <c r="E870" s="1">
        <v>0.59791666666666665</v>
      </c>
      <c r="F870" s="2" t="str">
        <f>IF(AND(AllData[[#This Row],[Time]]&lt;0.5, AllData[[#This Row],[Time]]&gt;0.17)=TRUE, "Morning", IF(AND(AllData[[#This Row],[Time]]&lt;0.75, AllData[[#This Row],[Time]]&gt;=0.5)=TRUE, "Afternoon", IF(AND(AllData[[#This Row],[Time]]&lt;1, AllData[[#This Row],[Time]]&gt;=0.75)=TRUE, "Evening", "Night")))</f>
        <v>Afternoon</v>
      </c>
      <c r="G870" t="str">
        <f>_xlfn.XLOOKUP(AllData[[#This Row],[Location Name]], Locations[Location Name],Locations[Group As])</f>
        <v>Alveston Weir</v>
      </c>
      <c r="H870" t="e" vm="2">
        <f>_xlfn.XLOOKUP(AllData[[#This Row],[Site Name]],LocationsKey[Site Name],LocationsKey[District])</f>
        <v>#VALUE!</v>
      </c>
      <c r="I870" t="e" vm="13">
        <f>_xlfn.XLOOKUP(AllData[[#This Row],[Site Name]],LocationsKey[Site Name],LocationsKey[Town])</f>
        <v>#VALUE!</v>
      </c>
      <c r="J870" t="str">
        <f>_xlfn.XLOOKUP(AllData[[#This Row],[Site Name]],LocationsKey[Site Name], LocationsKey[Waterway])</f>
        <v>Avon</v>
      </c>
      <c r="K870" t="s">
        <v>286</v>
      </c>
      <c r="L870">
        <v>52.212288999999998</v>
      </c>
      <c r="M870">
        <v>-1.660452</v>
      </c>
      <c r="N870" t="s">
        <v>29</v>
      </c>
      <c r="O870" s="220">
        <v>611</v>
      </c>
      <c r="P870">
        <v>17.100000000000001</v>
      </c>
      <c r="Q870" s="220">
        <v>5</v>
      </c>
      <c r="R870" s="7" t="str">
        <f>IF(AllData[[#This Row],[Nitrate (PPM)]]&gt;2, "Very high", IF(AllData[[#This Row],[Nitrate (PPM)]]&gt;1, "High", IF(AllData[[#This Row],[Nitrate (PPM)]]&gt;0.5, "Some evidence", IF(AllData[[#This Row],[Nitrate (PPM)]]&gt;=0, "No evidence"))))</f>
        <v>Very high</v>
      </c>
      <c r="S870" s="222">
        <v>0.48</v>
      </c>
      <c r="T870" s="7" t="str">
        <f>IF(AllData[[#This Row],[Phosphate (PPM)]]&gt;0.5, "Very high", IF(AllData[[#This Row],[Phosphate (PPM)]]&gt;0.1, "High", IF(AllData[[#This Row],[Phosphate (PPM)]]&gt;0.05, "Some evidence", IF(AllData[[#This Row],[Phosphate (PPM)]]&lt;=0.05, "No Evidence", ""))))</f>
        <v>High</v>
      </c>
      <c r="U870">
        <v>0.25</v>
      </c>
      <c r="V870" t="s">
        <v>1182</v>
      </c>
    </row>
    <row r="871" spans="1:22" x14ac:dyDescent="0.25">
      <c r="A871" t="s">
        <v>1183</v>
      </c>
      <c r="B871" s="2">
        <v>45441</v>
      </c>
      <c r="C871" s="2" t="str" cm="1">
        <f t="array" ref="C8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1">
        <f>YEAR(AllData[[#This Row],[Date]])</f>
        <v>2024</v>
      </c>
      <c r="E871" s="1">
        <v>0.60277777777777775</v>
      </c>
      <c r="F871" s="2" t="str">
        <f>IF(AND(AllData[[#This Row],[Time]]&lt;0.5, AllData[[#This Row],[Time]]&gt;0.17)=TRUE, "Morning", IF(AND(AllData[[#This Row],[Time]]&lt;0.75, AllData[[#This Row],[Time]]&gt;=0.5)=TRUE, "Afternoon", IF(AND(AllData[[#This Row],[Time]]&lt;1, AllData[[#This Row],[Time]]&gt;=0.75)=TRUE, "Evening", "Night")))</f>
        <v>Afternoon</v>
      </c>
      <c r="G871" t="str">
        <f>_xlfn.XLOOKUP(AllData[[#This Row],[Location Name]], Locations[Location Name],Locations[Group As])</f>
        <v>Swiffen Bank</v>
      </c>
      <c r="H871" t="e" vm="2">
        <f>_xlfn.XLOOKUP(AllData[[#This Row],[Site Name]],LocationsKey[Site Name],LocationsKey[District])</f>
        <v>#VALUE!</v>
      </c>
      <c r="I871" t="e" vm="13">
        <f>_xlfn.XLOOKUP(AllData[[#This Row],[Site Name]],LocationsKey[Site Name],LocationsKey[Town])</f>
        <v>#VALUE!</v>
      </c>
      <c r="J871" t="str">
        <f>_xlfn.XLOOKUP(AllData[[#This Row],[Site Name]],LocationsKey[Site Name], LocationsKey[Waterway])</f>
        <v>Avon</v>
      </c>
      <c r="K871" t="s">
        <v>284</v>
      </c>
      <c r="L871">
        <v>52.206477999999997</v>
      </c>
      <c r="M871">
        <v>-1.653894</v>
      </c>
      <c r="N871" t="s">
        <v>29</v>
      </c>
      <c r="O871" s="220">
        <v>631</v>
      </c>
      <c r="P871">
        <v>17.2</v>
      </c>
      <c r="Q871" s="220">
        <v>5</v>
      </c>
      <c r="R871" s="7" t="str">
        <f>IF(AllData[[#This Row],[Nitrate (PPM)]]&gt;2, "Very high", IF(AllData[[#This Row],[Nitrate (PPM)]]&gt;1, "High", IF(AllData[[#This Row],[Nitrate (PPM)]]&gt;0.5, "Some evidence", IF(AllData[[#This Row],[Nitrate (PPM)]]&gt;=0, "No evidence"))))</f>
        <v>Very high</v>
      </c>
      <c r="S871" s="222">
        <v>0.48</v>
      </c>
      <c r="T871" s="7" t="str">
        <f>IF(AllData[[#This Row],[Phosphate (PPM)]]&gt;0.5, "Very high", IF(AllData[[#This Row],[Phosphate (PPM)]]&gt;0.1, "High", IF(AllData[[#This Row],[Phosphate (PPM)]]&gt;0.05, "Some evidence", IF(AllData[[#This Row],[Phosphate (PPM)]]&lt;=0.05, "No Evidence", ""))))</f>
        <v>High</v>
      </c>
      <c r="U871">
        <v>0.25</v>
      </c>
    </row>
    <row r="872" spans="1:22" x14ac:dyDescent="0.25">
      <c r="A872" t="s">
        <v>1184</v>
      </c>
      <c r="B872" s="2">
        <v>45442</v>
      </c>
      <c r="C872" s="2" t="str" cm="1">
        <f t="array" ref="C8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2">
        <f>YEAR(AllData[[#This Row],[Date]])</f>
        <v>2024</v>
      </c>
      <c r="E872" s="1">
        <v>0.37847222222222221</v>
      </c>
      <c r="F872" s="2" t="str">
        <f>IF(AND(AllData[[#This Row],[Time]]&lt;0.5, AllData[[#This Row],[Time]]&gt;0.17)=TRUE, "Morning", IF(AND(AllData[[#This Row],[Time]]&lt;0.75, AllData[[#This Row],[Time]]&gt;=0.5)=TRUE, "Afternoon", IF(AND(AllData[[#This Row],[Time]]&lt;1, AllData[[#This Row],[Time]]&gt;=0.75)=TRUE, "Evening", "Night")))</f>
        <v>Morning</v>
      </c>
      <c r="G872" t="str">
        <f>_xlfn.XLOOKUP(AllData[[#This Row],[Location Name]], Locations[Location Name],Locations[Group As])</f>
        <v>Swilgate</v>
      </c>
      <c r="H872" t="e" vm="1">
        <f>_xlfn.XLOOKUP(AllData[[#This Row],[Site Name]],LocationsKey[Site Name],LocationsKey[District])</f>
        <v>#VALUE!</v>
      </c>
      <c r="I872" t="e" vm="1">
        <f>_xlfn.XLOOKUP(AllData[[#This Row],[Site Name]],LocationsKey[Site Name],LocationsKey[Town])</f>
        <v>#VALUE!</v>
      </c>
      <c r="J872" t="str">
        <f>_xlfn.XLOOKUP(AllData[[#This Row],[Site Name]],LocationsKey[Site Name], LocationsKey[Waterway])</f>
        <v>Swilgate</v>
      </c>
      <c r="K872" t="s">
        <v>84</v>
      </c>
      <c r="N872" t="s">
        <v>23</v>
      </c>
      <c r="O872" s="127">
        <v>934</v>
      </c>
      <c r="P872">
        <v>15</v>
      </c>
      <c r="Q872" s="127">
        <v>4</v>
      </c>
      <c r="R872" s="126" t="str">
        <f>IF(AllData[[#This Row],[Nitrate (PPM)]]&gt;2, "Very high", IF(AllData[[#This Row],[Nitrate (PPM)]]&gt;1, "High", IF(AllData[[#This Row],[Nitrate (PPM)]]&gt;0.5, "Some evidence", IF(AllData[[#This Row],[Nitrate (PPM)]]&gt;=0, "No evidence"))))</f>
        <v>Very high</v>
      </c>
      <c r="S872" s="133">
        <v>0.48</v>
      </c>
      <c r="T872" s="126" t="str">
        <f>IF(AllData[[#This Row],[Phosphate (PPM)]]&gt;0.5, "Very high", IF(AllData[[#This Row],[Phosphate (PPM)]]&gt;0.1, "High", IF(AllData[[#This Row],[Phosphate (PPM)]]&gt;0.05, "Some evidence", IF(AllData[[#This Row],[Phosphate (PPM)]]&lt;=0.05, "No Evidence", ""))))</f>
        <v>High</v>
      </c>
      <c r="U872">
        <v>0</v>
      </c>
    </row>
    <row r="873" spans="1:22" x14ac:dyDescent="0.25">
      <c r="A873" t="s">
        <v>1186</v>
      </c>
      <c r="B873" s="2">
        <v>45442</v>
      </c>
      <c r="C873" s="2" t="str" cm="1">
        <f t="array" ref="C8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3">
        <f>YEAR(AllData[[#This Row],[Date]])</f>
        <v>2024</v>
      </c>
      <c r="E873" s="1">
        <v>0.52083333333333337</v>
      </c>
      <c r="F873" s="2" t="str">
        <f>IF(AND(AllData[[#This Row],[Time]]&lt;0.5, AllData[[#This Row],[Time]]&gt;0.17)=TRUE, "Morning", IF(AND(AllData[[#This Row],[Time]]&lt;0.75, AllData[[#This Row],[Time]]&gt;=0.5)=TRUE, "Afternoon", IF(AND(AllData[[#This Row],[Time]]&lt;1, AllData[[#This Row],[Time]]&gt;=0.75)=TRUE, "Evening", "Night")))</f>
        <v>Afternoon</v>
      </c>
      <c r="G873" t="str">
        <f>_xlfn.XLOOKUP(AllData[[#This Row],[Location Name]], Locations[Location Name],Locations[Group As])</f>
        <v>Stour Willington</v>
      </c>
      <c r="H873" t="e" vm="2">
        <f>_xlfn.XLOOKUP(AllData[[#This Row],[Site Name]],LocationsKey[Site Name],LocationsKey[District])</f>
        <v>#VALUE!</v>
      </c>
      <c r="I873" t="str">
        <f>_xlfn.XLOOKUP(AllData[[#This Row],[Site Name]],LocationsKey[Site Name],LocationsKey[Town])</f>
        <v>Willington</v>
      </c>
      <c r="J873" t="str">
        <f>_xlfn.XLOOKUP(AllData[[#This Row],[Site Name]],LocationsKey[Site Name], LocationsKey[Waterway])</f>
        <v>Stour</v>
      </c>
      <c r="K873" t="s">
        <v>517</v>
      </c>
      <c r="L873">
        <v>52.053553000000001</v>
      </c>
      <c r="M873">
        <v>-1.6201449999999999</v>
      </c>
      <c r="N873" t="s">
        <v>23</v>
      </c>
      <c r="O873">
        <v>624</v>
      </c>
      <c r="P873">
        <v>14.9</v>
      </c>
      <c r="Q873">
        <v>5</v>
      </c>
      <c r="R873" s="7" t="str">
        <f>IF(AllData[[#This Row],[Nitrate (PPM)]]&gt;2, "Very high", IF(AllData[[#This Row],[Nitrate (PPM)]]&gt;1, "High", IF(AllData[[#This Row],[Nitrate (PPM)]]&gt;0.5, "Some evidence", IF(AllData[[#This Row],[Nitrate (PPM)]]&gt;=0, "No evidence"))))</f>
        <v>Very high</v>
      </c>
      <c r="S873" s="4">
        <v>0.17</v>
      </c>
      <c r="T873" s="7" t="str">
        <f>IF(AllData[[#This Row],[Phosphate (PPM)]]&gt;0.5, "Very high", IF(AllData[[#This Row],[Phosphate (PPM)]]&gt;0.1, "High", IF(AllData[[#This Row],[Phosphate (PPM)]]&gt;0.05, "Some evidence", IF(AllData[[#This Row],[Phosphate (PPM)]]&lt;=0.05, "No Evidence", ""))))</f>
        <v>High</v>
      </c>
      <c r="U873">
        <v>0.5</v>
      </c>
    </row>
    <row r="874" spans="1:22" x14ac:dyDescent="0.25">
      <c r="A874" t="s">
        <v>1185</v>
      </c>
      <c r="B874" s="2">
        <v>45442</v>
      </c>
      <c r="C874" s="2" t="str" cm="1">
        <f t="array" ref="C8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4">
        <f>YEAR(AllData[[#This Row],[Date]])</f>
        <v>2024</v>
      </c>
      <c r="E874" s="1">
        <v>0.78333333333333333</v>
      </c>
      <c r="F874" s="2" t="str">
        <f>IF(AND(AllData[[#This Row],[Time]]&lt;0.5, AllData[[#This Row],[Time]]&gt;0.17)=TRUE, "Morning", IF(AND(AllData[[#This Row],[Time]]&lt;0.75, AllData[[#This Row],[Time]]&gt;=0.5)=TRUE, "Afternoon", IF(AND(AllData[[#This Row],[Time]]&lt;1, AllData[[#This Row],[Time]]&gt;=0.75)=TRUE, "Evening", "Night")))</f>
        <v>Evening</v>
      </c>
      <c r="G874" t="str">
        <f>_xlfn.XLOOKUP(AllData[[#This Row],[Location Name]], Locations[Location Name],Locations[Group As])</f>
        <v>Preston-on-Stour River Bridge</v>
      </c>
      <c r="H874" t="e" vm="2">
        <f>_xlfn.XLOOKUP(AllData[[#This Row],[Site Name]],LocationsKey[Site Name],LocationsKey[District])</f>
        <v>#VALUE!</v>
      </c>
      <c r="I874" t="e" vm="9">
        <f>_xlfn.XLOOKUP(AllData[[#This Row],[Site Name]],LocationsKey[Site Name],LocationsKey[Town])</f>
        <v>#VALUE!</v>
      </c>
      <c r="J874" t="str">
        <f>_xlfn.XLOOKUP(AllData[[#This Row],[Site Name]],LocationsKey[Site Name], LocationsKey[Waterway])</f>
        <v>Stour</v>
      </c>
      <c r="K874" t="s">
        <v>163</v>
      </c>
      <c r="L874">
        <v>52.146549999999998</v>
      </c>
      <c r="M874">
        <v>-1.6999359999999999</v>
      </c>
      <c r="N874" t="s">
        <v>29</v>
      </c>
      <c r="O874">
        <v>677</v>
      </c>
      <c r="P874">
        <v>15.1</v>
      </c>
      <c r="Q874">
        <v>7</v>
      </c>
      <c r="R874" s="7" t="str">
        <f>IF(AllData[[#This Row],[Nitrate (PPM)]]&gt;2, "Very high", IF(AllData[[#This Row],[Nitrate (PPM)]]&gt;1, "High", IF(AllData[[#This Row],[Nitrate (PPM)]]&gt;0.5, "Some evidence", IF(AllData[[#This Row],[Nitrate (PPM)]]&gt;=0, "No evidence"))))</f>
        <v>Very high</v>
      </c>
      <c r="S874" s="4">
        <v>0.22</v>
      </c>
      <c r="T874" s="7" t="str">
        <f>IF(AllData[[#This Row],[Phosphate (PPM)]]&gt;0.5, "Very high", IF(AllData[[#This Row],[Phosphate (PPM)]]&gt;0.1, "High", IF(AllData[[#This Row],[Phosphate (PPM)]]&gt;0.05, "Some evidence", IF(AllData[[#This Row],[Phosphate (PPM)]]&lt;=0.05, "No Evidence", ""))))</f>
        <v>High</v>
      </c>
      <c r="U874">
        <v>1</v>
      </c>
    </row>
    <row r="875" spans="1:22" x14ac:dyDescent="0.25">
      <c r="A875" t="s">
        <v>1187</v>
      </c>
      <c r="B875" s="2">
        <v>45443</v>
      </c>
      <c r="C875" s="2" t="str" cm="1">
        <f t="array" ref="C8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5">
        <f>YEAR(AllData[[#This Row],[Date]])</f>
        <v>2024</v>
      </c>
      <c r="E875" s="1">
        <v>0.31944444444444442</v>
      </c>
      <c r="F875" s="2" t="str">
        <f>IF(AND(AllData[[#This Row],[Time]]&lt;0.5, AllData[[#This Row],[Time]]&gt;0.17)=TRUE, "Morning", IF(AND(AllData[[#This Row],[Time]]&lt;0.75, AllData[[#This Row],[Time]]&gt;=0.5)=TRUE, "Afternoon", IF(AND(AllData[[#This Row],[Time]]&lt;1, AllData[[#This Row],[Time]]&gt;=0.75)=TRUE, "Evening", "Night")))</f>
        <v>Morning</v>
      </c>
      <c r="G875" t="str">
        <f>_xlfn.XLOOKUP(AllData[[#This Row],[Location Name]], Locations[Location Name],Locations[Group As])</f>
        <v>Lower Lode</v>
      </c>
      <c r="H875" t="e" vm="1">
        <f>_xlfn.XLOOKUP(AllData[[#This Row],[Site Name]],LocationsKey[Site Name],LocationsKey[District])</f>
        <v>#VALUE!</v>
      </c>
      <c r="I875" t="e" vm="1">
        <f>_xlfn.XLOOKUP(AllData[[#This Row],[Site Name]],LocationsKey[Site Name],LocationsKey[Town])</f>
        <v>#VALUE!</v>
      </c>
      <c r="J875" t="str">
        <f>_xlfn.XLOOKUP(AllData[[#This Row],[Site Name]],LocationsKey[Site Name], LocationsKey[Waterway])</f>
        <v>Avon</v>
      </c>
      <c r="K875" t="s">
        <v>592</v>
      </c>
      <c r="L875">
        <v>51.985031999999997</v>
      </c>
      <c r="M875">
        <v>-2.1743459999999999</v>
      </c>
      <c r="N875" t="s">
        <v>29</v>
      </c>
      <c r="O875" s="127">
        <v>1020</v>
      </c>
      <c r="P875">
        <v>16.8</v>
      </c>
      <c r="Q875" s="127">
        <v>10</v>
      </c>
      <c r="R875" s="7" t="str">
        <f>IF(AllData[[#This Row],[Nitrate (PPM)]]&gt;2, "Very high", IF(AllData[[#This Row],[Nitrate (PPM)]]&gt;1, "High", IF(AllData[[#This Row],[Nitrate (PPM)]]&gt;0.5, "Some evidence", IF(AllData[[#This Row],[Nitrate (PPM)]]&gt;=0, "No evidence"))))</f>
        <v>Very high</v>
      </c>
      <c r="S875" s="133">
        <v>0.5</v>
      </c>
      <c r="T875" s="7" t="str">
        <f>IF(AllData[[#This Row],[Phosphate (PPM)]]&gt;0.5, "Very high", IF(AllData[[#This Row],[Phosphate (PPM)]]&gt;0.1, "High", IF(AllData[[#This Row],[Phosphate (PPM)]]&gt;0.05, "Some evidence", IF(AllData[[#This Row],[Phosphate (PPM)]]&lt;=0.05, "No Evidence", ""))))</f>
        <v>High</v>
      </c>
      <c r="U875">
        <v>1</v>
      </c>
    </row>
    <row r="876" spans="1:22" x14ac:dyDescent="0.25">
      <c r="A876" t="s">
        <v>1188</v>
      </c>
      <c r="B876" s="2">
        <v>45443</v>
      </c>
      <c r="C876" s="2" t="str" cm="1">
        <f t="array" ref="C8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6">
        <f>YEAR(AllData[[#This Row],[Date]])</f>
        <v>2024</v>
      </c>
      <c r="E876" s="1">
        <v>0.42638888888888887</v>
      </c>
      <c r="F876" s="2" t="str">
        <f>IF(AND(AllData[[#This Row],[Time]]&lt;0.5, AllData[[#This Row],[Time]]&gt;0.17)=TRUE, "Morning", IF(AND(AllData[[#This Row],[Time]]&lt;0.75, AllData[[#This Row],[Time]]&gt;=0.5)=TRUE, "Afternoon", IF(AND(AllData[[#This Row],[Time]]&lt;1, AllData[[#This Row],[Time]]&gt;=0.75)=TRUE, "Evening", "Night")))</f>
        <v>Morning</v>
      </c>
      <c r="G876" t="str">
        <f>_xlfn.XLOOKUP(AllData[[#This Row],[Location Name]], Locations[Location Name],Locations[Group As])</f>
        <v>Carrant Mitton Path</v>
      </c>
      <c r="H876" t="e" vm="1">
        <f>_xlfn.XLOOKUP(AllData[[#This Row],[Site Name]],LocationsKey[Site Name],LocationsKey[District])</f>
        <v>#VALUE!</v>
      </c>
      <c r="I876" t="e" vm="1">
        <f>_xlfn.XLOOKUP(AllData[[#This Row],[Site Name]],LocationsKey[Site Name],LocationsKey[Town])</f>
        <v>#VALUE!</v>
      </c>
      <c r="J876" t="str">
        <f>_xlfn.XLOOKUP(AllData[[#This Row],[Site Name]],LocationsKey[Site Name], LocationsKey[Waterway])</f>
        <v>Carrant</v>
      </c>
      <c r="K876" t="s">
        <v>958</v>
      </c>
      <c r="L876">
        <v>52.000126999999999</v>
      </c>
      <c r="M876">
        <v>-2.1419570000000001</v>
      </c>
      <c r="N876" t="s">
        <v>23</v>
      </c>
      <c r="O876" s="127">
        <v>728</v>
      </c>
      <c r="P876">
        <v>14.6</v>
      </c>
      <c r="Q876" s="127">
        <v>5</v>
      </c>
      <c r="R876" s="7" t="str">
        <f>IF(AllData[[#This Row],[Nitrate (PPM)]]&gt;2, "Very high", IF(AllData[[#This Row],[Nitrate (PPM)]]&gt;1, "High", IF(AllData[[#This Row],[Nitrate (PPM)]]&gt;0.5, "Some evidence", IF(AllData[[#This Row],[Nitrate (PPM)]]&gt;=0, "No evidence"))))</f>
        <v>Very high</v>
      </c>
      <c r="S876" s="133">
        <v>1.27</v>
      </c>
      <c r="T876" s="7" t="str">
        <f>IF(AllData[[#This Row],[Phosphate (PPM)]]&gt;0.5, "Very high", IF(AllData[[#This Row],[Phosphate (PPM)]]&gt;0.1, "High", IF(AllData[[#This Row],[Phosphate (PPM)]]&gt;0.05, "Some evidence", IF(AllData[[#This Row],[Phosphate (PPM)]]&lt;=0.05, "No Evidence", ""))))</f>
        <v>Very high</v>
      </c>
      <c r="U876">
        <v>0</v>
      </c>
    </row>
    <row r="877" spans="1:22" x14ac:dyDescent="0.25">
      <c r="A877" t="s">
        <v>1189</v>
      </c>
      <c r="B877" s="2">
        <v>45443</v>
      </c>
      <c r="C877" s="2" t="str" cm="1">
        <f t="array" ref="C8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7">
        <f>YEAR(AllData[[#This Row],[Date]])</f>
        <v>2024</v>
      </c>
      <c r="E877" s="1">
        <v>0.43958333333333333</v>
      </c>
      <c r="F877" s="2" t="str">
        <f>IF(AND(AllData[[#This Row],[Time]]&lt;0.5, AllData[[#This Row],[Time]]&gt;0.17)=TRUE, "Morning", IF(AND(AllData[[#This Row],[Time]]&lt;0.75, AllData[[#This Row],[Time]]&gt;=0.5)=TRUE, "Afternoon", IF(AND(AllData[[#This Row],[Time]]&lt;1, AllData[[#This Row],[Time]]&gt;=0.75)=TRUE, "Evening", "Night")))</f>
        <v>Morning</v>
      </c>
      <c r="G877" t="str">
        <f>_xlfn.XLOOKUP(AllData[[#This Row],[Location Name]], Locations[Location Name],Locations[Group As])</f>
        <v>Carrant M5 Bridge</v>
      </c>
      <c r="H877" t="e" vm="1">
        <f>_xlfn.XLOOKUP(AllData[[#This Row],[Site Name]],LocationsKey[Site Name],LocationsKey[District])</f>
        <v>#VALUE!</v>
      </c>
      <c r="I877" t="e" vm="1">
        <f>_xlfn.XLOOKUP(AllData[[#This Row],[Site Name]],LocationsKey[Site Name],LocationsKey[Town])</f>
        <v>#VALUE!</v>
      </c>
      <c r="J877" t="str">
        <f>_xlfn.XLOOKUP(AllData[[#This Row],[Site Name]],LocationsKey[Site Name], LocationsKey[Waterway])</f>
        <v>Carrant</v>
      </c>
      <c r="K877" t="s">
        <v>960</v>
      </c>
      <c r="L877">
        <v>52.015557999999999</v>
      </c>
      <c r="M877">
        <v>-2.1281810000000001</v>
      </c>
      <c r="N877" t="s">
        <v>23</v>
      </c>
      <c r="O877" s="127">
        <v>783</v>
      </c>
      <c r="P877">
        <v>14.8</v>
      </c>
      <c r="Q877" s="127">
        <v>5</v>
      </c>
      <c r="R877" s="7" t="str">
        <f>IF(AllData[[#This Row],[Nitrate (PPM)]]&gt;2, "Very high", IF(AllData[[#This Row],[Nitrate (PPM)]]&gt;1, "High", IF(AllData[[#This Row],[Nitrate (PPM)]]&gt;0.5, "Some evidence", IF(AllData[[#This Row],[Nitrate (PPM)]]&gt;=0, "No evidence"))))</f>
        <v>Very high</v>
      </c>
      <c r="S877" s="133">
        <v>0.5</v>
      </c>
      <c r="T877" s="7" t="str">
        <f>IF(AllData[[#This Row],[Phosphate (PPM)]]&gt;0.5, "Very high", IF(AllData[[#This Row],[Phosphate (PPM)]]&gt;0.1, "High", IF(AllData[[#This Row],[Phosphate (PPM)]]&gt;0.05, "Some evidence", IF(AllData[[#This Row],[Phosphate (PPM)]]&lt;=0.05, "No Evidence", ""))))</f>
        <v>High</v>
      </c>
      <c r="U877">
        <v>0</v>
      </c>
    </row>
    <row r="878" spans="1:22" x14ac:dyDescent="0.25">
      <c r="A878" t="s">
        <v>1190</v>
      </c>
      <c r="B878" s="2">
        <v>45443</v>
      </c>
      <c r="C878" s="2" t="str" cm="1">
        <f t="array" ref="C8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8">
        <f>YEAR(AllData[[#This Row],[Date]])</f>
        <v>2024</v>
      </c>
      <c r="E878" s="1">
        <v>0.625</v>
      </c>
      <c r="F878" s="2" t="str">
        <f>IF(AND(AllData[[#This Row],[Time]]&lt;0.5, AllData[[#This Row],[Time]]&gt;0.17)=TRUE, "Morning", IF(AND(AllData[[#This Row],[Time]]&lt;0.75, AllData[[#This Row],[Time]]&gt;=0.5)=TRUE, "Afternoon", IF(AND(AllData[[#This Row],[Time]]&lt;1, AllData[[#This Row],[Time]]&gt;=0.75)=TRUE, "Evening", "Night")))</f>
        <v>Afternoon</v>
      </c>
      <c r="G878" t="str">
        <f>_xlfn.XLOOKUP(AllData[[#This Row],[Location Name]], Locations[Location Name],Locations[Group As])</f>
        <v>Mill Bridge Peopleton</v>
      </c>
      <c r="H878" t="e" vm="17">
        <f>_xlfn.XLOOKUP(AllData[[#This Row],[Site Name]],LocationsKey[Site Name],LocationsKey[District])</f>
        <v>#VALUE!</v>
      </c>
      <c r="I878" t="str">
        <f>_xlfn.XLOOKUP(AllData[[#This Row],[Site Name]],LocationsKey[Site Name],LocationsKey[Town])</f>
        <v>Peopleton</v>
      </c>
      <c r="J878" t="str">
        <f>_xlfn.XLOOKUP(AllData[[#This Row],[Site Name]],LocationsKey[Site Name], LocationsKey[Waterway])</f>
        <v>Bow Brook</v>
      </c>
      <c r="K878" t="s">
        <v>845</v>
      </c>
      <c r="L878">
        <v>52.151626</v>
      </c>
      <c r="M878">
        <v>-2.096444</v>
      </c>
      <c r="N878" t="s">
        <v>29</v>
      </c>
      <c r="O878" s="127">
        <v>989</v>
      </c>
      <c r="P878">
        <v>16</v>
      </c>
      <c r="Q878" s="127">
        <v>5</v>
      </c>
      <c r="R878" s="7" t="str">
        <f>IF(AllData[[#This Row],[Nitrate (PPM)]]&gt;2, "Very high", IF(AllData[[#This Row],[Nitrate (PPM)]]&gt;1, "High", IF(AllData[[#This Row],[Nitrate (PPM)]]&gt;0.5, "Some evidence", IF(AllData[[#This Row],[Nitrate (PPM)]]&gt;=0, "No evidence"))))</f>
        <v>Very high</v>
      </c>
      <c r="S878" s="133">
        <v>1.93</v>
      </c>
      <c r="T878" s="7" t="str">
        <f>IF(AllData[[#This Row],[Phosphate (PPM)]]&gt;0.5, "Very high", IF(AllData[[#This Row],[Phosphate (PPM)]]&gt;0.1, "High", IF(AllData[[#This Row],[Phosphate (PPM)]]&gt;0.05, "Some evidence", IF(AllData[[#This Row],[Phosphate (PPM)]]&lt;=0.05, "No Evidence", ""))))</f>
        <v>Very high</v>
      </c>
      <c r="U878">
        <v>0.6</v>
      </c>
    </row>
    <row r="879" spans="1:22" x14ac:dyDescent="0.25">
      <c r="A879" t="s">
        <v>1193</v>
      </c>
      <c r="B879" s="2">
        <v>45444</v>
      </c>
      <c r="C879" s="2" t="str" cm="1">
        <f t="array" ref="C8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79">
        <f>YEAR(AllData[[#This Row],[Date]])</f>
        <v>2024</v>
      </c>
      <c r="E879" s="1">
        <v>0.43055555555555558</v>
      </c>
      <c r="F879" s="2" t="str">
        <f>IF(AND(AllData[[#This Row],[Time]]&lt;0.5, AllData[[#This Row],[Time]]&gt;0.17)=TRUE, "Morning", IF(AND(AllData[[#This Row],[Time]]&lt;0.75, AllData[[#This Row],[Time]]&gt;=0.5)=TRUE, "Afternoon", IF(AND(AllData[[#This Row],[Time]]&lt;1, AllData[[#This Row],[Time]]&gt;=0.75)=TRUE, "Evening", "Night")))</f>
        <v>Morning</v>
      </c>
      <c r="G879" t="str">
        <f>_xlfn.XLOOKUP(AllData[[#This Row],[Location Name]], Locations[Location Name],Locations[Group As])</f>
        <v>Avon Smiths Meadow Wyre Piddle</v>
      </c>
      <c r="H879" t="e" vm="17">
        <f>_xlfn.XLOOKUP(AllData[[#This Row],[Site Name]],LocationsKey[Site Name],LocationsKey[District])</f>
        <v>#VALUE!</v>
      </c>
      <c r="I879" t="e" vm="20">
        <f>_xlfn.XLOOKUP(AllData[[#This Row],[Site Name]],LocationsKey[Site Name],LocationsKey[Town])</f>
        <v>#VALUE!</v>
      </c>
      <c r="J879" t="str">
        <f>_xlfn.XLOOKUP(AllData[[#This Row],[Site Name]],LocationsKey[Site Name], LocationsKey[Waterway])</f>
        <v>Avon</v>
      </c>
      <c r="K879" t="s">
        <v>741</v>
      </c>
      <c r="L879">
        <v>52.122858999999998</v>
      </c>
      <c r="M879">
        <v>-2.0575389999999998</v>
      </c>
      <c r="N879" t="s">
        <v>23</v>
      </c>
      <c r="O879">
        <v>835</v>
      </c>
      <c r="P879">
        <v>15.6</v>
      </c>
      <c r="Q879">
        <v>5</v>
      </c>
      <c r="R879" s="7" t="str">
        <f>IF(AllData[[#This Row],[Nitrate (PPM)]]&gt;2, "Very high", IF(AllData[[#This Row],[Nitrate (PPM)]]&gt;1, "High", IF(AllData[[#This Row],[Nitrate (PPM)]]&gt;0.5, "Some evidence", IF(AllData[[#This Row],[Nitrate (PPM)]]&gt;=0, "No evidence"))))</f>
        <v>Very high</v>
      </c>
      <c r="S879" s="4">
        <v>0.61</v>
      </c>
      <c r="T879" s="7" t="str">
        <f>IF(AllData[[#This Row],[Phosphate (PPM)]]&gt;0.5, "Very high", IF(AllData[[#This Row],[Phosphate (PPM)]]&gt;0.1, "High", IF(AllData[[#This Row],[Phosphate (PPM)]]&gt;0.05, "Some evidence", IF(AllData[[#This Row],[Phosphate (PPM)]]&lt;=0.05, "No Evidence", ""))))</f>
        <v>Very high</v>
      </c>
      <c r="U879">
        <v>0.65</v>
      </c>
      <c r="V879" t="s">
        <v>1194</v>
      </c>
    </row>
    <row r="880" spans="1:22" x14ac:dyDescent="0.25">
      <c r="A880" t="s">
        <v>1191</v>
      </c>
      <c r="B880" s="2">
        <v>45444</v>
      </c>
      <c r="C880" s="2" t="str" cm="1">
        <f t="array" ref="C8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0">
        <f>YEAR(AllData[[#This Row],[Date]])</f>
        <v>2024</v>
      </c>
      <c r="E880" s="1">
        <v>0.45833333333333331</v>
      </c>
      <c r="F880" s="2" t="str">
        <f>IF(AND(AllData[[#This Row],[Time]]&lt;0.5, AllData[[#This Row],[Time]]&gt;0.17)=TRUE, "Morning", IF(AND(AllData[[#This Row],[Time]]&lt;0.75, AllData[[#This Row],[Time]]&gt;=0.5)=TRUE, "Afternoon", IF(AND(AllData[[#This Row],[Time]]&lt;1, AllData[[#This Row],[Time]]&gt;=0.75)=TRUE, "Evening", "Night")))</f>
        <v>Morning</v>
      </c>
      <c r="G880" t="str">
        <f>_xlfn.XLOOKUP(AllData[[#This Row],[Location Name]], Locations[Location Name],Locations[Group As])</f>
        <v>Piddle Brook Wyre Piddle Bridge</v>
      </c>
      <c r="H880" t="e" vm="17">
        <f>_xlfn.XLOOKUP(AllData[[#This Row],[Site Name]],LocationsKey[Site Name],LocationsKey[District])</f>
        <v>#VALUE!</v>
      </c>
      <c r="I880" t="e" vm="20">
        <f>_xlfn.XLOOKUP(AllData[[#This Row],[Site Name]],LocationsKey[Site Name],LocationsKey[Town])</f>
        <v>#VALUE!</v>
      </c>
      <c r="J880" t="str">
        <f>_xlfn.XLOOKUP(AllData[[#This Row],[Site Name]],LocationsKey[Site Name], LocationsKey[Waterway])</f>
        <v>Piddle Brook</v>
      </c>
      <c r="K880" t="s">
        <v>744</v>
      </c>
      <c r="L880">
        <v>52.126404000000001</v>
      </c>
      <c r="M880">
        <v>-2.0565410000000002</v>
      </c>
      <c r="N880" t="s">
        <v>23</v>
      </c>
      <c r="O880">
        <v>1310</v>
      </c>
      <c r="P880">
        <v>13.8</v>
      </c>
      <c r="Q880">
        <v>5</v>
      </c>
      <c r="R880" s="7" t="str">
        <f>IF(AllData[[#This Row],[Nitrate (PPM)]]&gt;2, "Very high", IF(AllData[[#This Row],[Nitrate (PPM)]]&gt;1, "High", IF(AllData[[#This Row],[Nitrate (PPM)]]&gt;0.5, "Some evidence", IF(AllData[[#This Row],[Nitrate (PPM)]]&gt;=0, "No evidence"))))</f>
        <v>Very high</v>
      </c>
      <c r="S880" s="4">
        <v>0.78</v>
      </c>
      <c r="T880" s="7" t="str">
        <f>IF(AllData[[#This Row],[Phosphate (PPM)]]&gt;0.5, "Very high", IF(AllData[[#This Row],[Phosphate (PPM)]]&gt;0.1, "High", IF(AllData[[#This Row],[Phosphate (PPM)]]&gt;0.05, "Some evidence", IF(AllData[[#This Row],[Phosphate (PPM)]]&lt;=0.05, "No Evidence", ""))))</f>
        <v>Very high</v>
      </c>
      <c r="U880">
        <v>0.21</v>
      </c>
      <c r="V880" t="s">
        <v>1192</v>
      </c>
    </row>
    <row r="881" spans="1:22" x14ac:dyDescent="0.25">
      <c r="A881" t="s">
        <v>1776</v>
      </c>
      <c r="B881" s="2">
        <v>45444</v>
      </c>
      <c r="C881" s="2" t="str" cm="1">
        <f t="array" ref="C8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1">
        <f>YEAR(AllData[[#This Row],[Date]])</f>
        <v>2024</v>
      </c>
      <c r="F881" s="2" t="str">
        <f>IF(AND(AllData[[#This Row],[Time]]&lt;0.5, AllData[[#This Row],[Time]]&gt;0.17)=TRUE, "Morning", IF(AND(AllData[[#This Row],[Time]]&lt;0.75, AllData[[#This Row],[Time]]&gt;=0.5)=TRUE, "Afternoon", IF(AND(AllData[[#This Row],[Time]]&lt;1, AllData[[#This Row],[Time]]&gt;=0.75)=TRUE, "Evening", "Night")))</f>
        <v>Night</v>
      </c>
      <c r="G881" t="str">
        <f>_xlfn.XLOOKUP(AllData[[#This Row],[Location Name]], Locations[Location Name],Locations[Group As])</f>
        <v>Site 1  :  Middle Street</v>
      </c>
      <c r="H881" t="e" vm="2">
        <f>_xlfn.XLOOKUP(AllData[[#This Row],[Site Name]],LocationsKey[Site Name],LocationsKey[District])</f>
        <v>#VALUE!</v>
      </c>
      <c r="I881" t="e" vm="11">
        <f>_xlfn.XLOOKUP(AllData[[#This Row],[Site Name]],LocationsKey[Site Name],LocationsKey[Town])</f>
        <v>#VALUE!</v>
      </c>
      <c r="J881" t="str">
        <f>_xlfn.XLOOKUP(AllData[[#This Row],[Site Name]],LocationsKey[Site Name], LocationsKey[Waterway])</f>
        <v>Fosseway Brook</v>
      </c>
      <c r="K881" t="s">
        <v>1859</v>
      </c>
      <c r="N881" t="s">
        <v>66</v>
      </c>
      <c r="O881">
        <v>585</v>
      </c>
      <c r="P881">
        <v>15.4</v>
      </c>
      <c r="Q881">
        <v>2</v>
      </c>
      <c r="R881" s="7" t="str">
        <f>IF(AllData[[#This Row],[Nitrate (PPM)]]&gt;2, "Very high", IF(AllData[[#This Row],[Nitrate (PPM)]]&gt;1, "High", IF(AllData[[#This Row],[Nitrate (PPM)]]&gt;0.5, "Some evidence", IF(AllData[[#This Row],[Nitrate (PPM)]]&gt;=0, "No evidence"))))</f>
        <v>High</v>
      </c>
      <c r="S881" s="4">
        <v>0.41</v>
      </c>
      <c r="T881" s="7" t="str">
        <f>IF(AllData[[#This Row],[Phosphate (PPM)]]&gt;0.5, "Very high", IF(AllData[[#This Row],[Phosphate (PPM)]]&gt;0.1, "High", IF(AllData[[#This Row],[Phosphate (PPM)]]&gt;0.05, "Some evidence", IF(AllData[[#This Row],[Phosphate (PPM)]]&lt;=0.05, "No Evidence", ""))))</f>
        <v>High</v>
      </c>
      <c r="U881">
        <v>0</v>
      </c>
      <c r="V881" t="s">
        <v>1914</v>
      </c>
    </row>
    <row r="882" spans="1:22" x14ac:dyDescent="0.25">
      <c r="A882" t="s">
        <v>1417</v>
      </c>
      <c r="B882" s="2">
        <v>45444</v>
      </c>
      <c r="C882" s="2" t="str" cm="1">
        <f t="array" ref="C8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2">
        <f>YEAR(AllData[[#This Row],[Date]])</f>
        <v>2024</v>
      </c>
      <c r="E882" s="1"/>
      <c r="F882" s="2" t="str">
        <f>IF(AND(AllData[[#This Row],[Time]]&lt;0.5, AllData[[#This Row],[Time]]&gt;0.17)=TRUE, "Morning", IF(AND(AllData[[#This Row],[Time]]&lt;0.75, AllData[[#This Row],[Time]]&gt;=0.5)=TRUE, "Afternoon", IF(AND(AllData[[#This Row],[Time]]&lt;1, AllData[[#This Row],[Time]]&gt;=0.75)=TRUE, "Evening", "Night")))</f>
        <v>Night</v>
      </c>
      <c r="G882" t="str">
        <f>_xlfn.XLOOKUP(AllData[[#This Row],[Location Name]], Locations[Location Name],Locations[Group As])</f>
        <v>Site 1  :  Middle Street</v>
      </c>
      <c r="H882" t="e" vm="2">
        <f>_xlfn.XLOOKUP(AllData[[#This Row],[Site Name]],LocationsKey[Site Name],LocationsKey[District])</f>
        <v>#VALUE!</v>
      </c>
      <c r="I882" t="e" vm="11">
        <f>_xlfn.XLOOKUP(AllData[[#This Row],[Site Name]],LocationsKey[Site Name],LocationsKey[Town])</f>
        <v>#VALUE!</v>
      </c>
      <c r="J882" t="str">
        <f>_xlfn.XLOOKUP(AllData[[#This Row],[Site Name]],LocationsKey[Site Name], LocationsKey[Waterway])</f>
        <v>Fosseway Brook</v>
      </c>
      <c r="K882" t="s">
        <v>1373</v>
      </c>
      <c r="N882" t="s">
        <v>66</v>
      </c>
      <c r="O882">
        <v>585</v>
      </c>
      <c r="P882">
        <v>15.4</v>
      </c>
      <c r="Q882">
        <v>2</v>
      </c>
      <c r="R882" s="7" t="str">
        <f>IF(AllData[[#This Row],[Nitrate (PPM)]]&gt;2, "Very high", IF(AllData[[#This Row],[Nitrate (PPM)]]&gt;1, "High", IF(AllData[[#This Row],[Nitrate (PPM)]]&gt;0.5, "Some evidence", IF(AllData[[#This Row],[Nitrate (PPM)]]&gt;=0, "No evidence"))))</f>
        <v>High</v>
      </c>
      <c r="S882" s="4">
        <v>0.41</v>
      </c>
      <c r="T882" s="7" t="str">
        <f>IF(AllData[[#This Row],[Phosphate (PPM)]]&gt;0.5, "Very high", IF(AllData[[#This Row],[Phosphate (PPM)]]&gt;0.1, "High", IF(AllData[[#This Row],[Phosphate (PPM)]]&gt;0.05, "Some evidence", IF(AllData[[#This Row],[Phosphate (PPM)]]&lt;=0.05, "No Evidence", ""))))</f>
        <v>High</v>
      </c>
      <c r="V882" t="s">
        <v>1418</v>
      </c>
    </row>
    <row r="883" spans="1:22" x14ac:dyDescent="0.25">
      <c r="A883" t="s">
        <v>1777</v>
      </c>
      <c r="B883" s="2">
        <v>45444</v>
      </c>
      <c r="C883" s="2" t="str" cm="1">
        <f t="array" ref="C8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3">
        <f>YEAR(AllData[[#This Row],[Date]])</f>
        <v>2024</v>
      </c>
      <c r="F883" s="2" t="str">
        <f>IF(AND(AllData[[#This Row],[Time]]&lt;0.5, AllData[[#This Row],[Time]]&gt;0.17)=TRUE, "Morning", IF(AND(AllData[[#This Row],[Time]]&lt;0.75, AllData[[#This Row],[Time]]&gt;=0.5)=TRUE, "Afternoon", IF(AND(AllData[[#This Row],[Time]]&lt;1, AllData[[#This Row],[Time]]&gt;=0.75)=TRUE, "Evening", "Night")))</f>
        <v>Night</v>
      </c>
      <c r="G883" t="str">
        <f>_xlfn.XLOOKUP(AllData[[#This Row],[Location Name]], Locations[Location Name],Locations[Group As])</f>
        <v>Site 2  :  Cross Leys culvert</v>
      </c>
      <c r="H883" t="e" vm="2">
        <f>_xlfn.XLOOKUP(AllData[[#This Row],[Site Name]],LocationsKey[Site Name],LocationsKey[District])</f>
        <v>#VALUE!</v>
      </c>
      <c r="I883" t="e" vm="11">
        <f>_xlfn.XLOOKUP(AllData[[#This Row],[Site Name]],LocationsKey[Site Name],LocationsKey[Town])</f>
        <v>#VALUE!</v>
      </c>
      <c r="J883" t="str">
        <f>_xlfn.XLOOKUP(AllData[[#This Row],[Site Name]],LocationsKey[Site Name], LocationsKey[Waterway])</f>
        <v>Fosseway Brook</v>
      </c>
      <c r="K883" t="s">
        <v>1860</v>
      </c>
      <c r="N883" t="s">
        <v>66</v>
      </c>
      <c r="O883">
        <v>627</v>
      </c>
      <c r="P883">
        <v>14.6</v>
      </c>
      <c r="Q883">
        <v>2</v>
      </c>
      <c r="R883" s="7" t="str">
        <f>IF(AllData[[#This Row],[Nitrate (PPM)]]&gt;2, "Very high", IF(AllData[[#This Row],[Nitrate (PPM)]]&gt;1, "High", IF(AllData[[#This Row],[Nitrate (PPM)]]&gt;0.5, "Some evidence", IF(AllData[[#This Row],[Nitrate (PPM)]]&gt;=0, "No evidence"))))</f>
        <v>High</v>
      </c>
      <c r="S883" s="4">
        <v>0.38</v>
      </c>
      <c r="T883" s="7" t="str">
        <f>IF(AllData[[#This Row],[Phosphate (PPM)]]&gt;0.5, "Very high", IF(AllData[[#This Row],[Phosphate (PPM)]]&gt;0.1, "High", IF(AllData[[#This Row],[Phosphate (PPM)]]&gt;0.05, "Some evidence", IF(AllData[[#This Row],[Phosphate (PPM)]]&lt;=0.05, "No Evidence", ""))))</f>
        <v>High</v>
      </c>
      <c r="U883">
        <v>0</v>
      </c>
      <c r="V883" t="s">
        <v>1915</v>
      </c>
    </row>
    <row r="884" spans="1:22" x14ac:dyDescent="0.25">
      <c r="A884" t="s">
        <v>1416</v>
      </c>
      <c r="B884" s="2">
        <v>45444</v>
      </c>
      <c r="C884" s="2" t="str" cm="1">
        <f t="array" ref="C8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4">
        <f>YEAR(AllData[[#This Row],[Date]])</f>
        <v>2024</v>
      </c>
      <c r="E884" s="1"/>
      <c r="F884" s="2" t="str">
        <f>IF(AND(AllData[[#This Row],[Time]]&lt;0.5, AllData[[#This Row],[Time]]&gt;0.17)=TRUE, "Morning", IF(AND(AllData[[#This Row],[Time]]&lt;0.75, AllData[[#This Row],[Time]]&gt;=0.5)=TRUE, "Afternoon", IF(AND(AllData[[#This Row],[Time]]&lt;1, AllData[[#This Row],[Time]]&gt;=0.75)=TRUE, "Evening", "Night")))</f>
        <v>Night</v>
      </c>
      <c r="G884" t="str">
        <f>_xlfn.XLOOKUP(AllData[[#This Row],[Location Name]], Locations[Location Name],Locations[Group As])</f>
        <v>Site 2  :  Cross Leys culvert</v>
      </c>
      <c r="H884" t="e" vm="2">
        <f>_xlfn.XLOOKUP(AllData[[#This Row],[Site Name]],LocationsKey[Site Name],LocationsKey[District])</f>
        <v>#VALUE!</v>
      </c>
      <c r="I884" t="e" vm="11">
        <f>_xlfn.XLOOKUP(AllData[[#This Row],[Site Name]],LocationsKey[Site Name],LocationsKey[Town])</f>
        <v>#VALUE!</v>
      </c>
      <c r="J884" t="str">
        <f>_xlfn.XLOOKUP(AllData[[#This Row],[Site Name]],LocationsKey[Site Name], LocationsKey[Waterway])</f>
        <v>Fosseway Brook</v>
      </c>
      <c r="K884" t="s">
        <v>1371</v>
      </c>
      <c r="N884" t="s">
        <v>66</v>
      </c>
      <c r="O884">
        <v>627</v>
      </c>
      <c r="P884">
        <v>14.6</v>
      </c>
      <c r="Q884">
        <v>2</v>
      </c>
      <c r="R884" s="7" t="str">
        <f>IF(AllData[[#This Row],[Nitrate (PPM)]]&gt;2, "Very high", IF(AllData[[#This Row],[Nitrate (PPM)]]&gt;1, "High", IF(AllData[[#This Row],[Nitrate (PPM)]]&gt;0.5, "Some evidence", IF(AllData[[#This Row],[Nitrate (PPM)]]&gt;=0, "No evidence"))))</f>
        <v>High</v>
      </c>
      <c r="S884" s="4">
        <v>0.38</v>
      </c>
      <c r="T884" s="7" t="str">
        <f>IF(AllData[[#This Row],[Phosphate (PPM)]]&gt;0.5, "Very high", IF(AllData[[#This Row],[Phosphate (PPM)]]&gt;0.1, "High", IF(AllData[[#This Row],[Phosphate (PPM)]]&gt;0.05, "Some evidence", IF(AllData[[#This Row],[Phosphate (PPM)]]&lt;=0.05, "No Evidence", ""))))</f>
        <v>High</v>
      </c>
    </row>
    <row r="885" spans="1:22" x14ac:dyDescent="0.25">
      <c r="A885" t="s">
        <v>1778</v>
      </c>
      <c r="B885" s="2">
        <v>45444</v>
      </c>
      <c r="C885" s="2" t="str" cm="1">
        <f t="array" ref="C8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5">
        <f>YEAR(AllData[[#This Row],[Date]])</f>
        <v>2024</v>
      </c>
      <c r="F885" s="2" t="str">
        <f>IF(AND(AllData[[#This Row],[Time]]&lt;0.5, AllData[[#This Row],[Time]]&gt;0.17)=TRUE, "Morning", IF(AND(AllData[[#This Row],[Time]]&lt;0.75, AllData[[#This Row],[Time]]&gt;=0.5)=TRUE, "Afternoon", IF(AND(AllData[[#This Row],[Time]]&lt;1, AllData[[#This Row],[Time]]&gt;=0.75)=TRUE, "Evening", "Night")))</f>
        <v>Night</v>
      </c>
      <c r="G885" t="str">
        <f>_xlfn.XLOOKUP(AllData[[#This Row],[Location Name]], Locations[Location Name],Locations[Group As])</f>
        <v>Site 3  :  Severn Trent Water processing plant outflow</v>
      </c>
      <c r="H885" t="e" vm="2">
        <f>_xlfn.XLOOKUP(AllData[[#This Row],[Site Name]],LocationsKey[Site Name],LocationsKey[District])</f>
        <v>#VALUE!</v>
      </c>
      <c r="I885" t="e" vm="11">
        <f>_xlfn.XLOOKUP(AllData[[#This Row],[Site Name]],LocationsKey[Site Name],LocationsKey[Town])</f>
        <v>#VALUE!</v>
      </c>
      <c r="J885" t="str">
        <f>_xlfn.XLOOKUP(AllData[[#This Row],[Site Name]],LocationsKey[Site Name], LocationsKey[Waterway])</f>
        <v>Fosseway Brook</v>
      </c>
      <c r="K885" t="s">
        <v>1861</v>
      </c>
      <c r="N885" t="s">
        <v>29</v>
      </c>
      <c r="O885">
        <v>839</v>
      </c>
      <c r="P885">
        <v>15</v>
      </c>
      <c r="Q885">
        <v>8</v>
      </c>
      <c r="R885" s="7" t="str">
        <f>IF(AllData[[#This Row],[Nitrate (PPM)]]&gt;2, "Very high", IF(AllData[[#This Row],[Nitrate (PPM)]]&gt;1, "High", IF(AllData[[#This Row],[Nitrate (PPM)]]&gt;0.5, "Some evidence", IF(AllData[[#This Row],[Nitrate (PPM)]]&gt;=0, "No evidence"))))</f>
        <v>Very high</v>
      </c>
      <c r="S885" s="4">
        <v>2.5</v>
      </c>
      <c r="T885" s="7" t="str">
        <f>IF(AllData[[#This Row],[Phosphate (PPM)]]&gt;0.5, "Very high", IF(AllData[[#This Row],[Phosphate (PPM)]]&gt;0.1, "High", IF(AllData[[#This Row],[Phosphate (PPM)]]&gt;0.05, "Some evidence", IF(AllData[[#This Row],[Phosphate (PPM)]]&lt;=0.05, "No Evidence", ""))))</f>
        <v>Very high</v>
      </c>
      <c r="U885">
        <v>0</v>
      </c>
      <c r="V885" t="s">
        <v>1916</v>
      </c>
    </row>
    <row r="886" spans="1:22" x14ac:dyDescent="0.25">
      <c r="A886" t="s">
        <v>1415</v>
      </c>
      <c r="B886" s="2">
        <v>45444</v>
      </c>
      <c r="C886" s="2" t="str" cm="1">
        <f t="array" ref="C8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6">
        <f>YEAR(AllData[[#This Row],[Date]])</f>
        <v>2024</v>
      </c>
      <c r="E886" s="1"/>
      <c r="F886" s="2" t="str">
        <f>IF(AND(AllData[[#This Row],[Time]]&lt;0.5, AllData[[#This Row],[Time]]&gt;0.17)=TRUE, "Morning", IF(AND(AllData[[#This Row],[Time]]&lt;0.75, AllData[[#This Row],[Time]]&gt;=0.5)=TRUE, "Afternoon", IF(AND(AllData[[#This Row],[Time]]&lt;1, AllData[[#This Row],[Time]]&gt;=0.75)=TRUE, "Evening", "Night")))</f>
        <v>Night</v>
      </c>
      <c r="G886" t="str">
        <f>_xlfn.XLOOKUP(AllData[[#This Row],[Location Name]], Locations[Location Name],Locations[Group As])</f>
        <v>Site 3  :  Severn Trent Water processing plant outflow</v>
      </c>
      <c r="H886" t="e" vm="2">
        <f>_xlfn.XLOOKUP(AllData[[#This Row],[Site Name]],LocationsKey[Site Name],LocationsKey[District])</f>
        <v>#VALUE!</v>
      </c>
      <c r="I886" t="e" vm="11">
        <f>_xlfn.XLOOKUP(AllData[[#This Row],[Site Name]],LocationsKey[Site Name],LocationsKey[Town])</f>
        <v>#VALUE!</v>
      </c>
      <c r="J886" t="str">
        <f>_xlfn.XLOOKUP(AllData[[#This Row],[Site Name]],LocationsKey[Site Name], LocationsKey[Waterway])</f>
        <v>Fosseway Brook</v>
      </c>
      <c r="K886" t="s">
        <v>1368</v>
      </c>
      <c r="N886" t="s">
        <v>29</v>
      </c>
      <c r="O886">
        <v>839</v>
      </c>
      <c r="P886">
        <v>15</v>
      </c>
      <c r="Q886">
        <v>8</v>
      </c>
      <c r="R886" s="7" t="str">
        <f>IF(AllData[[#This Row],[Nitrate (PPM)]]&gt;2, "Very high", IF(AllData[[#This Row],[Nitrate (PPM)]]&gt;1, "High", IF(AllData[[#This Row],[Nitrate (PPM)]]&gt;0.5, "Some evidence", IF(AllData[[#This Row],[Nitrate (PPM)]]&gt;=0, "No evidence"))))</f>
        <v>Very high</v>
      </c>
      <c r="S886" s="4">
        <v>2.5</v>
      </c>
      <c r="T886" s="7" t="str">
        <f>IF(AllData[[#This Row],[Phosphate (PPM)]]&gt;0.5, "Very high", IF(AllData[[#This Row],[Phosphate (PPM)]]&gt;0.1, "High", IF(AllData[[#This Row],[Phosphate (PPM)]]&gt;0.05, "Some evidence", IF(AllData[[#This Row],[Phosphate (PPM)]]&lt;=0.05, "No Evidence", ""))))</f>
        <v>Very high</v>
      </c>
    </row>
    <row r="887" spans="1:22" x14ac:dyDescent="0.25">
      <c r="A887" t="s">
        <v>1196</v>
      </c>
      <c r="B887" s="2">
        <v>45445</v>
      </c>
      <c r="C887" s="2" t="str" cm="1">
        <f t="array" ref="C8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7">
        <f>YEAR(AllData[[#This Row],[Date]])</f>
        <v>2024</v>
      </c>
      <c r="E887" s="1">
        <v>0.39583333333333331</v>
      </c>
      <c r="F887" s="2" t="str">
        <f>IF(AND(AllData[[#This Row],[Time]]&lt;0.5, AllData[[#This Row],[Time]]&gt;0.17)=TRUE, "Morning", IF(AND(AllData[[#This Row],[Time]]&lt;0.75, AllData[[#This Row],[Time]]&gt;=0.5)=TRUE, "Afternoon", IF(AND(AllData[[#This Row],[Time]]&lt;1, AllData[[#This Row],[Time]]&gt;=0.75)=TRUE, "Evening", "Night")))</f>
        <v>Morning</v>
      </c>
      <c r="G887" t="str">
        <f>_xlfn.XLOOKUP(AllData[[#This Row],[Location Name]], Locations[Location Name],Locations[Group As])</f>
        <v>Sherbourne Brook 1</v>
      </c>
      <c r="H887" t="e" vm="2">
        <f>_xlfn.XLOOKUP(AllData[[#This Row],[Site Name]],LocationsKey[Site Name],LocationsKey[District])</f>
        <v>#VALUE!</v>
      </c>
      <c r="I887" t="e" vm="16">
        <f>_xlfn.XLOOKUP(AllData[[#This Row],[Site Name]],LocationsKey[Site Name],LocationsKey[Town])</f>
        <v>#VALUE!</v>
      </c>
      <c r="J887" t="str">
        <f>_xlfn.XLOOKUP(AllData[[#This Row],[Site Name]],LocationsKey[Site Name], LocationsKey[Waterway])</f>
        <v>Sherbourne Brook</v>
      </c>
      <c r="K887" t="s">
        <v>570</v>
      </c>
      <c r="L887">
        <v>52.252499999999998</v>
      </c>
      <c r="M887">
        <v>-1.6685000000000001</v>
      </c>
      <c r="N887" t="s">
        <v>23</v>
      </c>
      <c r="O887">
        <v>1090</v>
      </c>
      <c r="P887">
        <v>13.6</v>
      </c>
      <c r="Q887">
        <v>10</v>
      </c>
      <c r="R887" s="7" t="str">
        <f>IF(AllData[[#This Row],[Nitrate (PPM)]]&gt;2, "Very high", IF(AllData[[#This Row],[Nitrate (PPM)]]&gt;1, "High", IF(AllData[[#This Row],[Nitrate (PPM)]]&gt;0.5, "Some evidence", IF(AllData[[#This Row],[Nitrate (PPM)]]&gt;=0, "No evidence"))))</f>
        <v>Very high</v>
      </c>
      <c r="S887" s="4">
        <v>0.28999999999999998</v>
      </c>
      <c r="T887" s="7" t="str">
        <f>IF(AllData[[#This Row],[Phosphate (PPM)]]&gt;0.5, "Very high", IF(AllData[[#This Row],[Phosphate (PPM)]]&gt;0.1, "High", IF(AllData[[#This Row],[Phosphate (PPM)]]&gt;0.05, "Some evidence", IF(AllData[[#This Row],[Phosphate (PPM)]]&lt;=0.05, "No Evidence", ""))))</f>
        <v>High</v>
      </c>
      <c r="U887">
        <v>0.2</v>
      </c>
    </row>
    <row r="888" spans="1:22" x14ac:dyDescent="0.25">
      <c r="A888" t="s">
        <v>1195</v>
      </c>
      <c r="B888" s="2">
        <v>45445</v>
      </c>
      <c r="C888" s="2" t="str" cm="1">
        <f t="array" ref="C8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8">
        <f>YEAR(AllData[[#This Row],[Date]])</f>
        <v>2024</v>
      </c>
      <c r="E888" s="1">
        <v>0.40625</v>
      </c>
      <c r="F888" s="2" t="str">
        <f>IF(AND(AllData[[#This Row],[Time]]&lt;0.5, AllData[[#This Row],[Time]]&gt;0.17)=TRUE, "Morning", IF(AND(AllData[[#This Row],[Time]]&lt;0.75, AllData[[#This Row],[Time]]&gt;=0.5)=TRUE, "Afternoon", IF(AND(AllData[[#This Row],[Time]]&lt;1, AllData[[#This Row],[Time]]&gt;=0.75)=TRUE, "Evening", "Night")))</f>
        <v>Morning</v>
      </c>
      <c r="G888" t="str">
        <f>_xlfn.XLOOKUP(AllData[[#This Row],[Location Name]], Locations[Location Name],Locations[Group As])</f>
        <v>Bell Brook 1</v>
      </c>
      <c r="H888" t="e" vm="2">
        <f>_xlfn.XLOOKUP(AllData[[#This Row],[Site Name]],LocationsKey[Site Name],LocationsKey[District])</f>
        <v>#VALUE!</v>
      </c>
      <c r="I888" t="e" vm="15">
        <f>_xlfn.XLOOKUP(AllData[[#This Row],[Site Name]],LocationsKey[Site Name],LocationsKey[Town])</f>
        <v>#VALUE!</v>
      </c>
      <c r="J888" t="str">
        <f>_xlfn.XLOOKUP(AllData[[#This Row],[Site Name]],LocationsKey[Site Name], LocationsKey[Waterway])</f>
        <v>Bell Brook</v>
      </c>
      <c r="K888" t="s">
        <v>534</v>
      </c>
      <c r="L888">
        <v>52.244900000000001</v>
      </c>
      <c r="M888">
        <v>-1.6617</v>
      </c>
      <c r="N888" t="s">
        <v>23</v>
      </c>
      <c r="O888">
        <v>762</v>
      </c>
      <c r="P888">
        <v>15.4</v>
      </c>
      <c r="Q888">
        <v>4</v>
      </c>
      <c r="R888" s="7" t="str">
        <f>IF(AllData[[#This Row],[Nitrate (PPM)]]&gt;2, "Very high", IF(AllData[[#This Row],[Nitrate (PPM)]]&gt;1, "High", IF(AllData[[#This Row],[Nitrate (PPM)]]&gt;0.5, "Some evidence", IF(AllData[[#This Row],[Nitrate (PPM)]]&gt;=0, "No evidence"))))</f>
        <v>Very high</v>
      </c>
      <c r="S888" s="4">
        <v>0.48</v>
      </c>
      <c r="T888" s="7" t="str">
        <f>IF(AllData[[#This Row],[Phosphate (PPM)]]&gt;0.5, "Very high", IF(AllData[[#This Row],[Phosphate (PPM)]]&gt;0.1, "High", IF(AllData[[#This Row],[Phosphate (PPM)]]&gt;0.05, "Some evidence", IF(AllData[[#This Row],[Phosphate (PPM)]]&lt;=0.05, "No Evidence", ""))))</f>
        <v>High</v>
      </c>
      <c r="U888">
        <v>0.2</v>
      </c>
    </row>
    <row r="889" spans="1:22" x14ac:dyDescent="0.25">
      <c r="A889" t="s">
        <v>1197</v>
      </c>
      <c r="B889" s="2">
        <v>45445</v>
      </c>
      <c r="C889" s="2" t="str" cm="1">
        <f t="array" ref="C8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89">
        <f>YEAR(AllData[[#This Row],[Date]])</f>
        <v>2024</v>
      </c>
      <c r="E889" s="1">
        <v>0.47916666666666669</v>
      </c>
      <c r="F889" s="2" t="str">
        <f>IF(AND(AllData[[#This Row],[Time]]&lt;0.5, AllData[[#This Row],[Time]]&gt;0.17)=TRUE, "Morning", IF(AND(AllData[[#This Row],[Time]]&lt;0.75, AllData[[#This Row],[Time]]&gt;=0.5)=TRUE, "Afternoon", IF(AND(AllData[[#This Row],[Time]]&lt;1, AllData[[#This Row],[Time]]&gt;=0.75)=TRUE, "Evening", "Night")))</f>
        <v>Morning</v>
      </c>
      <c r="G889" t="str">
        <f>_xlfn.XLOOKUP(AllData[[#This Row],[Location Name]], Locations[Location Name],Locations[Group As])</f>
        <v>Fell Mill Footbridge</v>
      </c>
      <c r="H889" t="e" vm="2">
        <f>_xlfn.XLOOKUP(AllData[[#This Row],[Site Name]],LocationsKey[Site Name],LocationsKey[District])</f>
        <v>#VALUE!</v>
      </c>
      <c r="I889" t="e" vm="10">
        <f>_xlfn.XLOOKUP(AllData[[#This Row],[Site Name]],LocationsKey[Site Name],LocationsKey[Town])</f>
        <v>#VALUE!</v>
      </c>
      <c r="J889" t="str">
        <f>_xlfn.XLOOKUP(AllData[[#This Row],[Site Name]],LocationsKey[Site Name], LocationsKey[Waterway])</f>
        <v>Stour</v>
      </c>
      <c r="K889" t="s">
        <v>818</v>
      </c>
      <c r="L889">
        <v>52.070086000000003</v>
      </c>
      <c r="M889">
        <v>-1.61145</v>
      </c>
      <c r="N889" t="s">
        <v>29</v>
      </c>
      <c r="O889">
        <v>63.5</v>
      </c>
      <c r="P889">
        <v>13.8</v>
      </c>
      <c r="Q889">
        <v>10</v>
      </c>
      <c r="R889" s="7" t="str">
        <f>IF(AllData[[#This Row],[Nitrate (PPM)]]&gt;2, "Very high", IF(AllData[[#This Row],[Nitrate (PPM)]]&gt;1, "High", IF(AllData[[#This Row],[Nitrate (PPM)]]&gt;0.5, "Some evidence", IF(AllData[[#This Row],[Nitrate (PPM)]]&gt;=0, "No evidence"))))</f>
        <v>Very high</v>
      </c>
      <c r="S889" s="4">
        <v>0.37</v>
      </c>
      <c r="T889" s="7" t="str">
        <f>IF(AllData[[#This Row],[Phosphate (PPM)]]&gt;0.5, "Very high", IF(AllData[[#This Row],[Phosphate (PPM)]]&gt;0.1, "High", IF(AllData[[#This Row],[Phosphate (PPM)]]&gt;0.05, "Some evidence", IF(AllData[[#This Row],[Phosphate (PPM)]]&lt;=0.05, "No Evidence", ""))))</f>
        <v>High</v>
      </c>
      <c r="U889">
        <v>1.22</v>
      </c>
    </row>
    <row r="890" spans="1:22" x14ac:dyDescent="0.25">
      <c r="A890" t="s">
        <v>1198</v>
      </c>
      <c r="B890" s="2">
        <v>45445</v>
      </c>
      <c r="C890" s="2" t="str" cm="1">
        <f t="array" ref="C8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0">
        <f>YEAR(AllData[[#This Row],[Date]])</f>
        <v>2024</v>
      </c>
      <c r="E890" s="1">
        <v>0.82638888888888884</v>
      </c>
      <c r="F890" s="2" t="str">
        <f>IF(AND(AllData[[#This Row],[Time]]&lt;0.5, AllData[[#This Row],[Time]]&gt;0.17)=TRUE, "Morning", IF(AND(AllData[[#This Row],[Time]]&lt;0.75, AllData[[#This Row],[Time]]&gt;=0.5)=TRUE, "Afternoon", IF(AND(AllData[[#This Row],[Time]]&lt;1, AllData[[#This Row],[Time]]&gt;=0.75)=TRUE, "Evening", "Night")))</f>
        <v>Evening</v>
      </c>
      <c r="G890" t="str">
        <f>_xlfn.XLOOKUP(AllData[[#This Row],[Location Name]], Locations[Location Name],Locations[Group As])</f>
        <v>Black Bear</v>
      </c>
      <c r="H890" t="e" vm="1">
        <f>_xlfn.XLOOKUP(AllData[[#This Row],[Site Name]],LocationsKey[Site Name],LocationsKey[District])</f>
        <v>#VALUE!</v>
      </c>
      <c r="I890" t="e" vm="1">
        <f>_xlfn.XLOOKUP(AllData[[#This Row],[Site Name]],LocationsKey[Site Name],LocationsKey[Town])</f>
        <v>#VALUE!</v>
      </c>
      <c r="J890" t="str">
        <f>_xlfn.XLOOKUP(AllData[[#This Row],[Site Name]],LocationsKey[Site Name], LocationsKey[Waterway])</f>
        <v>Avon</v>
      </c>
      <c r="K890" t="s">
        <v>1045</v>
      </c>
      <c r="L890">
        <v>51.997427000000002</v>
      </c>
      <c r="M890">
        <v>-2.1562510000000001</v>
      </c>
      <c r="N890" t="s">
        <v>23</v>
      </c>
      <c r="O890">
        <v>904</v>
      </c>
      <c r="P890">
        <v>18</v>
      </c>
      <c r="Q890">
        <v>10</v>
      </c>
      <c r="R890" s="7" t="str">
        <f>IF(AllData[[#This Row],[Nitrate (PPM)]]&gt;2, "Very high", IF(AllData[[#This Row],[Nitrate (PPM)]]&gt;1, "High", IF(AllData[[#This Row],[Nitrate (PPM)]]&gt;0.5, "Some evidence", IF(AllData[[#This Row],[Nitrate (PPM)]]&gt;=0, "No evidence"))))</f>
        <v>Very high</v>
      </c>
      <c r="S890" s="4">
        <v>2.4900000000000002</v>
      </c>
      <c r="T890" s="7" t="str">
        <f>IF(AllData[[#This Row],[Phosphate (PPM)]]&gt;0.5, "Very high", IF(AllData[[#This Row],[Phosphate (PPM)]]&gt;0.1, "High", IF(AllData[[#This Row],[Phosphate (PPM)]]&gt;0.05, "Some evidence", IF(AllData[[#This Row],[Phosphate (PPM)]]&lt;=0.05, "No Evidence", ""))))</f>
        <v>Very high</v>
      </c>
      <c r="U890">
        <v>0</v>
      </c>
    </row>
    <row r="891" spans="1:22" x14ac:dyDescent="0.25">
      <c r="A891" t="s">
        <v>1202</v>
      </c>
      <c r="B891" s="2">
        <v>45446</v>
      </c>
      <c r="C891" s="2" t="str" cm="1">
        <f t="array" ref="C8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1">
        <f>YEAR(AllData[[#This Row],[Date]])</f>
        <v>2024</v>
      </c>
      <c r="E891" s="1">
        <v>0.3923611111111111</v>
      </c>
      <c r="F891" s="2" t="str">
        <f>IF(AND(AllData[[#This Row],[Time]]&lt;0.5, AllData[[#This Row],[Time]]&gt;0.17)=TRUE, "Morning", IF(AND(AllData[[#This Row],[Time]]&lt;0.75, AllData[[#This Row],[Time]]&gt;=0.5)=TRUE, "Afternoon", IF(AND(AllData[[#This Row],[Time]]&lt;1, AllData[[#This Row],[Time]]&gt;=0.75)=TRUE, "Evening", "Night")))</f>
        <v>Morning</v>
      </c>
      <c r="G891" t="str">
        <f>_xlfn.XLOOKUP(AllData[[#This Row],[Location Name]], Locations[Location Name],Locations[Group As])</f>
        <v>Stour Stretton-on-Fosse Village</v>
      </c>
      <c r="H891" t="e" vm="2">
        <f>_xlfn.XLOOKUP(AllData[[#This Row],[Site Name]],LocationsKey[Site Name],LocationsKey[District])</f>
        <v>#VALUE!</v>
      </c>
      <c r="I891" t="e" vm="14">
        <f>_xlfn.XLOOKUP(AllData[[#This Row],[Site Name]],LocationsKey[Site Name],LocationsKey[Town])</f>
        <v>#VALUE!</v>
      </c>
      <c r="J891" t="str">
        <f>_xlfn.XLOOKUP(AllData[[#This Row],[Site Name]],LocationsKey[Site Name], LocationsKey[Waterway])</f>
        <v>Stour</v>
      </c>
      <c r="K891" t="s">
        <v>544</v>
      </c>
      <c r="L891">
        <v>52.046489999999999</v>
      </c>
      <c r="M891">
        <v>-1.673397</v>
      </c>
      <c r="N891" t="s">
        <v>66</v>
      </c>
      <c r="O891">
        <v>702</v>
      </c>
      <c r="P891">
        <v>14.2</v>
      </c>
      <c r="Q891">
        <v>0.5</v>
      </c>
      <c r="R891" s="7" t="str">
        <f>IF(AllData[[#This Row],[Nitrate (PPM)]]&gt;2, "Very high", IF(AllData[[#This Row],[Nitrate (PPM)]]&gt;1, "High", IF(AllData[[#This Row],[Nitrate (PPM)]]&gt;0.5, "Some evidence", IF(AllData[[#This Row],[Nitrate (PPM)]]&gt;=0, "No evidence"))))</f>
        <v>No evidence</v>
      </c>
      <c r="S891" s="4">
        <v>2.5</v>
      </c>
      <c r="T891" s="7" t="str">
        <f>IF(AllData[[#This Row],[Phosphate (PPM)]]&gt;0.5, "Very high", IF(AllData[[#This Row],[Phosphate (PPM)]]&gt;0.1, "High", IF(AllData[[#This Row],[Phosphate (PPM)]]&gt;0.05, "Some evidence", IF(AllData[[#This Row],[Phosphate (PPM)]]&lt;=0.05, "No Evidence", ""))))</f>
        <v>Very high</v>
      </c>
      <c r="U891">
        <v>0.15</v>
      </c>
      <c r="V891" t="s">
        <v>1203</v>
      </c>
    </row>
    <row r="892" spans="1:22" x14ac:dyDescent="0.25">
      <c r="A892" t="s">
        <v>1200</v>
      </c>
      <c r="B892" s="2">
        <v>45446</v>
      </c>
      <c r="C892" s="2" t="str" cm="1">
        <f t="array" ref="C8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2">
        <f>YEAR(AllData[[#This Row],[Date]])</f>
        <v>2024</v>
      </c>
      <c r="E892" s="1">
        <v>0.40416666666666667</v>
      </c>
      <c r="F892" s="2" t="str">
        <f>IF(AND(AllData[[#This Row],[Time]]&lt;0.5, AllData[[#This Row],[Time]]&gt;0.17)=TRUE, "Morning", IF(AND(AllData[[#This Row],[Time]]&lt;0.75, AllData[[#This Row],[Time]]&gt;=0.5)=TRUE, "Afternoon", IF(AND(AllData[[#This Row],[Time]]&lt;1, AllData[[#This Row],[Time]]&gt;=0.75)=TRUE, "Evening", "Night")))</f>
        <v>Morning</v>
      </c>
      <c r="G892" t="str">
        <f>_xlfn.XLOOKUP(AllData[[#This Row],[Location Name]], Locations[Location Name],Locations[Group As])</f>
        <v>Stour Stretton-on-Fosse Sewage Works</v>
      </c>
      <c r="H892" t="e" vm="2">
        <f>_xlfn.XLOOKUP(AllData[[#This Row],[Site Name]],LocationsKey[Site Name],LocationsKey[District])</f>
        <v>#VALUE!</v>
      </c>
      <c r="I892" t="e" vm="14">
        <f>_xlfn.XLOOKUP(AllData[[#This Row],[Site Name]],LocationsKey[Site Name],LocationsKey[Town])</f>
        <v>#VALUE!</v>
      </c>
      <c r="J892" t="str">
        <f>_xlfn.XLOOKUP(AllData[[#This Row],[Site Name]],LocationsKey[Site Name], LocationsKey[Waterway])</f>
        <v>Stour</v>
      </c>
      <c r="K892" t="s">
        <v>335</v>
      </c>
      <c r="L892">
        <v>52.045608000000001</v>
      </c>
      <c r="M892">
        <v>-1.6719790000000001</v>
      </c>
      <c r="N892" t="s">
        <v>29</v>
      </c>
      <c r="O892">
        <v>806</v>
      </c>
      <c r="P892">
        <v>14.9</v>
      </c>
      <c r="Q892">
        <v>2</v>
      </c>
      <c r="R892" s="7" t="str">
        <f>IF(AllData[[#This Row],[Nitrate (PPM)]]&gt;2, "Very high", IF(AllData[[#This Row],[Nitrate (PPM)]]&gt;1, "High", IF(AllData[[#This Row],[Nitrate (PPM)]]&gt;0.5, "Some evidence", IF(AllData[[#This Row],[Nitrate (PPM)]]&gt;=0, "No evidence"))))</f>
        <v>High</v>
      </c>
      <c r="S892" s="4">
        <v>2.5</v>
      </c>
      <c r="T892" s="7" t="str">
        <f>IF(AllData[[#This Row],[Phosphate (PPM)]]&gt;0.5, "Very high", IF(AllData[[#This Row],[Phosphate (PPM)]]&gt;0.1, "High", IF(AllData[[#This Row],[Phosphate (PPM)]]&gt;0.05, "Some evidence", IF(AllData[[#This Row],[Phosphate (PPM)]]&lt;=0.05, "No Evidence", ""))))</f>
        <v>Very high</v>
      </c>
      <c r="U892">
        <v>0.25</v>
      </c>
      <c r="V892" t="s">
        <v>1201</v>
      </c>
    </row>
    <row r="893" spans="1:22" x14ac:dyDescent="0.25">
      <c r="A893" t="s">
        <v>1199</v>
      </c>
      <c r="B893" s="2">
        <v>45446</v>
      </c>
      <c r="C893" s="2" t="str" cm="1">
        <f t="array" ref="C8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3">
        <f>YEAR(AllData[[#This Row],[Date]])</f>
        <v>2024</v>
      </c>
      <c r="E893" s="1">
        <v>0.5</v>
      </c>
      <c r="F893" s="2" t="str">
        <f>IF(AND(AllData[[#This Row],[Time]]&lt;0.5, AllData[[#This Row],[Time]]&gt;0.17)=TRUE, "Morning", IF(AND(AllData[[#This Row],[Time]]&lt;0.75, AllData[[#This Row],[Time]]&gt;=0.5)=TRUE, "Afternoon", IF(AND(AllData[[#This Row],[Time]]&lt;1, AllData[[#This Row],[Time]]&gt;=0.75)=TRUE, "Evening", "Night")))</f>
        <v>Afternoon</v>
      </c>
      <c r="G893" t="str">
        <f>_xlfn.XLOOKUP(AllData[[#This Row],[Location Name]], Locations[Location Name],Locations[Group As])</f>
        <v>Carrant Bredon Rd</v>
      </c>
      <c r="H893" t="e" vm="1">
        <f>_xlfn.XLOOKUP(AllData[[#This Row],[Site Name]],LocationsKey[Site Name],LocationsKey[District])</f>
        <v>#VALUE!</v>
      </c>
      <c r="I893" t="e" vm="1">
        <f>_xlfn.XLOOKUP(AllData[[#This Row],[Site Name]],LocationsKey[Site Name],LocationsKey[Town])</f>
        <v>#VALUE!</v>
      </c>
      <c r="J893" t="str">
        <f>_xlfn.XLOOKUP(AllData[[#This Row],[Site Name]],LocationsKey[Site Name], LocationsKey[Waterway])</f>
        <v>Carrant</v>
      </c>
      <c r="K893" t="s">
        <v>600</v>
      </c>
      <c r="L893">
        <v>51.996234000000001</v>
      </c>
      <c r="M893">
        <v>-2.1561750000000002</v>
      </c>
      <c r="N893" t="s">
        <v>23</v>
      </c>
      <c r="O893">
        <v>747</v>
      </c>
      <c r="P893">
        <v>17</v>
      </c>
      <c r="Q893">
        <v>7</v>
      </c>
      <c r="R893" s="7" t="str">
        <f>IF(AllData[[#This Row],[Nitrate (PPM)]]&gt;2, "Very high", IF(AllData[[#This Row],[Nitrate (PPM)]]&gt;1, "High", IF(AllData[[#This Row],[Nitrate (PPM)]]&gt;0.5, "Some evidence", IF(AllData[[#This Row],[Nitrate (PPM)]]&gt;=0, "No evidence"))))</f>
        <v>Very high</v>
      </c>
      <c r="S893" s="4">
        <v>0.31</v>
      </c>
      <c r="T893" s="7" t="str">
        <f>IF(AllData[[#This Row],[Phosphate (PPM)]]&gt;0.5, "Very high", IF(AllData[[#This Row],[Phosphate (PPM)]]&gt;0.1, "High", IF(AllData[[#This Row],[Phosphate (PPM)]]&gt;0.05, "Some evidence", IF(AllData[[#This Row],[Phosphate (PPM)]]&lt;=0.05, "No Evidence", ""))))</f>
        <v>High</v>
      </c>
      <c r="U893">
        <v>0.1</v>
      </c>
    </row>
    <row r="894" spans="1:22" x14ac:dyDescent="0.25">
      <c r="A894" t="s">
        <v>1208</v>
      </c>
      <c r="B894" s="2">
        <v>45447</v>
      </c>
      <c r="C894" s="2" t="str" cm="1">
        <f t="array" ref="C8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4">
        <f>YEAR(AllData[[#This Row],[Date]])</f>
        <v>2024</v>
      </c>
      <c r="E894" s="1">
        <v>0.44861111111111113</v>
      </c>
      <c r="F894" s="2" t="str">
        <f>IF(AND(AllData[[#This Row],[Time]]&lt;0.5, AllData[[#This Row],[Time]]&gt;0.17)=TRUE, "Morning", IF(AND(AllData[[#This Row],[Time]]&lt;0.75, AllData[[#This Row],[Time]]&gt;=0.5)=TRUE, "Afternoon", IF(AND(AllData[[#This Row],[Time]]&lt;1, AllData[[#This Row],[Time]]&gt;=0.75)=TRUE, "Evening", "Night")))</f>
        <v>Morning</v>
      </c>
      <c r="G894" t="str">
        <f>_xlfn.XLOOKUP(AllData[[#This Row],[Location Name]], Locations[Location Name],Locations[Group As])</f>
        <v>Carrant Mitton Bridge</v>
      </c>
      <c r="H894" t="e" vm="1">
        <f>_xlfn.XLOOKUP(AllData[[#This Row],[Site Name]],LocationsKey[Site Name],LocationsKey[District])</f>
        <v>#VALUE!</v>
      </c>
      <c r="I894" t="e" vm="1">
        <f>_xlfn.XLOOKUP(AllData[[#This Row],[Site Name]],LocationsKey[Site Name],LocationsKey[Town])</f>
        <v>#VALUE!</v>
      </c>
      <c r="J894" t="str">
        <f>_xlfn.XLOOKUP(AllData[[#This Row],[Site Name]],LocationsKey[Site Name], LocationsKey[Waterway])</f>
        <v>Carrant</v>
      </c>
      <c r="K894" t="s">
        <v>1209</v>
      </c>
      <c r="L894">
        <v>51.999839000000001</v>
      </c>
      <c r="M894">
        <v>-2.1408800000000001</v>
      </c>
      <c r="N894" t="s">
        <v>23</v>
      </c>
      <c r="O894">
        <v>721</v>
      </c>
      <c r="P894">
        <v>16.399999999999999</v>
      </c>
      <c r="Q894">
        <v>7</v>
      </c>
      <c r="R894" s="7" t="str">
        <f>IF(AllData[[#This Row],[Nitrate (PPM)]]&gt;2, "Very high", IF(AllData[[#This Row],[Nitrate (PPM)]]&gt;1, "High", IF(AllData[[#This Row],[Nitrate (PPM)]]&gt;0.5, "Some evidence", IF(AllData[[#This Row],[Nitrate (PPM)]]&gt;=0, "No evidence"))))</f>
        <v>Very high</v>
      </c>
      <c r="S894" s="4">
        <v>0.45</v>
      </c>
      <c r="T894" s="7" t="str">
        <f>IF(AllData[[#This Row],[Phosphate (PPM)]]&gt;0.5, "Very high", IF(AllData[[#This Row],[Phosphate (PPM)]]&gt;0.1, "High", IF(AllData[[#This Row],[Phosphate (PPM)]]&gt;0.05, "Some evidence", IF(AllData[[#This Row],[Phosphate (PPM)]]&lt;=0.05, "No Evidence", ""))))</f>
        <v>High</v>
      </c>
      <c r="U894">
        <v>0</v>
      </c>
    </row>
    <row r="895" spans="1:22" x14ac:dyDescent="0.25">
      <c r="A895" t="s">
        <v>1207</v>
      </c>
      <c r="B895" s="2">
        <v>45447</v>
      </c>
      <c r="C895" s="2" t="str" cm="1">
        <f t="array" ref="C8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5">
        <f>YEAR(AllData[[#This Row],[Date]])</f>
        <v>2024</v>
      </c>
      <c r="E895" s="1">
        <v>0.46041666666666664</v>
      </c>
      <c r="F895" s="2" t="str">
        <f>IF(AND(AllData[[#This Row],[Time]]&lt;0.5, AllData[[#This Row],[Time]]&gt;0.17)=TRUE, "Morning", IF(AND(AllData[[#This Row],[Time]]&lt;0.75, AllData[[#This Row],[Time]]&gt;=0.5)=TRUE, "Afternoon", IF(AND(AllData[[#This Row],[Time]]&lt;1, AllData[[#This Row],[Time]]&gt;=0.75)=TRUE, "Evening", "Night")))</f>
        <v>Morning</v>
      </c>
      <c r="G895" t="str">
        <f>_xlfn.XLOOKUP(AllData[[#This Row],[Location Name]], Locations[Location Name],Locations[Group As])</f>
        <v>Carrant M5 Bridge</v>
      </c>
      <c r="H895" t="e" vm="1">
        <f>_xlfn.XLOOKUP(AllData[[#This Row],[Site Name]],LocationsKey[Site Name],LocationsKey[District])</f>
        <v>#VALUE!</v>
      </c>
      <c r="I895" t="e" vm="1">
        <f>_xlfn.XLOOKUP(AllData[[#This Row],[Site Name]],LocationsKey[Site Name],LocationsKey[Town])</f>
        <v>#VALUE!</v>
      </c>
      <c r="J895" t="str">
        <f>_xlfn.XLOOKUP(AllData[[#This Row],[Site Name]],LocationsKey[Site Name], LocationsKey[Waterway])</f>
        <v>Carrant</v>
      </c>
      <c r="K895" t="s">
        <v>960</v>
      </c>
      <c r="L895">
        <v>52.011848000000001</v>
      </c>
      <c r="M895">
        <v>-2.1200540000000001</v>
      </c>
      <c r="N895" t="s">
        <v>23</v>
      </c>
      <c r="O895">
        <v>774</v>
      </c>
      <c r="P895">
        <v>16</v>
      </c>
      <c r="Q895">
        <v>7</v>
      </c>
      <c r="R895" s="7" t="str">
        <f>IF(AllData[[#This Row],[Nitrate (PPM)]]&gt;2, "Very high", IF(AllData[[#This Row],[Nitrate (PPM)]]&gt;1, "High", IF(AllData[[#This Row],[Nitrate (PPM)]]&gt;0.5, "Some evidence", IF(AllData[[#This Row],[Nitrate (PPM)]]&gt;=0, "No evidence"))))</f>
        <v>Very high</v>
      </c>
      <c r="S895" s="4">
        <v>0.19</v>
      </c>
      <c r="T895" s="7" t="str">
        <f>IF(AllData[[#This Row],[Phosphate (PPM)]]&gt;0.5, "Very high", IF(AllData[[#This Row],[Phosphate (PPM)]]&gt;0.1, "High", IF(AllData[[#This Row],[Phosphate (PPM)]]&gt;0.05, "Some evidence", IF(AllData[[#This Row],[Phosphate (PPM)]]&lt;=0.05, "No Evidence", ""))))</f>
        <v>High</v>
      </c>
      <c r="U895">
        <v>0</v>
      </c>
    </row>
    <row r="896" spans="1:22" x14ac:dyDescent="0.25">
      <c r="A896" t="s">
        <v>1205</v>
      </c>
      <c r="B896" s="2">
        <v>45447</v>
      </c>
      <c r="C896" s="2" t="str" cm="1">
        <f t="array" ref="C8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6">
        <f>YEAR(AllData[[#This Row],[Date]])</f>
        <v>2024</v>
      </c>
      <c r="E896" s="1">
        <v>0.62291666666666667</v>
      </c>
      <c r="F896" s="2" t="str">
        <f>IF(AND(AllData[[#This Row],[Time]]&lt;0.5, AllData[[#This Row],[Time]]&gt;0.17)=TRUE, "Morning", IF(AND(AllData[[#This Row],[Time]]&lt;0.75, AllData[[#This Row],[Time]]&gt;=0.5)=TRUE, "Afternoon", IF(AND(AllData[[#This Row],[Time]]&lt;1, AllData[[#This Row],[Time]]&gt;=0.75)=TRUE, "Evening", "Night")))</f>
        <v>Afternoon</v>
      </c>
      <c r="G896" t="str">
        <f>_xlfn.XLOOKUP(AllData[[#This Row],[Location Name]], Locations[Location Name],Locations[Group As])</f>
        <v>Abbey Mill</v>
      </c>
      <c r="H896" t="e" vm="1">
        <f>_xlfn.XLOOKUP(AllData[[#This Row],[Site Name]],LocationsKey[Site Name],LocationsKey[District])</f>
        <v>#VALUE!</v>
      </c>
      <c r="I896" t="e" vm="1">
        <f>_xlfn.XLOOKUP(AllData[[#This Row],[Site Name]],LocationsKey[Site Name],LocationsKey[Town])</f>
        <v>#VALUE!</v>
      </c>
      <c r="J896" t="str">
        <f>_xlfn.XLOOKUP(AllData[[#This Row],[Site Name]],LocationsKey[Site Name], LocationsKey[Waterway])</f>
        <v>Avon</v>
      </c>
      <c r="K896" t="s">
        <v>25</v>
      </c>
      <c r="L896">
        <v>51.991385000000001</v>
      </c>
      <c r="M896">
        <v>-2.1628050000000001</v>
      </c>
      <c r="N896" t="s">
        <v>23</v>
      </c>
      <c r="O896">
        <v>871</v>
      </c>
      <c r="P896">
        <v>17.600000000000001</v>
      </c>
      <c r="Q896">
        <v>6</v>
      </c>
      <c r="R896" s="7" t="str">
        <f>IF(AllData[[#This Row],[Nitrate (PPM)]]&gt;2, "Very high", IF(AllData[[#This Row],[Nitrate (PPM)]]&gt;1, "High", IF(AllData[[#This Row],[Nitrate (PPM)]]&gt;0.5, "Some evidence", IF(AllData[[#This Row],[Nitrate (PPM)]]&gt;=0, "No evidence"))))</f>
        <v>Very high</v>
      </c>
      <c r="S896" s="4">
        <v>0.71</v>
      </c>
      <c r="T896" s="7" t="str">
        <f>IF(AllData[[#This Row],[Phosphate (PPM)]]&gt;0.5, "Very high", IF(AllData[[#This Row],[Phosphate (PPM)]]&gt;0.1, "High", IF(AllData[[#This Row],[Phosphate (PPM)]]&gt;0.05, "Some evidence", IF(AllData[[#This Row],[Phosphate (PPM)]]&lt;=0.05, "No Evidence", ""))))</f>
        <v>Very high</v>
      </c>
      <c r="U896">
        <v>0.6</v>
      </c>
      <c r="V896" t="s">
        <v>1206</v>
      </c>
    </row>
    <row r="897" spans="1:22" x14ac:dyDescent="0.25">
      <c r="A897" t="s">
        <v>1204</v>
      </c>
      <c r="B897" s="2">
        <v>45447</v>
      </c>
      <c r="C897" s="2" t="str" cm="1">
        <f t="array" ref="C8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7">
        <f>YEAR(AllData[[#This Row],[Date]])</f>
        <v>2024</v>
      </c>
      <c r="E897" s="1">
        <v>0.75</v>
      </c>
      <c r="F897" s="2" t="str">
        <f>IF(AND(AllData[[#This Row],[Time]]&lt;0.5, AllData[[#This Row],[Time]]&gt;0.17)=TRUE, "Morning", IF(AND(AllData[[#This Row],[Time]]&lt;0.75, AllData[[#This Row],[Time]]&gt;=0.5)=TRUE, "Afternoon", IF(AND(AllData[[#This Row],[Time]]&lt;1, AllData[[#This Row],[Time]]&gt;=0.75)=TRUE, "Evening", "Night")))</f>
        <v>Evening</v>
      </c>
      <c r="G897" t="str">
        <f>_xlfn.XLOOKUP(AllData[[#This Row],[Location Name]], Locations[Location Name],Locations[Group As])</f>
        <v>Lucy's Mill Bridge</v>
      </c>
      <c r="H897" t="e" vm="2">
        <f>_xlfn.XLOOKUP(AllData[[#This Row],[Site Name]],LocationsKey[Site Name],LocationsKey[District])</f>
        <v>#VALUE!</v>
      </c>
      <c r="I897" t="e" vm="7">
        <f>_xlfn.XLOOKUP(AllData[[#This Row],[Site Name]],LocationsKey[Site Name],LocationsKey[Town])</f>
        <v>#VALUE!</v>
      </c>
      <c r="J897" t="str">
        <f>_xlfn.XLOOKUP(AllData[[#This Row],[Site Name]],LocationsKey[Site Name], LocationsKey[Waterway])</f>
        <v>Avon</v>
      </c>
      <c r="K897" t="s">
        <v>216</v>
      </c>
      <c r="L897">
        <v>52.183698999999997</v>
      </c>
      <c r="M897">
        <v>-1.707816</v>
      </c>
      <c r="N897" t="s">
        <v>29</v>
      </c>
      <c r="P897">
        <v>17.3</v>
      </c>
      <c r="Q897">
        <v>5</v>
      </c>
      <c r="R897" s="7" t="str">
        <f>IF(AllData[[#This Row],[Nitrate (PPM)]]&gt;2, "Very high", IF(AllData[[#This Row],[Nitrate (PPM)]]&gt;1, "High", IF(AllData[[#This Row],[Nitrate (PPM)]]&gt;0.5, "Some evidence", IF(AllData[[#This Row],[Nitrate (PPM)]]&gt;=0, "No evidence"))))</f>
        <v>Very high</v>
      </c>
      <c r="S897" s="4">
        <v>0.51</v>
      </c>
      <c r="T897" s="7" t="str">
        <f>IF(AllData[[#This Row],[Phosphate (PPM)]]&gt;0.5, "Very high", IF(AllData[[#This Row],[Phosphate (PPM)]]&gt;0.1, "High", IF(AllData[[#This Row],[Phosphate (PPM)]]&gt;0.05, "Some evidence", IF(AllData[[#This Row],[Phosphate (PPM)]]&lt;=0.05, "No Evidence", ""))))</f>
        <v>Very high</v>
      </c>
      <c r="U897">
        <v>0.7</v>
      </c>
    </row>
    <row r="898" spans="1:22" x14ac:dyDescent="0.25">
      <c r="A898" t="s">
        <v>1214</v>
      </c>
      <c r="B898" s="2">
        <v>45448</v>
      </c>
      <c r="C898" s="2" t="str" cm="1">
        <f t="array" ref="C8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8">
        <f>YEAR(AllData[[#This Row],[Date]])</f>
        <v>2024</v>
      </c>
      <c r="E898" s="1">
        <v>0.50277777777777777</v>
      </c>
      <c r="F898" s="2" t="str">
        <f>IF(AND(AllData[[#This Row],[Time]]&lt;0.5, AllData[[#This Row],[Time]]&gt;0.17)=TRUE, "Morning", IF(AND(AllData[[#This Row],[Time]]&lt;0.75, AllData[[#This Row],[Time]]&gt;=0.5)=TRUE, "Afternoon", IF(AND(AllData[[#This Row],[Time]]&lt;1, AllData[[#This Row],[Time]]&gt;=0.75)=TRUE, "Evening", "Night")))</f>
        <v>Afternoon</v>
      </c>
      <c r="G898" t="str">
        <f>_xlfn.XLOOKUP(AllData[[#This Row],[Location Name]], Locations[Location Name],Locations[Group As])</f>
        <v>Twyning Fleet</v>
      </c>
      <c r="H898" t="e" vm="1">
        <f>_xlfn.XLOOKUP(AllData[[#This Row],[Site Name]],LocationsKey[Site Name],LocationsKey[District])</f>
        <v>#VALUE!</v>
      </c>
      <c r="I898" t="str">
        <f>_xlfn.XLOOKUP(AllData[[#This Row],[Site Name]],LocationsKey[Site Name],LocationsKey[Town])</f>
        <v>Twyning Green</v>
      </c>
      <c r="J898" t="str">
        <f>_xlfn.XLOOKUP(AllData[[#This Row],[Site Name]],LocationsKey[Site Name], LocationsKey[Waterway])</f>
        <v>Avon</v>
      </c>
      <c r="K898" t="s">
        <v>54</v>
      </c>
      <c r="L898">
        <v>52.02731</v>
      </c>
      <c r="M898">
        <v>-2.1406019999999999</v>
      </c>
      <c r="N898" t="s">
        <v>29</v>
      </c>
      <c r="O898">
        <v>9120</v>
      </c>
      <c r="P898">
        <v>17.8</v>
      </c>
      <c r="Q898">
        <v>7</v>
      </c>
      <c r="R898" s="7" t="str">
        <f>IF(AllData[[#This Row],[Nitrate (PPM)]]&gt;2, "Very high", IF(AllData[[#This Row],[Nitrate (PPM)]]&gt;1, "High", IF(AllData[[#This Row],[Nitrate (PPM)]]&gt;0.5, "Some evidence", IF(AllData[[#This Row],[Nitrate (PPM)]]&gt;=0, "No evidence"))))</f>
        <v>Very high</v>
      </c>
      <c r="S898" s="4">
        <v>0.67</v>
      </c>
      <c r="T898" s="7" t="str">
        <f>IF(AllData[[#This Row],[Phosphate (PPM)]]&gt;0.5, "Very high", IF(AllData[[#This Row],[Phosphate (PPM)]]&gt;0.1, "High", IF(AllData[[#This Row],[Phosphate (PPM)]]&gt;0.05, "Some evidence", IF(AllData[[#This Row],[Phosphate (PPM)]]&lt;=0.05, "No Evidence", ""))))</f>
        <v>Very high</v>
      </c>
      <c r="U898">
        <v>0</v>
      </c>
    </row>
    <row r="899" spans="1:22" x14ac:dyDescent="0.25">
      <c r="A899" t="s">
        <v>1212</v>
      </c>
      <c r="B899" s="2">
        <v>45448</v>
      </c>
      <c r="C899" s="2" t="str" cm="1">
        <f t="array" ref="C8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899">
        <f>YEAR(AllData[[#This Row],[Date]])</f>
        <v>2024</v>
      </c>
      <c r="E899" s="1">
        <v>0.59375</v>
      </c>
      <c r="F899" s="2" t="str">
        <f>IF(AND(AllData[[#This Row],[Time]]&lt;0.5, AllData[[#This Row],[Time]]&gt;0.17)=TRUE, "Morning", IF(AND(AllData[[#This Row],[Time]]&lt;0.75, AllData[[#This Row],[Time]]&gt;=0.5)=TRUE, "Afternoon", IF(AND(AllData[[#This Row],[Time]]&lt;1, AllData[[#This Row],[Time]]&gt;=0.75)=TRUE, "Evening", "Night")))</f>
        <v>Afternoon</v>
      </c>
      <c r="G899" t="str">
        <f>_xlfn.XLOOKUP(AllData[[#This Row],[Location Name]], Locations[Location Name],Locations[Group As])</f>
        <v>Alveston Weir</v>
      </c>
      <c r="H899" t="e" vm="2">
        <f>_xlfn.XLOOKUP(AllData[[#This Row],[Site Name]],LocationsKey[Site Name],LocationsKey[District])</f>
        <v>#VALUE!</v>
      </c>
      <c r="I899" t="e" vm="13">
        <f>_xlfn.XLOOKUP(AllData[[#This Row],[Site Name]],LocationsKey[Site Name],LocationsKey[Town])</f>
        <v>#VALUE!</v>
      </c>
      <c r="J899" t="str">
        <f>_xlfn.XLOOKUP(AllData[[#This Row],[Site Name]],LocationsKey[Site Name], LocationsKey[Waterway])</f>
        <v>Avon</v>
      </c>
      <c r="K899" t="s">
        <v>286</v>
      </c>
      <c r="L899">
        <v>52.212299999999999</v>
      </c>
      <c r="M899">
        <v>-1.660452</v>
      </c>
      <c r="N899" t="s">
        <v>29</v>
      </c>
      <c r="O899" s="219">
        <v>826</v>
      </c>
      <c r="P899">
        <v>16.3</v>
      </c>
      <c r="Q899" s="219">
        <v>0</v>
      </c>
      <c r="R899" s="7" t="str">
        <f>IF(AllData[[#This Row],[Nitrate (PPM)]]&gt;2, "Very high", IF(AllData[[#This Row],[Nitrate (PPM)]]&gt;1, "High", IF(AllData[[#This Row],[Nitrate (PPM)]]&gt;0.5, "Some evidence", IF(AllData[[#This Row],[Nitrate (PPM)]]&gt;=0, "No evidence"))))</f>
        <v>No evidence</v>
      </c>
      <c r="S899" s="221">
        <v>0.8</v>
      </c>
      <c r="T899" s="7" t="str">
        <f>IF(AllData[[#This Row],[Phosphate (PPM)]]&gt;0.5, "Very high", IF(AllData[[#This Row],[Phosphate (PPM)]]&gt;0.1, "High", IF(AllData[[#This Row],[Phosphate (PPM)]]&gt;0.05, "Some evidence", IF(AllData[[#This Row],[Phosphate (PPM)]]&lt;=0.05, "No Evidence", ""))))</f>
        <v>Very high</v>
      </c>
      <c r="U899">
        <v>0</v>
      </c>
      <c r="V899" t="s">
        <v>1213</v>
      </c>
    </row>
    <row r="900" spans="1:22" x14ac:dyDescent="0.25">
      <c r="A900" t="s">
        <v>1215</v>
      </c>
      <c r="B900" s="2">
        <v>45448</v>
      </c>
      <c r="C900" s="2" t="str" cm="1">
        <f t="array" ref="C9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0">
        <f>YEAR(AllData[[#This Row],[Date]])</f>
        <v>2024</v>
      </c>
      <c r="E900" s="1">
        <v>0.60138888888888886</v>
      </c>
      <c r="F900" s="2" t="str">
        <f>IF(AND(AllData[[#This Row],[Time]]&lt;0.5, AllData[[#This Row],[Time]]&gt;0.17)=TRUE, "Morning", IF(AND(AllData[[#This Row],[Time]]&lt;0.75, AllData[[#This Row],[Time]]&gt;=0.5)=TRUE, "Afternoon", IF(AND(AllData[[#This Row],[Time]]&lt;1, AllData[[#This Row],[Time]]&gt;=0.75)=TRUE, "Evening", "Night")))</f>
        <v>Afternoon</v>
      </c>
      <c r="G900" t="str">
        <f>_xlfn.XLOOKUP(AllData[[#This Row],[Location Name]], Locations[Location Name],Locations[Group As])</f>
        <v>Swiffen Bank</v>
      </c>
      <c r="H900" t="e" vm="2">
        <f>_xlfn.XLOOKUP(AllData[[#This Row],[Site Name]],LocationsKey[Site Name],LocationsKey[District])</f>
        <v>#VALUE!</v>
      </c>
      <c r="I900" t="e" vm="13">
        <f>_xlfn.XLOOKUP(AllData[[#This Row],[Site Name]],LocationsKey[Site Name],LocationsKey[Town])</f>
        <v>#VALUE!</v>
      </c>
      <c r="J900" t="str">
        <f>_xlfn.XLOOKUP(AllData[[#This Row],[Site Name]],LocationsKey[Site Name], LocationsKey[Waterway])</f>
        <v>Avon</v>
      </c>
      <c r="K900" t="s">
        <v>284</v>
      </c>
      <c r="L900">
        <v>52.206384</v>
      </c>
      <c r="M900">
        <v>-1.6540809999999999</v>
      </c>
      <c r="N900" t="s">
        <v>29</v>
      </c>
      <c r="O900" s="219">
        <v>826</v>
      </c>
      <c r="P900">
        <v>16.3</v>
      </c>
      <c r="Q900" s="219">
        <v>5</v>
      </c>
      <c r="R900" s="7" t="str">
        <f>IF(AllData[[#This Row],[Nitrate (PPM)]]&gt;2, "Very high", IF(AllData[[#This Row],[Nitrate (PPM)]]&gt;1, "High", IF(AllData[[#This Row],[Nitrate (PPM)]]&gt;0.5, "Some evidence", IF(AllData[[#This Row],[Nitrate (PPM)]]&gt;=0, "No evidence"))))</f>
        <v>Very high</v>
      </c>
      <c r="S900" s="221">
        <v>0.8</v>
      </c>
      <c r="T900" s="7" t="str">
        <f>IF(AllData[[#This Row],[Phosphate (PPM)]]&gt;0.5, "Very high", IF(AllData[[#This Row],[Phosphate (PPM)]]&gt;0.1, "High", IF(AllData[[#This Row],[Phosphate (PPM)]]&gt;0.05, "Some evidence", IF(AllData[[#This Row],[Phosphate (PPM)]]&lt;=0.05, "No Evidence", ""))))</f>
        <v>Very high</v>
      </c>
      <c r="U900">
        <v>0</v>
      </c>
    </row>
    <row r="901" spans="1:22" x14ac:dyDescent="0.25">
      <c r="A901" t="s">
        <v>1210</v>
      </c>
      <c r="B901" s="2">
        <v>45448</v>
      </c>
      <c r="C901" s="2" t="str" cm="1">
        <f t="array" ref="C9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1">
        <f>YEAR(AllData[[#This Row],[Date]])</f>
        <v>2024</v>
      </c>
      <c r="E901" s="1">
        <v>0.72916666666666663</v>
      </c>
      <c r="F901" s="2" t="str">
        <f>IF(AND(AllData[[#This Row],[Time]]&lt;0.5, AllData[[#This Row],[Time]]&gt;0.17)=TRUE, "Morning", IF(AND(AllData[[#This Row],[Time]]&lt;0.75, AllData[[#This Row],[Time]]&gt;=0.5)=TRUE, "Afternoon", IF(AND(AllData[[#This Row],[Time]]&lt;1, AllData[[#This Row],[Time]]&gt;=0.75)=TRUE, "Evening", "Night")))</f>
        <v>Afternoon</v>
      </c>
      <c r="G901" t="str">
        <f>_xlfn.XLOOKUP(AllData[[#This Row],[Location Name]], Locations[Location Name],Locations[Group As])</f>
        <v>Stour Newbold Mill</v>
      </c>
      <c r="H901" t="e" vm="2">
        <f>_xlfn.XLOOKUP(AllData[[#This Row],[Site Name]],LocationsKey[Site Name],LocationsKey[District])</f>
        <v>#VALUE!</v>
      </c>
      <c r="I901" t="e" vm="8">
        <f>_xlfn.XLOOKUP(AllData[[#This Row],[Site Name]],LocationsKey[Site Name],LocationsKey[Town])</f>
        <v>#VALUE!</v>
      </c>
      <c r="J901" t="str">
        <f>_xlfn.XLOOKUP(AllData[[#This Row],[Site Name]],LocationsKey[Site Name], LocationsKey[Waterway])</f>
        <v>Stour</v>
      </c>
      <c r="K901" t="s">
        <v>140</v>
      </c>
      <c r="N901" t="s">
        <v>29</v>
      </c>
      <c r="O901">
        <v>645</v>
      </c>
      <c r="P901">
        <v>17.8</v>
      </c>
      <c r="Q901">
        <v>2</v>
      </c>
      <c r="R901" s="7" t="str">
        <f>IF(AllData[[#This Row],[Nitrate (PPM)]]&gt;2, "Very high", IF(AllData[[#This Row],[Nitrate (PPM)]]&gt;1, "High", IF(AllData[[#This Row],[Nitrate (PPM)]]&gt;0.5, "Some evidence", IF(AllData[[#This Row],[Nitrate (PPM)]]&gt;=0, "No evidence"))))</f>
        <v>High</v>
      </c>
      <c r="S901" s="4">
        <v>0.45</v>
      </c>
      <c r="T901" s="7" t="str">
        <f>IF(AllData[[#This Row],[Phosphate (PPM)]]&gt;0.5, "Very high", IF(AllData[[#This Row],[Phosphate (PPM)]]&gt;0.1, "High", IF(AllData[[#This Row],[Phosphate (PPM)]]&gt;0.05, "Some evidence", IF(AllData[[#This Row],[Phosphate (PPM)]]&lt;=0.05, "No Evidence", ""))))</f>
        <v>High</v>
      </c>
      <c r="U901">
        <v>2.5</v>
      </c>
      <c r="V901" t="s">
        <v>1211</v>
      </c>
    </row>
    <row r="902" spans="1:22" x14ac:dyDescent="0.25">
      <c r="A902" t="s">
        <v>1217</v>
      </c>
      <c r="B902" s="2">
        <v>45449</v>
      </c>
      <c r="C902" s="2" t="str" cm="1">
        <f t="array" ref="C9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2">
        <f>YEAR(AllData[[#This Row],[Date]])</f>
        <v>2024</v>
      </c>
      <c r="E902" s="1">
        <v>0.34722222222222221</v>
      </c>
      <c r="F902" s="2" t="str">
        <f>IF(AND(AllData[[#This Row],[Time]]&lt;0.5, AllData[[#This Row],[Time]]&gt;0.17)=TRUE, "Morning", IF(AND(AllData[[#This Row],[Time]]&lt;0.75, AllData[[#This Row],[Time]]&gt;=0.5)=TRUE, "Afternoon", IF(AND(AllData[[#This Row],[Time]]&lt;1, AllData[[#This Row],[Time]]&gt;=0.75)=TRUE, "Evening", "Night")))</f>
        <v>Morning</v>
      </c>
      <c r="G902" t="str">
        <f>_xlfn.XLOOKUP(AllData[[#This Row],[Location Name]], Locations[Location Name],Locations[Group As])</f>
        <v>Swilgate</v>
      </c>
      <c r="H902" t="e" vm="1">
        <f>_xlfn.XLOOKUP(AllData[[#This Row],[Site Name]],LocationsKey[Site Name],LocationsKey[District])</f>
        <v>#VALUE!</v>
      </c>
      <c r="I902" t="e" vm="1">
        <f>_xlfn.XLOOKUP(AllData[[#This Row],[Site Name]],LocationsKey[Site Name],LocationsKey[Town])</f>
        <v>#VALUE!</v>
      </c>
      <c r="J902" t="str">
        <f>_xlfn.XLOOKUP(AllData[[#This Row],[Site Name]],LocationsKey[Site Name], LocationsKey[Waterway])</f>
        <v>Swilgate</v>
      </c>
      <c r="K902" t="s">
        <v>84</v>
      </c>
      <c r="N902" t="s">
        <v>23</v>
      </c>
      <c r="O902">
        <v>918</v>
      </c>
      <c r="P902">
        <v>14</v>
      </c>
      <c r="Q902">
        <v>4</v>
      </c>
      <c r="R902" s="7" t="str">
        <f>IF(AllData[[#This Row],[Nitrate (PPM)]]&gt;2, "Very high", IF(AllData[[#This Row],[Nitrate (PPM)]]&gt;1, "High", IF(AllData[[#This Row],[Nitrate (PPM)]]&gt;0.5, "Some evidence", IF(AllData[[#This Row],[Nitrate (PPM)]]&gt;=0, "No evidence"))))</f>
        <v>Very high</v>
      </c>
      <c r="S902" s="4">
        <v>0.68</v>
      </c>
      <c r="T902" s="7" t="str">
        <f>IF(AllData[[#This Row],[Phosphate (PPM)]]&gt;0.5, "Very high", IF(AllData[[#This Row],[Phosphate (PPM)]]&gt;0.1, "High", IF(AllData[[#This Row],[Phosphate (PPM)]]&gt;0.05, "Some evidence", IF(AllData[[#This Row],[Phosphate (PPM)]]&lt;=0.05, "No Evidence", ""))))</f>
        <v>Very high</v>
      </c>
      <c r="U902">
        <v>0</v>
      </c>
    </row>
    <row r="903" spans="1:22" x14ac:dyDescent="0.25">
      <c r="A903" t="s">
        <v>1216</v>
      </c>
      <c r="B903" s="2">
        <v>45449</v>
      </c>
      <c r="C903" s="2" t="str" cm="1">
        <f t="array" ref="C9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3">
        <f>YEAR(AllData[[#This Row],[Date]])</f>
        <v>2024</v>
      </c>
      <c r="E903" s="1">
        <v>0.78472222222222221</v>
      </c>
      <c r="F903" s="2" t="str">
        <f>IF(AND(AllData[[#This Row],[Time]]&lt;0.5, AllData[[#This Row],[Time]]&gt;0.17)=TRUE, "Morning", IF(AND(AllData[[#This Row],[Time]]&lt;0.75, AllData[[#This Row],[Time]]&gt;=0.5)=TRUE, "Afternoon", IF(AND(AllData[[#This Row],[Time]]&lt;1, AllData[[#This Row],[Time]]&gt;=0.75)=TRUE, "Evening", "Night")))</f>
        <v>Evening</v>
      </c>
      <c r="G903" t="str">
        <f>_xlfn.XLOOKUP(AllData[[#This Row],[Location Name]], Locations[Location Name],Locations[Group As])</f>
        <v>Preston-on-Stour River Bridge</v>
      </c>
      <c r="H903" t="e" vm="2">
        <f>_xlfn.XLOOKUP(AllData[[#This Row],[Site Name]],LocationsKey[Site Name],LocationsKey[District])</f>
        <v>#VALUE!</v>
      </c>
      <c r="I903" t="e" vm="9">
        <f>_xlfn.XLOOKUP(AllData[[#This Row],[Site Name]],LocationsKey[Site Name],LocationsKey[Town])</f>
        <v>#VALUE!</v>
      </c>
      <c r="J903" t="str">
        <f>_xlfn.XLOOKUP(AllData[[#This Row],[Site Name]],LocationsKey[Site Name], LocationsKey[Waterway])</f>
        <v>Stour</v>
      </c>
      <c r="K903" t="s">
        <v>163</v>
      </c>
      <c r="L903">
        <v>52.146481999999999</v>
      </c>
      <c r="M903">
        <v>-1.699813</v>
      </c>
      <c r="N903" t="s">
        <v>29</v>
      </c>
      <c r="O903">
        <v>644</v>
      </c>
      <c r="P903">
        <v>15.6</v>
      </c>
      <c r="Q903">
        <v>6</v>
      </c>
      <c r="R903" s="7" t="str">
        <f>IF(AllData[[#This Row],[Nitrate (PPM)]]&gt;2, "Very high", IF(AllData[[#This Row],[Nitrate (PPM)]]&gt;1, "High", IF(AllData[[#This Row],[Nitrate (PPM)]]&gt;0.5, "Some evidence", IF(AllData[[#This Row],[Nitrate (PPM)]]&gt;=0, "No evidence"))))</f>
        <v>Very high</v>
      </c>
      <c r="S903" s="4">
        <v>0.27</v>
      </c>
      <c r="T903" s="7" t="str">
        <f>IF(AllData[[#This Row],[Phosphate (PPM)]]&gt;0.5, "Very high", IF(AllData[[#This Row],[Phosphate (PPM)]]&gt;0.1, "High", IF(AllData[[#This Row],[Phosphate (PPM)]]&gt;0.05, "Some evidence", IF(AllData[[#This Row],[Phosphate (PPM)]]&lt;=0.05, "No Evidence", ""))))</f>
        <v>High</v>
      </c>
      <c r="U903">
        <v>1</v>
      </c>
    </row>
    <row r="904" spans="1:22" x14ac:dyDescent="0.25">
      <c r="A904" t="s">
        <v>1224</v>
      </c>
      <c r="B904" s="2">
        <v>45450</v>
      </c>
      <c r="C904" s="2" t="str" cm="1">
        <f t="array" ref="C9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4">
        <f>YEAR(AllData[[#This Row],[Date]])</f>
        <v>2024</v>
      </c>
      <c r="E904" s="1">
        <v>0.33888888888888891</v>
      </c>
      <c r="F904" s="2" t="str">
        <f>IF(AND(AllData[[#This Row],[Time]]&lt;0.5, AllData[[#This Row],[Time]]&gt;0.17)=TRUE, "Morning", IF(AND(AllData[[#This Row],[Time]]&lt;0.75, AllData[[#This Row],[Time]]&gt;=0.5)=TRUE, "Afternoon", IF(AND(AllData[[#This Row],[Time]]&lt;1, AllData[[#This Row],[Time]]&gt;=0.75)=TRUE, "Evening", "Night")))</f>
        <v>Morning</v>
      </c>
      <c r="G904" t="str">
        <f>_xlfn.XLOOKUP(AllData[[#This Row],[Location Name]], Locations[Location Name],Locations[Group As])</f>
        <v>Lower Lode</v>
      </c>
      <c r="H904" t="e" vm="1">
        <f>_xlfn.XLOOKUP(AllData[[#This Row],[Site Name]],LocationsKey[Site Name],LocationsKey[District])</f>
        <v>#VALUE!</v>
      </c>
      <c r="I904" t="e" vm="1">
        <f>_xlfn.XLOOKUP(AllData[[#This Row],[Site Name]],LocationsKey[Site Name],LocationsKey[Town])</f>
        <v>#VALUE!</v>
      </c>
      <c r="J904" t="str">
        <f>_xlfn.XLOOKUP(AllData[[#This Row],[Site Name]],LocationsKey[Site Name], LocationsKey[Waterway])</f>
        <v>Avon</v>
      </c>
      <c r="K904" t="s">
        <v>592</v>
      </c>
      <c r="L904">
        <v>51.985019000000001</v>
      </c>
      <c r="M904">
        <v>-2.1741329999999999</v>
      </c>
      <c r="N904" t="s">
        <v>29</v>
      </c>
      <c r="O904">
        <v>8150</v>
      </c>
      <c r="P904">
        <v>16.8</v>
      </c>
      <c r="Q904">
        <v>10</v>
      </c>
      <c r="R904" s="7" t="str">
        <f>IF(AllData[[#This Row],[Nitrate (PPM)]]&gt;2, "Very high", IF(AllData[[#This Row],[Nitrate (PPM)]]&gt;1, "High", IF(AllData[[#This Row],[Nitrate (PPM)]]&gt;0.5, "Some evidence", IF(AllData[[#This Row],[Nitrate (PPM)]]&gt;=0, "No evidence"))))</f>
        <v>Very high</v>
      </c>
      <c r="S904" s="4">
        <v>0.6</v>
      </c>
      <c r="T904" s="7" t="str">
        <f>IF(AllData[[#This Row],[Phosphate (PPM)]]&gt;0.5, "Very high", IF(AllData[[#This Row],[Phosphate (PPM)]]&gt;0.1, "High", IF(AllData[[#This Row],[Phosphate (PPM)]]&gt;0.05, "Some evidence", IF(AllData[[#This Row],[Phosphate (PPM)]]&lt;=0.05, "No Evidence", ""))))</f>
        <v>Very high</v>
      </c>
      <c r="U904">
        <v>-1</v>
      </c>
    </row>
    <row r="905" spans="1:22" x14ac:dyDescent="0.25">
      <c r="A905" t="s">
        <v>1222</v>
      </c>
      <c r="B905" s="2">
        <v>45450</v>
      </c>
      <c r="C905" s="2" t="str" cm="1">
        <f t="array" ref="C9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5">
        <f>YEAR(AllData[[#This Row],[Date]])</f>
        <v>2024</v>
      </c>
      <c r="E905" s="1">
        <v>0.4375</v>
      </c>
      <c r="F905" s="2" t="str">
        <f>IF(AND(AllData[[#This Row],[Time]]&lt;0.5, AllData[[#This Row],[Time]]&gt;0.17)=TRUE, "Morning", IF(AND(AllData[[#This Row],[Time]]&lt;0.75, AllData[[#This Row],[Time]]&gt;=0.5)=TRUE, "Afternoon", IF(AND(AllData[[#This Row],[Time]]&lt;1, AllData[[#This Row],[Time]]&gt;=0.75)=TRUE, "Evening", "Night")))</f>
        <v>Morning</v>
      </c>
      <c r="G905" t="str">
        <f>_xlfn.XLOOKUP(AllData[[#This Row],[Location Name]], Locations[Location Name],Locations[Group As])</f>
        <v>Swillgate TNR 2nd bridge</v>
      </c>
      <c r="H905" t="e" vm="1">
        <f>_xlfn.XLOOKUP(AllData[[#This Row],[Site Name]],LocationsKey[Site Name],LocationsKey[District])</f>
        <v>#VALUE!</v>
      </c>
      <c r="I905" t="e" vm="1">
        <f>_xlfn.XLOOKUP(AllData[[#This Row],[Site Name]],LocationsKey[Site Name],LocationsKey[Town])</f>
        <v>#VALUE!</v>
      </c>
      <c r="J905" t="str">
        <f>_xlfn.XLOOKUP(AllData[[#This Row],[Site Name]],LocationsKey[Site Name], LocationsKey[Waterway])</f>
        <v>Swilgate</v>
      </c>
      <c r="K905" t="s">
        <v>1223</v>
      </c>
      <c r="L905">
        <v>51.980561000000002</v>
      </c>
      <c r="M905">
        <v>-2.150067</v>
      </c>
      <c r="N905" t="s">
        <v>23</v>
      </c>
      <c r="O905">
        <v>851</v>
      </c>
      <c r="P905">
        <v>15.3</v>
      </c>
      <c r="Q905">
        <v>8</v>
      </c>
      <c r="R905" s="7" t="str">
        <f>IF(AllData[[#This Row],[Nitrate (PPM)]]&gt;2, "Very high", IF(AllData[[#This Row],[Nitrate (PPM)]]&gt;1, "High", IF(AllData[[#This Row],[Nitrate (PPM)]]&gt;0.5, "Some evidence", IF(AllData[[#This Row],[Nitrate (PPM)]]&gt;=0, "No evidence"))))</f>
        <v>Very high</v>
      </c>
      <c r="S905" s="4">
        <v>0.7</v>
      </c>
      <c r="T905" s="7" t="str">
        <f>IF(AllData[[#This Row],[Phosphate (PPM)]]&gt;0.5, "Very high", IF(AllData[[#This Row],[Phosphate (PPM)]]&gt;0.1, "High", IF(AllData[[#This Row],[Phosphate (PPM)]]&gt;0.05, "Some evidence", IF(AllData[[#This Row],[Phosphate (PPM)]]&lt;=0.05, "No Evidence", ""))))</f>
        <v>Very high</v>
      </c>
      <c r="U905">
        <v>0</v>
      </c>
    </row>
    <row r="906" spans="1:22" x14ac:dyDescent="0.25">
      <c r="A906" t="s">
        <v>1220</v>
      </c>
      <c r="B906" s="2">
        <v>45450</v>
      </c>
      <c r="C906" s="2" t="str" cm="1">
        <f t="array" ref="C9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6">
        <f>YEAR(AllData[[#This Row],[Date]])</f>
        <v>2024</v>
      </c>
      <c r="E906" s="1">
        <v>0.50416666666666665</v>
      </c>
      <c r="F906" s="2" t="str">
        <f>IF(AND(AllData[[#This Row],[Time]]&lt;0.5, AllData[[#This Row],[Time]]&gt;0.17)=TRUE, "Morning", IF(AND(AllData[[#This Row],[Time]]&lt;0.75, AllData[[#This Row],[Time]]&gt;=0.5)=TRUE, "Afternoon", IF(AND(AllData[[#This Row],[Time]]&lt;1, AllData[[#This Row],[Time]]&gt;=0.75)=TRUE, "Evening", "Night")))</f>
        <v>Afternoon</v>
      </c>
      <c r="G906" t="str">
        <f>_xlfn.XLOOKUP(AllData[[#This Row],[Location Name]], Locations[Location Name],Locations[Group As])</f>
        <v>Walcot Lane, Bow Brook Ford</v>
      </c>
      <c r="H906" t="e" vm="17">
        <f>_xlfn.XLOOKUP(AllData[[#This Row],[Site Name]],LocationsKey[Site Name],LocationsKey[District])</f>
        <v>#VALUE!</v>
      </c>
      <c r="I906" t="e" vm="18">
        <f>_xlfn.XLOOKUP(AllData[[#This Row],[Site Name]],LocationsKey[Site Name],LocationsKey[Town])</f>
        <v>#VALUE!</v>
      </c>
      <c r="J906" t="str">
        <f>_xlfn.XLOOKUP(AllData[[#This Row],[Site Name]],LocationsKey[Site Name], LocationsKey[Waterway])</f>
        <v>Bow Brook</v>
      </c>
      <c r="K906" t="s">
        <v>732</v>
      </c>
      <c r="L906">
        <v>52.130504999999999</v>
      </c>
      <c r="M906">
        <v>-2.0786190000000002</v>
      </c>
      <c r="N906" t="s">
        <v>23</v>
      </c>
      <c r="O906">
        <v>119</v>
      </c>
      <c r="P906">
        <v>15.6</v>
      </c>
      <c r="Q906">
        <v>5</v>
      </c>
      <c r="R906" s="126" t="str">
        <f>IF(AllData[[#This Row],[Nitrate (PPM)]]&gt;2, "Very high", IF(AllData[[#This Row],[Nitrate (PPM)]]&gt;1, "High", IF(AllData[[#This Row],[Nitrate (PPM)]]&gt;0.5, "Some evidence", IF(AllData[[#This Row],[Nitrate (PPM)]]&gt;=0, "No evidence"))))</f>
        <v>Very high</v>
      </c>
      <c r="S906" s="4">
        <v>1.26</v>
      </c>
      <c r="T906" s="126" t="str">
        <f>IF(AllData[[#This Row],[Phosphate (PPM)]]&gt;0.5, "Very high", IF(AllData[[#This Row],[Phosphate (PPM)]]&gt;0.1, "High", IF(AllData[[#This Row],[Phosphate (PPM)]]&gt;0.05, "Some evidence", IF(AllData[[#This Row],[Phosphate (PPM)]]&lt;=0.05, "No Evidence", ""))))</f>
        <v>Very high</v>
      </c>
      <c r="U906">
        <v>0.2</v>
      </c>
      <c r="V906" t="s">
        <v>1221</v>
      </c>
    </row>
    <row r="907" spans="1:22" x14ac:dyDescent="0.25">
      <c r="A907" t="s">
        <v>1219</v>
      </c>
      <c r="B907" s="2">
        <v>45450</v>
      </c>
      <c r="C907" s="2" t="str" cm="1">
        <f t="array" ref="C9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7">
        <f>YEAR(AllData[[#This Row],[Date]])</f>
        <v>2024</v>
      </c>
      <c r="E907" s="1">
        <v>0.57708333333333328</v>
      </c>
      <c r="F907" s="2" t="str">
        <f>IF(AND(AllData[[#This Row],[Time]]&lt;0.5, AllData[[#This Row],[Time]]&gt;0.17)=TRUE, "Morning", IF(AND(AllData[[#This Row],[Time]]&lt;0.75, AllData[[#This Row],[Time]]&gt;=0.5)=TRUE, "Afternoon", IF(AND(AllData[[#This Row],[Time]]&lt;1, AllData[[#This Row],[Time]]&gt;=0.75)=TRUE, "Evening", "Night")))</f>
        <v>Afternoon</v>
      </c>
      <c r="G907" t="str">
        <f>_xlfn.XLOOKUP(AllData[[#This Row],[Location Name]], Locations[Location Name],Locations[Group As])</f>
        <v>Black Bear</v>
      </c>
      <c r="H907" t="e" vm="1">
        <f>_xlfn.XLOOKUP(AllData[[#This Row],[Site Name]],LocationsKey[Site Name],LocationsKey[District])</f>
        <v>#VALUE!</v>
      </c>
      <c r="I907" t="e" vm="1">
        <f>_xlfn.XLOOKUP(AllData[[#This Row],[Site Name]],LocationsKey[Site Name],LocationsKey[Town])</f>
        <v>#VALUE!</v>
      </c>
      <c r="J907" t="str">
        <f>_xlfn.XLOOKUP(AllData[[#This Row],[Site Name]],LocationsKey[Site Name], LocationsKey[Waterway])</f>
        <v>Avon</v>
      </c>
      <c r="K907" t="s">
        <v>1045</v>
      </c>
      <c r="L907">
        <v>51.997458000000002</v>
      </c>
      <c r="M907">
        <v>-2.156066</v>
      </c>
      <c r="N907" t="s">
        <v>23</v>
      </c>
      <c r="O907" s="219">
        <v>922</v>
      </c>
      <c r="P907">
        <v>18</v>
      </c>
      <c r="Q907" s="219">
        <v>9</v>
      </c>
      <c r="R907" s="126" t="str">
        <f>IF(AllData[[#This Row],[Nitrate (PPM)]]&gt;2, "Very high", IF(AllData[[#This Row],[Nitrate (PPM)]]&gt;1, "High", IF(AllData[[#This Row],[Nitrate (PPM)]]&gt;0.5, "Some evidence", IF(AllData[[#This Row],[Nitrate (PPM)]]&gt;=0, "No evidence"))))</f>
        <v>Very high</v>
      </c>
      <c r="S907" s="221">
        <v>1.81</v>
      </c>
      <c r="T907" s="126" t="str">
        <f>IF(AllData[[#This Row],[Phosphate (PPM)]]&gt;0.5, "Very high", IF(AllData[[#This Row],[Phosphate (PPM)]]&gt;0.1, "High", IF(AllData[[#This Row],[Phosphate (PPM)]]&gt;0.05, "Some evidence", IF(AllData[[#This Row],[Phosphate (PPM)]]&lt;=0.05, "No Evidence", ""))))</f>
        <v>Very high</v>
      </c>
      <c r="U907">
        <v>0</v>
      </c>
    </row>
    <row r="908" spans="1:22" x14ac:dyDescent="0.25">
      <c r="A908" t="s">
        <v>1218</v>
      </c>
      <c r="B908" s="2">
        <v>45450</v>
      </c>
      <c r="C908" s="2" t="str" cm="1">
        <f t="array" ref="C9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8">
        <f>YEAR(AllData[[#This Row],[Date]])</f>
        <v>2024</v>
      </c>
      <c r="E908" s="1">
        <v>0.70833333333333337</v>
      </c>
      <c r="F908" s="2" t="str">
        <f>IF(AND(AllData[[#This Row],[Time]]&lt;0.5, AllData[[#This Row],[Time]]&gt;0.17)=TRUE, "Morning", IF(AND(AllData[[#This Row],[Time]]&lt;0.75, AllData[[#This Row],[Time]]&gt;=0.5)=TRUE, "Afternoon", IF(AND(AllData[[#This Row],[Time]]&lt;1, AllData[[#This Row],[Time]]&gt;=0.75)=TRUE, "Evening", "Night")))</f>
        <v>Afternoon</v>
      </c>
      <c r="G908" t="str">
        <f>_xlfn.XLOOKUP(AllData[[#This Row],[Location Name]], Locations[Location Name],Locations[Group As])</f>
        <v>Stour Willington</v>
      </c>
      <c r="H908" t="e" vm="2">
        <f>_xlfn.XLOOKUP(AllData[[#This Row],[Site Name]],LocationsKey[Site Name],LocationsKey[District])</f>
        <v>#VALUE!</v>
      </c>
      <c r="I908" t="str">
        <f>_xlfn.XLOOKUP(AllData[[#This Row],[Site Name]],LocationsKey[Site Name],LocationsKey[Town])</f>
        <v>Willington</v>
      </c>
      <c r="J908" t="str">
        <f>_xlfn.XLOOKUP(AllData[[#This Row],[Site Name]],LocationsKey[Site Name], LocationsKey[Waterway])</f>
        <v>Stour</v>
      </c>
      <c r="K908" t="s">
        <v>517</v>
      </c>
      <c r="L908">
        <v>52.053552000000003</v>
      </c>
      <c r="M908">
        <v>-1.6201509999999999</v>
      </c>
      <c r="N908" t="s">
        <v>23</v>
      </c>
      <c r="O908">
        <v>614</v>
      </c>
      <c r="P908">
        <v>15.7</v>
      </c>
      <c r="Q908">
        <v>2</v>
      </c>
      <c r="R908" s="7" t="str">
        <f>IF(AllData[[#This Row],[Nitrate (PPM)]]&gt;2, "Very high", IF(AllData[[#This Row],[Nitrate (PPM)]]&gt;1, "High", IF(AllData[[#This Row],[Nitrate (PPM)]]&gt;0.5, "Some evidence", IF(AllData[[#This Row],[Nitrate (PPM)]]&gt;=0, "No evidence"))))</f>
        <v>High</v>
      </c>
      <c r="S908" s="4">
        <v>0.33</v>
      </c>
      <c r="T908" s="7" t="str">
        <f>IF(AllData[[#This Row],[Phosphate (PPM)]]&gt;0.5, "Very high", IF(AllData[[#This Row],[Phosphate (PPM)]]&gt;0.1, "High", IF(AllData[[#This Row],[Phosphate (PPM)]]&gt;0.05, "Some evidence", IF(AllData[[#This Row],[Phosphate (PPM)]]&lt;=0.05, "No Evidence", ""))))</f>
        <v>High</v>
      </c>
      <c r="U908">
        <v>0.5</v>
      </c>
    </row>
    <row r="909" spans="1:22" x14ac:dyDescent="0.25">
      <c r="A909" t="s">
        <v>1227</v>
      </c>
      <c r="B909" s="2">
        <v>45451</v>
      </c>
      <c r="C909" s="2" t="str" cm="1">
        <f t="array" ref="C9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09">
        <f>YEAR(AllData[[#This Row],[Date]])</f>
        <v>2024</v>
      </c>
      <c r="E909" s="1">
        <v>0.39583333333333331</v>
      </c>
      <c r="F909" s="2" t="str">
        <f>IF(AND(AllData[[#This Row],[Time]]&lt;0.5, AllData[[#This Row],[Time]]&gt;0.17)=TRUE, "Morning", IF(AND(AllData[[#This Row],[Time]]&lt;0.75, AllData[[#This Row],[Time]]&gt;=0.5)=TRUE, "Afternoon", IF(AND(AllData[[#This Row],[Time]]&lt;1, AllData[[#This Row],[Time]]&gt;=0.75)=TRUE, "Evening", "Night")))</f>
        <v>Morning</v>
      </c>
      <c r="G909" t="str">
        <f>_xlfn.XLOOKUP(AllData[[#This Row],[Location Name]], Locations[Location Name],Locations[Group As])</f>
        <v>Stratford RSC</v>
      </c>
      <c r="H909" t="e" vm="2">
        <f>_xlfn.XLOOKUP(AllData[[#This Row],[Site Name]],LocationsKey[Site Name],LocationsKey[District])</f>
        <v>#VALUE!</v>
      </c>
      <c r="I909" t="e" vm="7">
        <f>_xlfn.XLOOKUP(AllData[[#This Row],[Site Name]],LocationsKey[Site Name],LocationsKey[Town])</f>
        <v>#VALUE!</v>
      </c>
      <c r="J909" t="str">
        <f>_xlfn.XLOOKUP(AllData[[#This Row],[Site Name]],LocationsKey[Site Name], LocationsKey[Waterway])</f>
        <v>Avon</v>
      </c>
      <c r="K909" t="s">
        <v>1228</v>
      </c>
      <c r="L909">
        <v>52.1907</v>
      </c>
      <c r="M909">
        <v>-1.7032</v>
      </c>
      <c r="N909" t="s">
        <v>1229</v>
      </c>
      <c r="O909">
        <v>726</v>
      </c>
      <c r="P909">
        <v>17.600000000000001</v>
      </c>
      <c r="Q909">
        <v>20</v>
      </c>
      <c r="R909" s="7" t="str">
        <f>IF(AllData[[#This Row],[Nitrate (PPM)]]&gt;2, "Very high", IF(AllData[[#This Row],[Nitrate (PPM)]]&gt;1, "High", IF(AllData[[#This Row],[Nitrate (PPM)]]&gt;0.5, "Some evidence", IF(AllData[[#This Row],[Nitrate (PPM)]]&gt;=0, "No evidence"))))</f>
        <v>Very high</v>
      </c>
      <c r="S909" s="4">
        <v>0.51</v>
      </c>
      <c r="T909" s="7" t="str">
        <f>IF(AllData[[#This Row],[Phosphate (PPM)]]&gt;0.5, "Very high", IF(AllData[[#This Row],[Phosphate (PPM)]]&gt;0.1, "High", IF(AllData[[#This Row],[Phosphate (PPM)]]&gt;0.05, "Some evidence", IF(AllData[[#This Row],[Phosphate (PPM)]]&lt;=0.05, "No Evidence", ""))))</f>
        <v>Very high</v>
      </c>
      <c r="U909">
        <v>0</v>
      </c>
      <c r="V909" t="s">
        <v>1230</v>
      </c>
    </row>
    <row r="910" spans="1:22" x14ac:dyDescent="0.25">
      <c r="A910" t="s">
        <v>1232</v>
      </c>
      <c r="B910" s="2">
        <v>45451</v>
      </c>
      <c r="C910" s="2" t="str" cm="1">
        <f t="array" ref="C9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0">
        <f>YEAR(AllData[[#This Row],[Date]])</f>
        <v>2024</v>
      </c>
      <c r="E910" s="1">
        <v>0.4236111111111111</v>
      </c>
      <c r="F910" s="2" t="str">
        <f>IF(AND(AllData[[#This Row],[Time]]&lt;0.5, AllData[[#This Row],[Time]]&gt;0.17)=TRUE, "Morning", IF(AND(AllData[[#This Row],[Time]]&lt;0.75, AllData[[#This Row],[Time]]&gt;=0.5)=TRUE, "Afternoon", IF(AND(AllData[[#This Row],[Time]]&lt;1, AllData[[#This Row],[Time]]&gt;=0.75)=TRUE, "Evening", "Night")))</f>
        <v>Morning</v>
      </c>
      <c r="G910" t="str">
        <f>_xlfn.XLOOKUP(AllData[[#This Row],[Location Name]], Locations[Location Name],Locations[Group As])</f>
        <v>Piddle Brook Wyre Piddle Bridge</v>
      </c>
      <c r="H910" t="e" vm="17">
        <f>_xlfn.XLOOKUP(AllData[[#This Row],[Site Name]],LocationsKey[Site Name],LocationsKey[District])</f>
        <v>#VALUE!</v>
      </c>
      <c r="I910" t="e" vm="20">
        <f>_xlfn.XLOOKUP(AllData[[#This Row],[Site Name]],LocationsKey[Site Name],LocationsKey[Town])</f>
        <v>#VALUE!</v>
      </c>
      <c r="J910" t="str">
        <f>_xlfn.XLOOKUP(AllData[[#This Row],[Site Name]],LocationsKey[Site Name], LocationsKey[Waterway])</f>
        <v>Piddle Brook</v>
      </c>
      <c r="K910" t="s">
        <v>744</v>
      </c>
      <c r="L910">
        <v>52.126404000000001</v>
      </c>
      <c r="M910">
        <v>-2.0565410000000002</v>
      </c>
      <c r="N910" t="s">
        <v>23</v>
      </c>
      <c r="O910">
        <v>1530</v>
      </c>
      <c r="P910">
        <v>13.8</v>
      </c>
      <c r="Q910">
        <v>10</v>
      </c>
      <c r="R910" s="7" t="str">
        <f>IF(AllData[[#This Row],[Nitrate (PPM)]]&gt;2, "Very high", IF(AllData[[#This Row],[Nitrate (PPM)]]&gt;1, "High", IF(AllData[[#This Row],[Nitrate (PPM)]]&gt;0.5, "Some evidence", IF(AllData[[#This Row],[Nitrate (PPM)]]&gt;=0, "No evidence"))))</f>
        <v>Very high</v>
      </c>
      <c r="S910" s="4">
        <v>0.75</v>
      </c>
      <c r="T910" s="7" t="str">
        <f>IF(AllData[[#This Row],[Phosphate (PPM)]]&gt;0.5, "Very high", IF(AllData[[#This Row],[Phosphate (PPM)]]&gt;0.1, "High", IF(AllData[[#This Row],[Phosphate (PPM)]]&gt;0.05, "Some evidence", IF(AllData[[#This Row],[Phosphate (PPM)]]&lt;=0.05, "No Evidence", ""))))</f>
        <v>Very high</v>
      </c>
      <c r="U910">
        <v>0.18</v>
      </c>
      <c r="V910" t="s">
        <v>1233</v>
      </c>
    </row>
    <row r="911" spans="1:22" x14ac:dyDescent="0.25">
      <c r="A911" t="s">
        <v>1237</v>
      </c>
      <c r="B911" s="2">
        <v>45451</v>
      </c>
      <c r="C911" s="2" t="str" cm="1">
        <f t="array" ref="C9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1">
        <f>YEAR(AllData[[#This Row],[Date]])</f>
        <v>2024</v>
      </c>
      <c r="E911" s="1">
        <v>0.4513888888888889</v>
      </c>
      <c r="F911" s="2" t="str">
        <f>IF(AND(AllData[[#This Row],[Time]]&lt;0.5, AllData[[#This Row],[Time]]&gt;0.17)=TRUE, "Morning", IF(AND(AllData[[#This Row],[Time]]&lt;0.75, AllData[[#This Row],[Time]]&gt;=0.5)=TRUE, "Afternoon", IF(AND(AllData[[#This Row],[Time]]&lt;1, AllData[[#This Row],[Time]]&gt;=0.75)=TRUE, "Evening", "Night")))</f>
        <v>Morning</v>
      </c>
      <c r="G911" t="str">
        <f>_xlfn.XLOOKUP(AllData[[#This Row],[Location Name]], Locations[Location Name],Locations[Group As])</f>
        <v>Pitch 16</v>
      </c>
      <c r="H911" t="e" vm="2">
        <f>_xlfn.XLOOKUP(AllData[[#This Row],[Site Name]],LocationsKey[Site Name],LocationsKey[District])</f>
        <v>#VALUE!</v>
      </c>
      <c r="I911" t="e" vm="7">
        <f>_xlfn.XLOOKUP(AllData[[#This Row],[Site Name]],LocationsKey[Site Name],LocationsKey[Town])</f>
        <v>#VALUE!</v>
      </c>
      <c r="J911" t="str">
        <f>_xlfn.XLOOKUP(AllData[[#This Row],[Site Name]],LocationsKey[Site Name], LocationsKey[Waterway])</f>
        <v>Avon</v>
      </c>
      <c r="K911" t="s">
        <v>69</v>
      </c>
      <c r="L911">
        <v>52.172567000000001</v>
      </c>
      <c r="M911">
        <v>-1.7455419999999999</v>
      </c>
      <c r="N911" t="s">
        <v>29</v>
      </c>
      <c r="O911">
        <v>939</v>
      </c>
      <c r="P911">
        <v>17.399999999999999</v>
      </c>
      <c r="Q911">
        <v>9</v>
      </c>
      <c r="R911" s="7" t="str">
        <f>IF(AllData[[#This Row],[Nitrate (PPM)]]&gt;2, "Very high", IF(AllData[[#This Row],[Nitrate (PPM)]]&gt;1, "High", IF(AllData[[#This Row],[Nitrate (PPM)]]&gt;0.5, "Some evidence", IF(AllData[[#This Row],[Nitrate (PPM)]]&gt;=0, "No evidence"))))</f>
        <v>Very high</v>
      </c>
      <c r="S911" s="4">
        <v>0.59</v>
      </c>
      <c r="T911" s="7" t="str">
        <f>IF(AllData[[#This Row],[Phosphate (PPM)]]&gt;0.5, "Very high", IF(AllData[[#This Row],[Phosphate (PPM)]]&gt;0.1, "High", IF(AllData[[#This Row],[Phosphate (PPM)]]&gt;0.05, "Some evidence", IF(AllData[[#This Row],[Phosphate (PPM)]]&lt;=0.05, "No Evidence", ""))))</f>
        <v>Very high</v>
      </c>
      <c r="U911">
        <v>0.68</v>
      </c>
    </row>
    <row r="912" spans="1:22" x14ac:dyDescent="0.25">
      <c r="A912" t="s">
        <v>1234</v>
      </c>
      <c r="B912" s="2">
        <v>45451</v>
      </c>
      <c r="C912" s="2" t="str" cm="1">
        <f t="array" ref="C9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2">
        <f>YEAR(AllData[[#This Row],[Date]])</f>
        <v>2024</v>
      </c>
      <c r="E912" s="1">
        <v>0.45833333333333331</v>
      </c>
      <c r="F912" s="2" t="str">
        <f>IF(AND(AllData[[#This Row],[Time]]&lt;0.5, AllData[[#This Row],[Time]]&gt;0.17)=TRUE, "Morning", IF(AND(AllData[[#This Row],[Time]]&lt;0.75, AllData[[#This Row],[Time]]&gt;=0.5)=TRUE, "Afternoon", IF(AND(AllData[[#This Row],[Time]]&lt;1, AllData[[#This Row],[Time]]&gt;=0.75)=TRUE, "Evening", "Night")))</f>
        <v>Morning</v>
      </c>
      <c r="G912" t="str">
        <f>_xlfn.XLOOKUP(AllData[[#This Row],[Location Name]], Locations[Location Name],Locations[Group As])</f>
        <v>Avon Smiths Meadow Wyre Piddle</v>
      </c>
      <c r="H912" t="e" vm="17">
        <f>_xlfn.XLOOKUP(AllData[[#This Row],[Site Name]],LocationsKey[Site Name],LocationsKey[District])</f>
        <v>#VALUE!</v>
      </c>
      <c r="I912" t="e" vm="20">
        <f>_xlfn.XLOOKUP(AllData[[#This Row],[Site Name]],LocationsKey[Site Name],LocationsKey[Town])</f>
        <v>#VALUE!</v>
      </c>
      <c r="J912" t="str">
        <f>_xlfn.XLOOKUP(AllData[[#This Row],[Site Name]],LocationsKey[Site Name], LocationsKey[Waterway])</f>
        <v>Avon</v>
      </c>
      <c r="K912" t="s">
        <v>741</v>
      </c>
      <c r="L912">
        <v>52.122858999999998</v>
      </c>
      <c r="M912">
        <v>-2.0575389999999998</v>
      </c>
      <c r="N912" t="s">
        <v>23</v>
      </c>
      <c r="O912">
        <v>936</v>
      </c>
      <c r="P912">
        <v>15.8</v>
      </c>
      <c r="Q912">
        <v>10</v>
      </c>
      <c r="R912" s="7" t="str">
        <f>IF(AllData[[#This Row],[Nitrate (PPM)]]&gt;2, "Very high", IF(AllData[[#This Row],[Nitrate (PPM)]]&gt;1, "High", IF(AllData[[#This Row],[Nitrate (PPM)]]&gt;0.5, "Some evidence", IF(AllData[[#This Row],[Nitrate (PPM)]]&gt;=0, "No evidence"))))</f>
        <v>Very high</v>
      </c>
      <c r="S912" s="4">
        <v>0.78</v>
      </c>
      <c r="T912" s="7" t="str">
        <f>IF(AllData[[#This Row],[Phosphate (PPM)]]&gt;0.5, "Very high", IF(AllData[[#This Row],[Phosphate (PPM)]]&gt;0.1, "High", IF(AllData[[#This Row],[Phosphate (PPM)]]&gt;0.05, "Some evidence", IF(AllData[[#This Row],[Phosphate (PPM)]]&lt;=0.05, "No Evidence", ""))))</f>
        <v>Very high</v>
      </c>
      <c r="U912">
        <v>0.59</v>
      </c>
      <c r="V912" t="s">
        <v>1235</v>
      </c>
    </row>
    <row r="913" spans="1:22" x14ac:dyDescent="0.25">
      <c r="A913" t="s">
        <v>1236</v>
      </c>
      <c r="B913" s="2">
        <v>45451</v>
      </c>
      <c r="C913" s="2" t="str" cm="1">
        <f t="array" ref="C9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3">
        <f>YEAR(AllData[[#This Row],[Date]])</f>
        <v>2024</v>
      </c>
      <c r="E913" s="1">
        <v>0.47638888888888886</v>
      </c>
      <c r="F913" s="2" t="str">
        <f>IF(AND(AllData[[#This Row],[Time]]&lt;0.5, AllData[[#This Row],[Time]]&gt;0.17)=TRUE, "Morning", IF(AND(AllData[[#This Row],[Time]]&lt;0.75, AllData[[#This Row],[Time]]&gt;=0.5)=TRUE, "Afternoon", IF(AND(AllData[[#This Row],[Time]]&lt;1, AllData[[#This Row],[Time]]&gt;=0.75)=TRUE, "Evening", "Night")))</f>
        <v>Morning</v>
      </c>
      <c r="G913" t="str">
        <f>_xlfn.XLOOKUP(AllData[[#This Row],[Location Name]], Locations[Location Name],Locations[Group As])</f>
        <v>Avonbank Drive</v>
      </c>
      <c r="H913" t="e" vm="2">
        <f>_xlfn.XLOOKUP(AllData[[#This Row],[Site Name]],LocationsKey[Site Name],LocationsKey[District])</f>
        <v>#VALUE!</v>
      </c>
      <c r="I913" t="e" vm="7">
        <f>_xlfn.XLOOKUP(AllData[[#This Row],[Site Name]],LocationsKey[Site Name],LocationsKey[Town])</f>
        <v>#VALUE!</v>
      </c>
      <c r="J913" t="str">
        <f>_xlfn.XLOOKUP(AllData[[#This Row],[Site Name]],LocationsKey[Site Name], LocationsKey[Waterway])</f>
        <v>Avon</v>
      </c>
      <c r="K913" t="s">
        <v>325</v>
      </c>
      <c r="L913">
        <v>52.176555999999998</v>
      </c>
      <c r="M913">
        <v>-1.735069</v>
      </c>
      <c r="N913" t="s">
        <v>66</v>
      </c>
      <c r="O913">
        <v>943</v>
      </c>
      <c r="P913">
        <v>17.2</v>
      </c>
      <c r="Q913">
        <v>10</v>
      </c>
      <c r="R913" s="7" t="str">
        <f>IF(AllData[[#This Row],[Nitrate (PPM)]]&gt;2, "Very high", IF(AllData[[#This Row],[Nitrate (PPM)]]&gt;1, "High", IF(AllData[[#This Row],[Nitrate (PPM)]]&gt;0.5, "Some evidence", IF(AllData[[#This Row],[Nitrate (PPM)]]&gt;=0, "No evidence"))))</f>
        <v>Very high</v>
      </c>
      <c r="S913" s="4">
        <v>0.67</v>
      </c>
      <c r="T913" s="7" t="str">
        <f>IF(AllData[[#This Row],[Phosphate (PPM)]]&gt;0.5, "Very high", IF(AllData[[#This Row],[Phosphate (PPM)]]&gt;0.1, "High", IF(AllData[[#This Row],[Phosphate (PPM)]]&gt;0.05, "Some evidence", IF(AllData[[#This Row],[Phosphate (PPM)]]&lt;=0.05, "No Evidence", ""))))</f>
        <v>Very high</v>
      </c>
      <c r="U913">
        <v>0.68</v>
      </c>
    </row>
    <row r="914" spans="1:22" x14ac:dyDescent="0.25">
      <c r="A914" t="s">
        <v>1231</v>
      </c>
      <c r="B914" s="2">
        <v>45451</v>
      </c>
      <c r="C914" s="2" t="str" cm="1">
        <f t="array" ref="C9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4">
        <f>YEAR(AllData[[#This Row],[Date]])</f>
        <v>2024</v>
      </c>
      <c r="E914" s="1">
        <v>0.6875</v>
      </c>
      <c r="F914" s="2" t="str">
        <f>IF(AND(AllData[[#This Row],[Time]]&lt;0.5, AllData[[#This Row],[Time]]&gt;0.17)=TRUE, "Morning", IF(AND(AllData[[#This Row],[Time]]&lt;0.75, AllData[[#This Row],[Time]]&gt;=0.5)=TRUE, "Afternoon", IF(AND(AllData[[#This Row],[Time]]&lt;1, AllData[[#This Row],[Time]]&gt;=0.75)=TRUE, "Evening", "Night")))</f>
        <v>Afternoon</v>
      </c>
      <c r="G914" t="str">
        <f>_xlfn.XLOOKUP(AllData[[#This Row],[Location Name]], Locations[Location Name],Locations[Group As])</f>
        <v>Carrant Bredon Rd</v>
      </c>
      <c r="H914" t="e" vm="1">
        <f>_xlfn.XLOOKUP(AllData[[#This Row],[Site Name]],LocationsKey[Site Name],LocationsKey[District])</f>
        <v>#VALUE!</v>
      </c>
      <c r="I914" t="e" vm="1">
        <f>_xlfn.XLOOKUP(AllData[[#This Row],[Site Name]],LocationsKey[Site Name],LocationsKey[Town])</f>
        <v>#VALUE!</v>
      </c>
      <c r="J914" t="str">
        <f>_xlfn.XLOOKUP(AllData[[#This Row],[Site Name]],LocationsKey[Site Name], LocationsKey[Waterway])</f>
        <v>Carrant</v>
      </c>
      <c r="K914" t="s">
        <v>600</v>
      </c>
      <c r="L914">
        <v>51.996178999999998</v>
      </c>
      <c r="M914">
        <v>-2.1561180000000002</v>
      </c>
      <c r="N914" t="s">
        <v>23</v>
      </c>
      <c r="O914">
        <v>749</v>
      </c>
      <c r="P914">
        <v>15.5</v>
      </c>
      <c r="Q914">
        <v>5</v>
      </c>
      <c r="R914" s="7" t="str">
        <f>IF(AllData[[#This Row],[Nitrate (PPM)]]&gt;2, "Very high", IF(AllData[[#This Row],[Nitrate (PPM)]]&gt;1, "High", IF(AllData[[#This Row],[Nitrate (PPM)]]&gt;0.5, "Some evidence", IF(AllData[[#This Row],[Nitrate (PPM)]]&gt;=0, "No evidence"))))</f>
        <v>Very high</v>
      </c>
      <c r="S914" s="4">
        <v>0.36</v>
      </c>
      <c r="T914" s="7" t="str">
        <f>IF(AllData[[#This Row],[Phosphate (PPM)]]&gt;0.5, "Very high", IF(AllData[[#This Row],[Phosphate (PPM)]]&gt;0.1, "High", IF(AllData[[#This Row],[Phosphate (PPM)]]&gt;0.05, "Some evidence", IF(AllData[[#This Row],[Phosphate (PPM)]]&lt;=0.05, "No Evidence", ""))))</f>
        <v>High</v>
      </c>
      <c r="U914">
        <v>0</v>
      </c>
    </row>
    <row r="915" spans="1:22" x14ac:dyDescent="0.25">
      <c r="A915" t="s">
        <v>1226</v>
      </c>
      <c r="B915" s="2">
        <v>45451</v>
      </c>
      <c r="C915" s="2" t="str" cm="1">
        <f t="array" ref="C9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5">
        <f>YEAR(AllData[[#This Row],[Date]])</f>
        <v>2024</v>
      </c>
      <c r="E915" s="1">
        <v>0.72916666666666663</v>
      </c>
      <c r="F915" s="2" t="str">
        <f>IF(AND(AllData[[#This Row],[Time]]&lt;0.5, AllData[[#This Row],[Time]]&gt;0.17)=TRUE, "Morning", IF(AND(AllData[[#This Row],[Time]]&lt;0.75, AllData[[#This Row],[Time]]&gt;=0.5)=TRUE, "Afternoon", IF(AND(AllData[[#This Row],[Time]]&lt;1, AllData[[#This Row],[Time]]&gt;=0.75)=TRUE, "Evening", "Night")))</f>
        <v>Afternoon</v>
      </c>
      <c r="G915" t="str">
        <f>_xlfn.XLOOKUP(AllData[[#This Row],[Location Name]], Locations[Location Name],Locations[Group As])</f>
        <v>Sherbourne Brook 1</v>
      </c>
      <c r="H915" t="e" vm="2">
        <f>_xlfn.XLOOKUP(AllData[[#This Row],[Site Name]],LocationsKey[Site Name],LocationsKey[District])</f>
        <v>#VALUE!</v>
      </c>
      <c r="I915" t="e" vm="16">
        <f>_xlfn.XLOOKUP(AllData[[#This Row],[Site Name]],LocationsKey[Site Name],LocationsKey[Town])</f>
        <v>#VALUE!</v>
      </c>
      <c r="J915" t="str">
        <f>_xlfn.XLOOKUP(AllData[[#This Row],[Site Name]],LocationsKey[Site Name], LocationsKey[Waterway])</f>
        <v>Sherbourne Brook</v>
      </c>
      <c r="K915" t="s">
        <v>570</v>
      </c>
      <c r="L915">
        <v>52.252499999999998</v>
      </c>
      <c r="M915">
        <v>-1.6685000000000001</v>
      </c>
      <c r="N915" t="s">
        <v>23</v>
      </c>
      <c r="O915">
        <v>1070</v>
      </c>
      <c r="P915">
        <v>14.3</v>
      </c>
      <c r="Q915">
        <v>10</v>
      </c>
      <c r="R915" s="7" t="str">
        <f>IF(AllData[[#This Row],[Nitrate (PPM)]]&gt;2, "Very high", IF(AllData[[#This Row],[Nitrate (PPM)]]&gt;1, "High", IF(AllData[[#This Row],[Nitrate (PPM)]]&gt;0.5, "Some evidence", IF(AllData[[#This Row],[Nitrate (PPM)]]&gt;=0, "No evidence"))))</f>
        <v>Very high</v>
      </c>
      <c r="S915" s="4">
        <v>0.37</v>
      </c>
      <c r="T915" s="7" t="str">
        <f>IF(AllData[[#This Row],[Phosphate (PPM)]]&gt;0.5, "Very high", IF(AllData[[#This Row],[Phosphate (PPM)]]&gt;0.1, "High", IF(AllData[[#This Row],[Phosphate (PPM)]]&gt;0.05, "Some evidence", IF(AllData[[#This Row],[Phosphate (PPM)]]&lt;=0.05, "No Evidence", ""))))</f>
        <v>High</v>
      </c>
      <c r="U915">
        <v>0.2</v>
      </c>
    </row>
    <row r="916" spans="1:22" x14ac:dyDescent="0.25">
      <c r="A916" t="s">
        <v>1225</v>
      </c>
      <c r="B916" s="2">
        <v>45451</v>
      </c>
      <c r="C916" s="2" t="str" cm="1">
        <f t="array" ref="C9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6">
        <f>YEAR(AllData[[#This Row],[Date]])</f>
        <v>2024</v>
      </c>
      <c r="E916" s="1">
        <v>0.73958333333333337</v>
      </c>
      <c r="F916" s="2" t="str">
        <f>IF(AND(AllData[[#This Row],[Time]]&lt;0.5, AllData[[#This Row],[Time]]&gt;0.17)=TRUE, "Morning", IF(AND(AllData[[#This Row],[Time]]&lt;0.75, AllData[[#This Row],[Time]]&gt;=0.5)=TRUE, "Afternoon", IF(AND(AllData[[#This Row],[Time]]&lt;1, AllData[[#This Row],[Time]]&gt;=0.75)=TRUE, "Evening", "Night")))</f>
        <v>Afternoon</v>
      </c>
      <c r="G916" t="str">
        <f>_xlfn.XLOOKUP(AllData[[#This Row],[Location Name]], Locations[Location Name],Locations[Group As])</f>
        <v>Bell Brook 1</v>
      </c>
      <c r="H916" t="e" vm="2">
        <f>_xlfn.XLOOKUP(AllData[[#This Row],[Site Name]],LocationsKey[Site Name],LocationsKey[District])</f>
        <v>#VALUE!</v>
      </c>
      <c r="I916" t="e" vm="15">
        <f>_xlfn.XLOOKUP(AllData[[#This Row],[Site Name]],LocationsKey[Site Name],LocationsKey[Town])</f>
        <v>#VALUE!</v>
      </c>
      <c r="J916" t="str">
        <f>_xlfn.XLOOKUP(AllData[[#This Row],[Site Name]],LocationsKey[Site Name], LocationsKey[Waterway])</f>
        <v>Bell Brook</v>
      </c>
      <c r="K916" t="s">
        <v>534</v>
      </c>
      <c r="L916">
        <v>52.244900000000001</v>
      </c>
      <c r="M916">
        <v>-1.6617</v>
      </c>
      <c r="N916" t="s">
        <v>23</v>
      </c>
      <c r="O916">
        <v>821</v>
      </c>
      <c r="P916">
        <v>15.8</v>
      </c>
      <c r="Q916">
        <v>5</v>
      </c>
      <c r="R916" s="7" t="str">
        <f>IF(AllData[[#This Row],[Nitrate (PPM)]]&gt;2, "Very high", IF(AllData[[#This Row],[Nitrate (PPM)]]&gt;1, "High", IF(AllData[[#This Row],[Nitrate (PPM)]]&gt;0.5, "Some evidence", IF(AllData[[#This Row],[Nitrate (PPM)]]&gt;=0, "No evidence"))))</f>
        <v>Very high</v>
      </c>
      <c r="S916" s="4">
        <v>0.48</v>
      </c>
      <c r="T916" s="7" t="str">
        <f>IF(AllData[[#This Row],[Phosphate (PPM)]]&gt;0.5, "Very high", IF(AllData[[#This Row],[Phosphate (PPM)]]&gt;0.1, "High", IF(AllData[[#This Row],[Phosphate (PPM)]]&gt;0.05, "Some evidence", IF(AllData[[#This Row],[Phosphate (PPM)]]&lt;=0.05, "No Evidence", ""))))</f>
        <v>High</v>
      </c>
      <c r="U916">
        <v>0.2</v>
      </c>
    </row>
    <row r="917" spans="1:22" x14ac:dyDescent="0.25">
      <c r="A917" t="s">
        <v>1238</v>
      </c>
      <c r="B917" s="2">
        <v>45452</v>
      </c>
      <c r="C917" s="2" t="str" cm="1">
        <f t="array" ref="C9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7">
        <f>YEAR(AllData[[#This Row],[Date]])</f>
        <v>2024</v>
      </c>
      <c r="E917" s="1">
        <v>0.82777777777777772</v>
      </c>
      <c r="F917" s="2" t="str">
        <f>IF(AND(AllData[[#This Row],[Time]]&lt;0.5, AllData[[#This Row],[Time]]&gt;0.17)=TRUE, "Morning", IF(AND(AllData[[#This Row],[Time]]&lt;0.75, AllData[[#This Row],[Time]]&gt;=0.5)=TRUE, "Afternoon", IF(AND(AllData[[#This Row],[Time]]&lt;1, AllData[[#This Row],[Time]]&gt;=0.75)=TRUE, "Evening", "Night")))</f>
        <v>Evening</v>
      </c>
      <c r="G917" t="str">
        <f>_xlfn.XLOOKUP(AllData[[#This Row],[Location Name]], Locations[Location Name],Locations[Group As])</f>
        <v>The Ford, Langley</v>
      </c>
      <c r="H917" t="e" vm="2">
        <f>_xlfn.XLOOKUP(AllData[[#This Row],[Site Name]],LocationsKey[Site Name],LocationsKey[District])</f>
        <v>#VALUE!</v>
      </c>
      <c r="I917" t="str">
        <f>_xlfn.XLOOKUP(AllData[[#This Row],[Site Name]],LocationsKey[Site Name],LocationsKey[Town])</f>
        <v>Langley</v>
      </c>
      <c r="J917" t="str">
        <f>_xlfn.XLOOKUP(AllData[[#This Row],[Site Name]],LocationsKey[Site Name], LocationsKey[Waterway])</f>
        <v>Langley Ford</v>
      </c>
      <c r="K917" t="s">
        <v>557</v>
      </c>
      <c r="L917">
        <v>52.259824000000002</v>
      </c>
      <c r="M917">
        <v>-1.718574</v>
      </c>
      <c r="N917" t="s">
        <v>29</v>
      </c>
      <c r="O917">
        <v>811</v>
      </c>
      <c r="P917">
        <v>12.5</v>
      </c>
      <c r="Q917">
        <v>5</v>
      </c>
      <c r="R917" s="7" t="str">
        <f>IF(AllData[[#This Row],[Nitrate (PPM)]]&gt;2, "Very high", IF(AllData[[#This Row],[Nitrate (PPM)]]&gt;1, "High", IF(AllData[[#This Row],[Nitrate (PPM)]]&gt;0.5, "Some evidence", IF(AllData[[#This Row],[Nitrate (PPM)]]&gt;=0, "No evidence"))))</f>
        <v>Very high</v>
      </c>
      <c r="S917" s="4">
        <v>0.56000000000000005</v>
      </c>
      <c r="T917" s="7" t="str">
        <f>IF(AllData[[#This Row],[Phosphate (PPM)]]&gt;0.5, "Very high", IF(AllData[[#This Row],[Phosphate (PPM)]]&gt;0.1, "High", IF(AllData[[#This Row],[Phosphate (PPM)]]&gt;0.05, "Some evidence", IF(AllData[[#This Row],[Phosphate (PPM)]]&lt;=0.05, "No Evidence", ""))))</f>
        <v>Very high</v>
      </c>
      <c r="U917">
        <v>0.15</v>
      </c>
    </row>
    <row r="918" spans="1:22" x14ac:dyDescent="0.25">
      <c r="A918" t="s">
        <v>1785</v>
      </c>
      <c r="B918" s="2">
        <v>45452</v>
      </c>
      <c r="C918" s="2" t="str" cm="1">
        <f t="array" ref="C9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8">
        <f>YEAR(AllData[[#This Row],[Date]])</f>
        <v>2024</v>
      </c>
      <c r="F918" s="2" t="str">
        <f>IF(AND(AllData[[#This Row],[Time]]&lt;0.5, AllData[[#This Row],[Time]]&gt;0.17)=TRUE, "Morning", IF(AND(AllData[[#This Row],[Time]]&lt;0.75, AllData[[#This Row],[Time]]&gt;=0.5)=TRUE, "Afternoon", IF(AND(AllData[[#This Row],[Time]]&lt;1, AllData[[#This Row],[Time]]&gt;=0.75)=TRUE, "Evening", "Night")))</f>
        <v>Night</v>
      </c>
      <c r="G918" t="str">
        <f>_xlfn.XLOOKUP(AllData[[#This Row],[Location Name]], Locations[Location Name],Locations[Group As])</f>
        <v>Site 1  :  Middle Street</v>
      </c>
      <c r="H918" t="e" vm="2">
        <f>_xlfn.XLOOKUP(AllData[[#This Row],[Site Name]],LocationsKey[Site Name],LocationsKey[District])</f>
        <v>#VALUE!</v>
      </c>
      <c r="I918" t="e" vm="11">
        <f>_xlfn.XLOOKUP(AllData[[#This Row],[Site Name]],LocationsKey[Site Name],LocationsKey[Town])</f>
        <v>#VALUE!</v>
      </c>
      <c r="J918" t="str">
        <f>_xlfn.XLOOKUP(AllData[[#This Row],[Site Name]],LocationsKey[Site Name], LocationsKey[Waterway])</f>
        <v>Fosseway Brook</v>
      </c>
      <c r="K918" t="s">
        <v>1859</v>
      </c>
      <c r="L918">
        <v>52.090057999999999</v>
      </c>
      <c r="M918">
        <v>-1.6927080000000001</v>
      </c>
      <c r="N918" t="s">
        <v>66</v>
      </c>
      <c r="O918">
        <v>640</v>
      </c>
      <c r="P918">
        <v>17.2</v>
      </c>
      <c r="Q918">
        <v>2</v>
      </c>
      <c r="R918" s="7" t="str">
        <f>IF(AllData[[#This Row],[Nitrate (PPM)]]&gt;2, "Very high", IF(AllData[[#This Row],[Nitrate (PPM)]]&gt;1, "High", IF(AllData[[#This Row],[Nitrate (PPM)]]&gt;0.5, "Some evidence", IF(AllData[[#This Row],[Nitrate (PPM)]]&gt;=0, "No evidence"))))</f>
        <v>High</v>
      </c>
      <c r="S918" s="4">
        <v>0.13</v>
      </c>
      <c r="T918" s="7" t="str">
        <f>IF(AllData[[#This Row],[Phosphate (PPM)]]&gt;0.5, "Very high", IF(AllData[[#This Row],[Phosphate (PPM)]]&gt;0.1, "High", IF(AllData[[#This Row],[Phosphate (PPM)]]&gt;0.05, "Some evidence", IF(AllData[[#This Row],[Phosphate (PPM)]]&lt;=0.05, "No Evidence", ""))))</f>
        <v>High</v>
      </c>
      <c r="U918">
        <v>0</v>
      </c>
      <c r="V918" t="s">
        <v>1918</v>
      </c>
    </row>
    <row r="919" spans="1:22" x14ac:dyDescent="0.25">
      <c r="A919" t="s">
        <v>1406</v>
      </c>
      <c r="B919" s="2">
        <v>45452</v>
      </c>
      <c r="C919" s="2" t="str" cm="1">
        <f t="array" ref="C9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19">
        <f>YEAR(AllData[[#This Row],[Date]])</f>
        <v>2024</v>
      </c>
      <c r="E919" s="1"/>
      <c r="F919" s="2" t="str">
        <f>IF(AND(AllData[[#This Row],[Time]]&lt;0.5, AllData[[#This Row],[Time]]&gt;0.17)=TRUE, "Morning", IF(AND(AllData[[#This Row],[Time]]&lt;0.75, AllData[[#This Row],[Time]]&gt;=0.5)=TRUE, "Afternoon", IF(AND(AllData[[#This Row],[Time]]&lt;1, AllData[[#This Row],[Time]]&gt;=0.75)=TRUE, "Evening", "Night")))</f>
        <v>Night</v>
      </c>
      <c r="G919" t="str">
        <f>_xlfn.XLOOKUP(AllData[[#This Row],[Location Name]], Locations[Location Name],Locations[Group As])</f>
        <v>Site 1  :  Middle Street</v>
      </c>
      <c r="H919" t="e" vm="2">
        <f>_xlfn.XLOOKUP(AllData[[#This Row],[Site Name]],LocationsKey[Site Name],LocationsKey[District])</f>
        <v>#VALUE!</v>
      </c>
      <c r="I919" t="e" vm="11">
        <f>_xlfn.XLOOKUP(AllData[[#This Row],[Site Name]],LocationsKey[Site Name],LocationsKey[Town])</f>
        <v>#VALUE!</v>
      </c>
      <c r="J919" t="str">
        <f>_xlfn.XLOOKUP(AllData[[#This Row],[Site Name]],LocationsKey[Site Name], LocationsKey[Waterway])</f>
        <v>Fosseway Brook</v>
      </c>
      <c r="K919" t="s">
        <v>1373</v>
      </c>
      <c r="L919">
        <v>52.090057999999999</v>
      </c>
      <c r="M919">
        <v>-1.6927080000000001</v>
      </c>
      <c r="N919" t="s">
        <v>66</v>
      </c>
      <c r="O919">
        <v>640</v>
      </c>
      <c r="P919">
        <v>17.2</v>
      </c>
      <c r="Q919">
        <v>2</v>
      </c>
      <c r="R919" s="7" t="str">
        <f>IF(AllData[[#This Row],[Nitrate (PPM)]]&gt;2, "Very high", IF(AllData[[#This Row],[Nitrate (PPM)]]&gt;1, "High", IF(AllData[[#This Row],[Nitrate (PPM)]]&gt;0.5, "Some evidence", IF(AllData[[#This Row],[Nitrate (PPM)]]&gt;=0, "No evidence"))))</f>
        <v>High</v>
      </c>
      <c r="S919" s="4">
        <v>0.13</v>
      </c>
      <c r="T919" s="7" t="str">
        <f>IF(AllData[[#This Row],[Phosphate (PPM)]]&gt;0.5, "Very high", IF(AllData[[#This Row],[Phosphate (PPM)]]&gt;0.1, "High", IF(AllData[[#This Row],[Phosphate (PPM)]]&gt;0.05, "Some evidence", IF(AllData[[#This Row],[Phosphate (PPM)]]&lt;=0.05, "No Evidence", ""))))</f>
        <v>High</v>
      </c>
      <c r="V919" t="s">
        <v>1407</v>
      </c>
    </row>
    <row r="920" spans="1:22" x14ac:dyDescent="0.25">
      <c r="A920" t="s">
        <v>1786</v>
      </c>
      <c r="B920" s="2">
        <v>45452</v>
      </c>
      <c r="C920" s="2" t="str" cm="1">
        <f t="array" ref="C9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0">
        <f>YEAR(AllData[[#This Row],[Date]])</f>
        <v>2024</v>
      </c>
      <c r="F920" s="2" t="str">
        <f>IF(AND(AllData[[#This Row],[Time]]&lt;0.5, AllData[[#This Row],[Time]]&gt;0.17)=TRUE, "Morning", IF(AND(AllData[[#This Row],[Time]]&lt;0.75, AllData[[#This Row],[Time]]&gt;=0.5)=TRUE, "Afternoon", IF(AND(AllData[[#This Row],[Time]]&lt;1, AllData[[#This Row],[Time]]&gt;=0.75)=TRUE, "Evening", "Night")))</f>
        <v>Night</v>
      </c>
      <c r="G920" t="str">
        <f>_xlfn.XLOOKUP(AllData[[#This Row],[Location Name]], Locations[Location Name],Locations[Group As])</f>
        <v>Site 2  :  Cross Leys culvert</v>
      </c>
      <c r="H920" t="e" vm="2">
        <f>_xlfn.XLOOKUP(AllData[[#This Row],[Site Name]],LocationsKey[Site Name],LocationsKey[District])</f>
        <v>#VALUE!</v>
      </c>
      <c r="I920" t="e" vm="11">
        <f>_xlfn.XLOOKUP(AllData[[#This Row],[Site Name]],LocationsKey[Site Name],LocationsKey[Town])</f>
        <v>#VALUE!</v>
      </c>
      <c r="J920" t="str">
        <f>_xlfn.XLOOKUP(AllData[[#This Row],[Site Name]],LocationsKey[Site Name], LocationsKey[Waterway])</f>
        <v>Fosseway Brook</v>
      </c>
      <c r="K920" t="s">
        <v>1860</v>
      </c>
      <c r="L920">
        <v>52.093029000000001</v>
      </c>
      <c r="M920">
        <v>-1.6863349999999999</v>
      </c>
      <c r="N920" t="s">
        <v>66</v>
      </c>
      <c r="O920">
        <v>742</v>
      </c>
      <c r="P920">
        <v>13.3</v>
      </c>
      <c r="Q920">
        <v>2</v>
      </c>
      <c r="R920" s="7" t="str">
        <f>IF(AllData[[#This Row],[Nitrate (PPM)]]&gt;2, "Very high", IF(AllData[[#This Row],[Nitrate (PPM)]]&gt;1, "High", IF(AllData[[#This Row],[Nitrate (PPM)]]&gt;0.5, "Some evidence", IF(AllData[[#This Row],[Nitrate (PPM)]]&gt;=0, "No evidence"))))</f>
        <v>High</v>
      </c>
      <c r="S920" s="4">
        <v>0.59</v>
      </c>
      <c r="T920" s="7" t="str">
        <f>IF(AllData[[#This Row],[Phosphate (PPM)]]&gt;0.5, "Very high", IF(AllData[[#This Row],[Phosphate (PPM)]]&gt;0.1, "High", IF(AllData[[#This Row],[Phosphate (PPM)]]&gt;0.05, "Some evidence", IF(AllData[[#This Row],[Phosphate (PPM)]]&lt;=0.05, "No Evidence", ""))))</f>
        <v>Very high</v>
      </c>
      <c r="U920">
        <v>0</v>
      </c>
      <c r="V920" t="s">
        <v>1909</v>
      </c>
    </row>
    <row r="921" spans="1:22" x14ac:dyDescent="0.25">
      <c r="A921" t="s">
        <v>1405</v>
      </c>
      <c r="B921" s="2">
        <v>45452</v>
      </c>
      <c r="C921" s="2" t="str" cm="1">
        <f t="array" ref="C9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1">
        <f>YEAR(AllData[[#This Row],[Date]])</f>
        <v>2024</v>
      </c>
      <c r="E921" s="1"/>
      <c r="F921" s="2" t="str">
        <f>IF(AND(AllData[[#This Row],[Time]]&lt;0.5, AllData[[#This Row],[Time]]&gt;0.17)=TRUE, "Morning", IF(AND(AllData[[#This Row],[Time]]&lt;0.75, AllData[[#This Row],[Time]]&gt;=0.5)=TRUE, "Afternoon", IF(AND(AllData[[#This Row],[Time]]&lt;1, AllData[[#This Row],[Time]]&gt;=0.75)=TRUE, "Evening", "Night")))</f>
        <v>Night</v>
      </c>
      <c r="G921" t="str">
        <f>_xlfn.XLOOKUP(AllData[[#This Row],[Location Name]], Locations[Location Name],Locations[Group As])</f>
        <v>Site 2  :  Cross Leys culvert</v>
      </c>
      <c r="H921" t="e" vm="2">
        <f>_xlfn.XLOOKUP(AllData[[#This Row],[Site Name]],LocationsKey[Site Name],LocationsKey[District])</f>
        <v>#VALUE!</v>
      </c>
      <c r="I921" t="e" vm="11">
        <f>_xlfn.XLOOKUP(AllData[[#This Row],[Site Name]],LocationsKey[Site Name],LocationsKey[Town])</f>
        <v>#VALUE!</v>
      </c>
      <c r="J921" t="str">
        <f>_xlfn.XLOOKUP(AllData[[#This Row],[Site Name]],LocationsKey[Site Name], LocationsKey[Waterway])</f>
        <v>Fosseway Brook</v>
      </c>
      <c r="K921" t="s">
        <v>1371</v>
      </c>
      <c r="L921">
        <v>52.093029000000001</v>
      </c>
      <c r="M921">
        <v>-1.6863349999999999</v>
      </c>
      <c r="N921" t="s">
        <v>66</v>
      </c>
      <c r="O921">
        <v>742</v>
      </c>
      <c r="P921">
        <v>13.3</v>
      </c>
      <c r="Q921">
        <v>2</v>
      </c>
      <c r="R921" s="7" t="str">
        <f>IF(AllData[[#This Row],[Nitrate (PPM)]]&gt;2, "Very high", IF(AllData[[#This Row],[Nitrate (PPM)]]&gt;1, "High", IF(AllData[[#This Row],[Nitrate (PPM)]]&gt;0.5, "Some evidence", IF(AllData[[#This Row],[Nitrate (PPM)]]&gt;=0, "No evidence"))))</f>
        <v>High</v>
      </c>
      <c r="S921" s="4">
        <v>0.59</v>
      </c>
      <c r="T921" s="7" t="str">
        <f>IF(AllData[[#This Row],[Phosphate (PPM)]]&gt;0.5, "Very high", IF(AllData[[#This Row],[Phosphate (PPM)]]&gt;0.1, "High", IF(AllData[[#This Row],[Phosphate (PPM)]]&gt;0.05, "Some evidence", IF(AllData[[#This Row],[Phosphate (PPM)]]&lt;=0.05, "No Evidence", ""))))</f>
        <v>Very high</v>
      </c>
    </row>
    <row r="922" spans="1:22" x14ac:dyDescent="0.25">
      <c r="A922" t="s">
        <v>1787</v>
      </c>
      <c r="B922" s="2">
        <v>45452</v>
      </c>
      <c r="C922" s="2" t="str" cm="1">
        <f t="array" ref="C9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2">
        <f>YEAR(AllData[[#This Row],[Date]])</f>
        <v>2024</v>
      </c>
      <c r="F922" s="2" t="str">
        <f>IF(AND(AllData[[#This Row],[Time]]&lt;0.5, AllData[[#This Row],[Time]]&gt;0.17)=TRUE, "Morning", IF(AND(AllData[[#This Row],[Time]]&lt;0.75, AllData[[#This Row],[Time]]&gt;=0.5)=TRUE, "Afternoon", IF(AND(AllData[[#This Row],[Time]]&lt;1, AllData[[#This Row],[Time]]&gt;=0.75)=TRUE, "Evening", "Night")))</f>
        <v>Night</v>
      </c>
      <c r="G922" t="str">
        <f>_xlfn.XLOOKUP(AllData[[#This Row],[Location Name]], Locations[Location Name],Locations[Group As])</f>
        <v>Site 3  :  Severn Trent Water processing plant outflow</v>
      </c>
      <c r="H922" t="e" vm="2">
        <f>_xlfn.XLOOKUP(AllData[[#This Row],[Site Name]],LocationsKey[Site Name],LocationsKey[District])</f>
        <v>#VALUE!</v>
      </c>
      <c r="I922" t="e" vm="11">
        <f>_xlfn.XLOOKUP(AllData[[#This Row],[Site Name]],LocationsKey[Site Name],LocationsKey[Town])</f>
        <v>#VALUE!</v>
      </c>
      <c r="J922" t="str">
        <f>_xlfn.XLOOKUP(AllData[[#This Row],[Site Name]],LocationsKey[Site Name], LocationsKey[Waterway])</f>
        <v>Fosseway Brook</v>
      </c>
      <c r="K922" t="s">
        <v>1861</v>
      </c>
      <c r="L922">
        <v>52.094484999999999</v>
      </c>
      <c r="M922">
        <v>-1.6757979999999999</v>
      </c>
      <c r="N922" t="s">
        <v>29</v>
      </c>
      <c r="O922">
        <v>923</v>
      </c>
      <c r="P922">
        <v>15.7</v>
      </c>
      <c r="Q922">
        <v>10</v>
      </c>
      <c r="R922" s="7" t="str">
        <f>IF(AllData[[#This Row],[Nitrate (PPM)]]&gt;2, "Very high", IF(AllData[[#This Row],[Nitrate (PPM)]]&gt;1, "High", IF(AllData[[#This Row],[Nitrate (PPM)]]&gt;0.5, "Some evidence", IF(AllData[[#This Row],[Nitrate (PPM)]]&gt;=0, "No evidence"))))</f>
        <v>Very high</v>
      </c>
      <c r="S922" s="4">
        <v>2.5</v>
      </c>
      <c r="T922" s="7" t="str">
        <f>IF(AllData[[#This Row],[Phosphate (PPM)]]&gt;0.5, "Very high", IF(AllData[[#This Row],[Phosphate (PPM)]]&gt;0.1, "High", IF(AllData[[#This Row],[Phosphate (PPM)]]&gt;0.05, "Some evidence", IF(AllData[[#This Row],[Phosphate (PPM)]]&lt;=0.05, "No Evidence", ""))))</f>
        <v>Very high</v>
      </c>
      <c r="U922">
        <v>0</v>
      </c>
      <c r="V922" t="s">
        <v>1910</v>
      </c>
    </row>
    <row r="923" spans="1:22" x14ac:dyDescent="0.25">
      <c r="A923" t="s">
        <v>1404</v>
      </c>
      <c r="B923" s="2">
        <v>45452</v>
      </c>
      <c r="C923" s="2" t="str" cm="1">
        <f t="array" ref="C9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3">
        <f>YEAR(AllData[[#This Row],[Date]])</f>
        <v>2024</v>
      </c>
      <c r="E923" s="1"/>
      <c r="F923" s="2" t="str">
        <f>IF(AND(AllData[[#This Row],[Time]]&lt;0.5, AllData[[#This Row],[Time]]&gt;0.17)=TRUE, "Morning", IF(AND(AllData[[#This Row],[Time]]&lt;0.75, AllData[[#This Row],[Time]]&gt;=0.5)=TRUE, "Afternoon", IF(AND(AllData[[#This Row],[Time]]&lt;1, AllData[[#This Row],[Time]]&gt;=0.75)=TRUE, "Evening", "Night")))</f>
        <v>Night</v>
      </c>
      <c r="G923" t="str">
        <f>_xlfn.XLOOKUP(AllData[[#This Row],[Location Name]], Locations[Location Name],Locations[Group As])</f>
        <v>Site 3  :  Severn Trent Water processing plant outflow</v>
      </c>
      <c r="H923" t="e" vm="2">
        <f>_xlfn.XLOOKUP(AllData[[#This Row],[Site Name]],LocationsKey[Site Name],LocationsKey[District])</f>
        <v>#VALUE!</v>
      </c>
      <c r="I923" t="e" vm="11">
        <f>_xlfn.XLOOKUP(AllData[[#This Row],[Site Name]],LocationsKey[Site Name],LocationsKey[Town])</f>
        <v>#VALUE!</v>
      </c>
      <c r="J923" t="str">
        <f>_xlfn.XLOOKUP(AllData[[#This Row],[Site Name]],LocationsKey[Site Name], LocationsKey[Waterway])</f>
        <v>Fosseway Brook</v>
      </c>
      <c r="K923" t="s">
        <v>1368</v>
      </c>
      <c r="L923">
        <v>52.094484999999999</v>
      </c>
      <c r="M923">
        <v>-1.6757979999999999</v>
      </c>
      <c r="N923" t="s">
        <v>29</v>
      </c>
      <c r="O923">
        <v>923</v>
      </c>
      <c r="P923">
        <v>15.7</v>
      </c>
      <c r="Q923">
        <v>10</v>
      </c>
      <c r="R923" s="7" t="str">
        <f>IF(AllData[[#This Row],[Nitrate (PPM)]]&gt;2, "Very high", IF(AllData[[#This Row],[Nitrate (PPM)]]&gt;1, "High", IF(AllData[[#This Row],[Nitrate (PPM)]]&gt;0.5, "Some evidence", IF(AllData[[#This Row],[Nitrate (PPM)]]&gt;=0, "No evidence"))))</f>
        <v>Very high</v>
      </c>
      <c r="S923" s="4">
        <v>2.5</v>
      </c>
      <c r="T923" s="7" t="str">
        <f>IF(AllData[[#This Row],[Phosphate (PPM)]]&gt;0.5, "Very high", IF(AllData[[#This Row],[Phosphate (PPM)]]&gt;0.1, "High", IF(AllData[[#This Row],[Phosphate (PPM)]]&gt;0.05, "Some evidence", IF(AllData[[#This Row],[Phosphate (PPM)]]&lt;=0.05, "No Evidence", ""))))</f>
        <v>Very high</v>
      </c>
    </row>
    <row r="924" spans="1:22" x14ac:dyDescent="0.25">
      <c r="A924" t="s">
        <v>1241</v>
      </c>
      <c r="B924" s="2">
        <v>45453</v>
      </c>
      <c r="C924" s="2" t="str" cm="1">
        <f t="array" ref="C9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4">
        <f>YEAR(AllData[[#This Row],[Date]])</f>
        <v>2024</v>
      </c>
      <c r="E924" s="1">
        <v>0.73333333333333328</v>
      </c>
      <c r="F924" s="2" t="str">
        <f>IF(AND(AllData[[#This Row],[Time]]&lt;0.5, AllData[[#This Row],[Time]]&gt;0.17)=TRUE, "Morning", IF(AND(AllData[[#This Row],[Time]]&lt;0.75, AllData[[#This Row],[Time]]&gt;=0.5)=TRUE, "Afternoon", IF(AND(AllData[[#This Row],[Time]]&lt;1, AllData[[#This Row],[Time]]&gt;=0.75)=TRUE, "Evening", "Night")))</f>
        <v>Afternoon</v>
      </c>
      <c r="G924" t="str">
        <f>_xlfn.XLOOKUP(AllData[[#This Row],[Location Name]], Locations[Location Name],Locations[Group As])</f>
        <v>Stour Stretton-on-Fosse Village</v>
      </c>
      <c r="H924" t="e" vm="2">
        <f>_xlfn.XLOOKUP(AllData[[#This Row],[Site Name]],LocationsKey[Site Name],LocationsKey[District])</f>
        <v>#VALUE!</v>
      </c>
      <c r="I924" t="e" vm="14">
        <f>_xlfn.XLOOKUP(AllData[[#This Row],[Site Name]],LocationsKey[Site Name],LocationsKey[Town])</f>
        <v>#VALUE!</v>
      </c>
      <c r="J924" t="str">
        <f>_xlfn.XLOOKUP(AllData[[#This Row],[Site Name]],LocationsKey[Site Name], LocationsKey[Waterway])</f>
        <v>Stour</v>
      </c>
      <c r="K924" t="s">
        <v>544</v>
      </c>
      <c r="L924">
        <v>52.046562000000002</v>
      </c>
      <c r="M924">
        <v>-1.673435</v>
      </c>
      <c r="N924" t="s">
        <v>66</v>
      </c>
      <c r="O924">
        <v>700</v>
      </c>
      <c r="P924">
        <v>12.7</v>
      </c>
      <c r="Q924">
        <v>2</v>
      </c>
      <c r="R924" s="7" t="str">
        <f>IF(AllData[[#This Row],[Nitrate (PPM)]]&gt;2, "Very high", IF(AllData[[#This Row],[Nitrate (PPM)]]&gt;1, "High", IF(AllData[[#This Row],[Nitrate (PPM)]]&gt;0.5, "Some evidence", IF(AllData[[#This Row],[Nitrate (PPM)]]&gt;=0, "No evidence"))))</f>
        <v>High</v>
      </c>
      <c r="S924" s="4">
        <v>2.5</v>
      </c>
      <c r="T924" s="7" t="str">
        <f>IF(AllData[[#This Row],[Phosphate (PPM)]]&gt;0.5, "Very high", IF(AllData[[#This Row],[Phosphate (PPM)]]&gt;0.1, "High", IF(AllData[[#This Row],[Phosphate (PPM)]]&gt;0.05, "Some evidence", IF(AllData[[#This Row],[Phosphate (PPM)]]&lt;=0.05, "No Evidence", ""))))</f>
        <v>Very high</v>
      </c>
      <c r="U924">
        <v>0.2</v>
      </c>
      <c r="V924" t="s">
        <v>1240</v>
      </c>
    </row>
    <row r="925" spans="1:22" x14ac:dyDescent="0.25">
      <c r="A925" t="s">
        <v>1239</v>
      </c>
      <c r="B925" s="2">
        <v>45453</v>
      </c>
      <c r="C925" s="2" t="str" cm="1">
        <f t="array" ref="C9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5">
        <f>YEAR(AllData[[#This Row],[Date]])</f>
        <v>2024</v>
      </c>
      <c r="E925" s="1">
        <v>0.74513888888888891</v>
      </c>
      <c r="F925" s="2" t="str">
        <f>IF(AND(AllData[[#This Row],[Time]]&lt;0.5, AllData[[#This Row],[Time]]&gt;0.17)=TRUE, "Morning", IF(AND(AllData[[#This Row],[Time]]&lt;0.75, AllData[[#This Row],[Time]]&gt;=0.5)=TRUE, "Afternoon", IF(AND(AllData[[#This Row],[Time]]&lt;1, AllData[[#This Row],[Time]]&gt;=0.75)=TRUE, "Evening", "Night")))</f>
        <v>Afternoon</v>
      </c>
      <c r="G925" t="str">
        <f>_xlfn.XLOOKUP(AllData[[#This Row],[Location Name]], Locations[Location Name],Locations[Group As])</f>
        <v>Stour Stretton-on-Fosse Sewage Works</v>
      </c>
      <c r="H925" t="e" vm="2">
        <f>_xlfn.XLOOKUP(AllData[[#This Row],[Site Name]],LocationsKey[Site Name],LocationsKey[District])</f>
        <v>#VALUE!</v>
      </c>
      <c r="I925" t="e" vm="14">
        <f>_xlfn.XLOOKUP(AllData[[#This Row],[Site Name]],LocationsKey[Site Name],LocationsKey[Town])</f>
        <v>#VALUE!</v>
      </c>
      <c r="J925" t="str">
        <f>_xlfn.XLOOKUP(AllData[[#This Row],[Site Name]],LocationsKey[Site Name], LocationsKey[Waterway])</f>
        <v>Stour</v>
      </c>
      <c r="K925" t="s">
        <v>335</v>
      </c>
      <c r="L925">
        <v>52.045664000000002</v>
      </c>
      <c r="M925">
        <v>-1.671948</v>
      </c>
      <c r="N925" t="s">
        <v>29</v>
      </c>
      <c r="O925">
        <v>823</v>
      </c>
      <c r="P925">
        <v>14.1</v>
      </c>
      <c r="Q925">
        <v>5</v>
      </c>
      <c r="R925" s="7" t="str">
        <f>IF(AllData[[#This Row],[Nitrate (PPM)]]&gt;2, "Very high", IF(AllData[[#This Row],[Nitrate (PPM)]]&gt;1, "High", IF(AllData[[#This Row],[Nitrate (PPM)]]&gt;0.5, "Some evidence", IF(AllData[[#This Row],[Nitrate (PPM)]]&gt;=0, "No evidence"))))</f>
        <v>Very high</v>
      </c>
      <c r="S925" s="4">
        <v>2.5</v>
      </c>
      <c r="T925" s="7" t="str">
        <f>IF(AllData[[#This Row],[Phosphate (PPM)]]&gt;0.5, "Very high", IF(AllData[[#This Row],[Phosphate (PPM)]]&gt;0.1, "High", IF(AllData[[#This Row],[Phosphate (PPM)]]&gt;0.05, "Some evidence", IF(AllData[[#This Row],[Phosphate (PPM)]]&lt;=0.05, "No Evidence", ""))))</f>
        <v>Very high</v>
      </c>
      <c r="U925">
        <v>0.3</v>
      </c>
      <c r="V925" t="s">
        <v>1240</v>
      </c>
    </row>
    <row r="926" spans="1:22" x14ac:dyDescent="0.25">
      <c r="A926" t="s">
        <v>1244</v>
      </c>
      <c r="B926" s="2">
        <v>45454</v>
      </c>
      <c r="C926" s="2" t="str" cm="1">
        <f t="array" ref="C9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6">
        <f>YEAR(AllData[[#This Row],[Date]])</f>
        <v>2024</v>
      </c>
      <c r="E926" s="1">
        <v>0.44513888888888886</v>
      </c>
      <c r="F926" s="2" t="str">
        <f>IF(AND(AllData[[#This Row],[Time]]&lt;0.5, AllData[[#This Row],[Time]]&gt;0.17)=TRUE, "Morning", IF(AND(AllData[[#This Row],[Time]]&lt;0.75, AllData[[#This Row],[Time]]&gt;=0.5)=TRUE, "Afternoon", IF(AND(AllData[[#This Row],[Time]]&lt;1, AllData[[#This Row],[Time]]&gt;=0.75)=TRUE, "Evening", "Night")))</f>
        <v>Morning</v>
      </c>
      <c r="G926" t="str">
        <f>_xlfn.XLOOKUP(AllData[[#This Row],[Location Name]], Locations[Location Name],Locations[Group As])</f>
        <v>Carrant Mitton Path</v>
      </c>
      <c r="H926" t="e" vm="1">
        <f>_xlfn.XLOOKUP(AllData[[#This Row],[Site Name]],LocationsKey[Site Name],LocationsKey[District])</f>
        <v>#VALUE!</v>
      </c>
      <c r="I926" t="e" vm="1">
        <f>_xlfn.XLOOKUP(AllData[[#This Row],[Site Name]],LocationsKey[Site Name],LocationsKey[Town])</f>
        <v>#VALUE!</v>
      </c>
      <c r="J926" t="str">
        <f>_xlfn.XLOOKUP(AllData[[#This Row],[Site Name]],LocationsKey[Site Name], LocationsKey[Waterway])</f>
        <v>Carrant</v>
      </c>
      <c r="K926" t="s">
        <v>958</v>
      </c>
      <c r="L926">
        <v>51.999853000000002</v>
      </c>
      <c r="M926">
        <v>-2.1410260000000001</v>
      </c>
      <c r="N926" t="s">
        <v>23</v>
      </c>
      <c r="O926">
        <v>707</v>
      </c>
      <c r="P926">
        <v>14.5</v>
      </c>
      <c r="Q926">
        <v>6</v>
      </c>
      <c r="R926" s="7" t="str">
        <f>IF(AllData[[#This Row],[Nitrate (PPM)]]&gt;2, "Very high", IF(AllData[[#This Row],[Nitrate (PPM)]]&gt;1, "High", IF(AllData[[#This Row],[Nitrate (PPM)]]&gt;0.5, "Some evidence", IF(AllData[[#This Row],[Nitrate (PPM)]]&gt;=0, "No evidence"))))</f>
        <v>Very high</v>
      </c>
      <c r="S926" s="4">
        <v>0.56000000000000005</v>
      </c>
      <c r="T926" s="7" t="str">
        <f>IF(AllData[[#This Row],[Phosphate (PPM)]]&gt;0.5, "Very high", IF(AllData[[#This Row],[Phosphate (PPM)]]&gt;0.1, "High", IF(AllData[[#This Row],[Phosphate (PPM)]]&gt;0.05, "Some evidence", IF(AllData[[#This Row],[Phosphate (PPM)]]&lt;=0.05, "No Evidence", ""))))</f>
        <v>Very high</v>
      </c>
      <c r="U926">
        <v>0</v>
      </c>
    </row>
    <row r="927" spans="1:22" x14ac:dyDescent="0.25">
      <c r="A927" t="s">
        <v>1243</v>
      </c>
      <c r="B927" s="2">
        <v>45454</v>
      </c>
      <c r="C927" s="2" t="str" cm="1">
        <f t="array" ref="C9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7">
        <f>YEAR(AllData[[#This Row],[Date]])</f>
        <v>2024</v>
      </c>
      <c r="E927" s="1">
        <v>0.4597222222222222</v>
      </c>
      <c r="F927" s="2" t="str">
        <f>IF(AND(AllData[[#This Row],[Time]]&lt;0.5, AllData[[#This Row],[Time]]&gt;0.17)=TRUE, "Morning", IF(AND(AllData[[#This Row],[Time]]&lt;0.75, AllData[[#This Row],[Time]]&gt;=0.5)=TRUE, "Afternoon", IF(AND(AllData[[#This Row],[Time]]&lt;1, AllData[[#This Row],[Time]]&gt;=0.75)=TRUE, "Evening", "Night")))</f>
        <v>Morning</v>
      </c>
      <c r="G927" t="str">
        <f>_xlfn.XLOOKUP(AllData[[#This Row],[Location Name]], Locations[Location Name],Locations[Group As])</f>
        <v>Carrant M5 Bridge</v>
      </c>
      <c r="H927" t="e" vm="1">
        <f>_xlfn.XLOOKUP(AllData[[#This Row],[Site Name]],LocationsKey[Site Name],LocationsKey[District])</f>
        <v>#VALUE!</v>
      </c>
      <c r="I927" t="e" vm="1">
        <f>_xlfn.XLOOKUP(AllData[[#This Row],[Site Name]],LocationsKey[Site Name],LocationsKey[Town])</f>
        <v>#VALUE!</v>
      </c>
      <c r="J927" t="str">
        <f>_xlfn.XLOOKUP(AllData[[#This Row],[Site Name]],LocationsKey[Site Name], LocationsKey[Waterway])</f>
        <v>Carrant</v>
      </c>
      <c r="K927" t="s">
        <v>960</v>
      </c>
      <c r="L927">
        <v>52.011837</v>
      </c>
      <c r="M927">
        <v>-2.1204269999999998</v>
      </c>
      <c r="N927" t="s">
        <v>23</v>
      </c>
      <c r="O927">
        <v>779</v>
      </c>
      <c r="P927">
        <v>13.7</v>
      </c>
      <c r="Q927">
        <v>5</v>
      </c>
      <c r="R927" s="7" t="str">
        <f>IF(AllData[[#This Row],[Nitrate (PPM)]]&gt;2, "Very high", IF(AllData[[#This Row],[Nitrate (PPM)]]&gt;1, "High", IF(AllData[[#This Row],[Nitrate (PPM)]]&gt;0.5, "Some evidence", IF(AllData[[#This Row],[Nitrate (PPM)]]&gt;=0, "No evidence"))))</f>
        <v>Very high</v>
      </c>
      <c r="S927" s="4">
        <v>0.4</v>
      </c>
      <c r="T927" s="7" t="str">
        <f>IF(AllData[[#This Row],[Phosphate (PPM)]]&gt;0.5, "Very high", IF(AllData[[#This Row],[Phosphate (PPM)]]&gt;0.1, "High", IF(AllData[[#This Row],[Phosphate (PPM)]]&gt;0.05, "Some evidence", IF(AllData[[#This Row],[Phosphate (PPM)]]&lt;=0.05, "No Evidence", ""))))</f>
        <v>High</v>
      </c>
      <c r="U927">
        <v>0</v>
      </c>
    </row>
    <row r="928" spans="1:22" x14ac:dyDescent="0.25">
      <c r="A928" t="s">
        <v>1242</v>
      </c>
      <c r="B928" s="2">
        <v>45454</v>
      </c>
      <c r="C928" s="2" t="str" cm="1">
        <f t="array" ref="C9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8">
        <f>YEAR(AllData[[#This Row],[Date]])</f>
        <v>2024</v>
      </c>
      <c r="E928" s="1">
        <v>0.61250000000000004</v>
      </c>
      <c r="F928" s="2" t="str">
        <f>IF(AND(AllData[[#This Row],[Time]]&lt;0.5, AllData[[#This Row],[Time]]&gt;0.17)=TRUE, "Morning", IF(AND(AllData[[#This Row],[Time]]&lt;0.75, AllData[[#This Row],[Time]]&gt;=0.5)=TRUE, "Afternoon", IF(AND(AllData[[#This Row],[Time]]&lt;1, AllData[[#This Row],[Time]]&gt;=0.75)=TRUE, "Evening", "Night")))</f>
        <v>Afternoon</v>
      </c>
      <c r="G928" t="str">
        <f>_xlfn.XLOOKUP(AllData[[#This Row],[Location Name]], Locations[Location Name],Locations[Group As])</f>
        <v>Abbey Mill</v>
      </c>
      <c r="H928" t="e" vm="1">
        <f>_xlfn.XLOOKUP(AllData[[#This Row],[Site Name]],LocationsKey[Site Name],LocationsKey[District])</f>
        <v>#VALUE!</v>
      </c>
      <c r="I928" t="e" vm="1">
        <f>_xlfn.XLOOKUP(AllData[[#This Row],[Site Name]],LocationsKey[Site Name],LocationsKey[Town])</f>
        <v>#VALUE!</v>
      </c>
      <c r="J928" t="str">
        <f>_xlfn.XLOOKUP(AllData[[#This Row],[Site Name]],LocationsKey[Site Name], LocationsKey[Waterway])</f>
        <v>Avon</v>
      </c>
      <c r="K928" t="s">
        <v>25</v>
      </c>
      <c r="L928">
        <v>51.991258000000002</v>
      </c>
      <c r="M928">
        <v>-2.1627000000000001</v>
      </c>
      <c r="N928" t="s">
        <v>23</v>
      </c>
      <c r="O928">
        <v>979</v>
      </c>
      <c r="P928">
        <v>16.5</v>
      </c>
      <c r="Q928">
        <v>10</v>
      </c>
      <c r="R928" s="7" t="str">
        <f>IF(AllData[[#This Row],[Nitrate (PPM)]]&gt;2, "Very high", IF(AllData[[#This Row],[Nitrate (PPM)]]&gt;1, "High", IF(AllData[[#This Row],[Nitrate (PPM)]]&gt;0.5, "Some evidence", IF(AllData[[#This Row],[Nitrate (PPM)]]&gt;=0, "No evidence"))))</f>
        <v>Very high</v>
      </c>
      <c r="S928" s="4">
        <v>0.77</v>
      </c>
      <c r="T928" s="7" t="str">
        <f>IF(AllData[[#This Row],[Phosphate (PPM)]]&gt;0.5, "Very high", IF(AllData[[#This Row],[Phosphate (PPM)]]&gt;0.1, "High", IF(AllData[[#This Row],[Phosphate (PPM)]]&gt;0.05, "Some evidence", IF(AllData[[#This Row],[Phosphate (PPM)]]&lt;=0.05, "No Evidence", ""))))</f>
        <v>Very high</v>
      </c>
      <c r="U928">
        <v>0.6</v>
      </c>
    </row>
    <row r="929" spans="1:22" x14ac:dyDescent="0.25">
      <c r="A929" t="s">
        <v>1246</v>
      </c>
      <c r="B929" s="2">
        <v>45455</v>
      </c>
      <c r="C929" s="2" t="str" cm="1">
        <f t="array" ref="C9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29">
        <f>YEAR(AllData[[#This Row],[Date]])</f>
        <v>2024</v>
      </c>
      <c r="E929" s="1">
        <v>0.59444444444444444</v>
      </c>
      <c r="F929" s="2" t="str">
        <f>IF(AND(AllData[[#This Row],[Time]]&lt;0.5, AllData[[#This Row],[Time]]&gt;0.17)=TRUE, "Morning", IF(AND(AllData[[#This Row],[Time]]&lt;0.75, AllData[[#This Row],[Time]]&gt;=0.5)=TRUE, "Afternoon", IF(AND(AllData[[#This Row],[Time]]&lt;1, AllData[[#This Row],[Time]]&gt;=0.75)=TRUE, "Evening", "Night")))</f>
        <v>Afternoon</v>
      </c>
      <c r="G929" t="str">
        <f>_xlfn.XLOOKUP(AllData[[#This Row],[Location Name]], Locations[Location Name],Locations[Group As])</f>
        <v>Alveston Weir</v>
      </c>
      <c r="H929" t="e" vm="2">
        <f>_xlfn.XLOOKUP(AllData[[#This Row],[Site Name]],LocationsKey[Site Name],LocationsKey[District])</f>
        <v>#VALUE!</v>
      </c>
      <c r="I929" t="e" vm="13">
        <f>_xlfn.XLOOKUP(AllData[[#This Row],[Site Name]],LocationsKey[Site Name],LocationsKey[Town])</f>
        <v>#VALUE!</v>
      </c>
      <c r="J929" t="str">
        <f>_xlfn.XLOOKUP(AllData[[#This Row],[Site Name]],LocationsKey[Site Name], LocationsKey[Waterway])</f>
        <v>Avon</v>
      </c>
      <c r="K929" t="s">
        <v>286</v>
      </c>
      <c r="L929">
        <v>52.212288999999998</v>
      </c>
      <c r="M929">
        <v>-1.660452</v>
      </c>
      <c r="N929" t="s">
        <v>29</v>
      </c>
      <c r="O929" s="219">
        <v>858</v>
      </c>
      <c r="P929">
        <v>15.7</v>
      </c>
      <c r="Q929" s="219">
        <v>10</v>
      </c>
      <c r="R929" s="7" t="str">
        <f>IF(AllData[[#This Row],[Nitrate (PPM)]]&gt;2, "Very high", IF(AllData[[#This Row],[Nitrate (PPM)]]&gt;1, "High", IF(AllData[[#This Row],[Nitrate (PPM)]]&gt;0.5, "Some evidence", IF(AllData[[#This Row],[Nitrate (PPM)]]&gt;=0, "No evidence"))))</f>
        <v>Very high</v>
      </c>
      <c r="S929" s="221">
        <v>0.31</v>
      </c>
      <c r="T929" s="7" t="str">
        <f>IF(AllData[[#This Row],[Phosphate (PPM)]]&gt;0.5, "Very high", IF(AllData[[#This Row],[Phosphate (PPM)]]&gt;0.1, "High", IF(AllData[[#This Row],[Phosphate (PPM)]]&gt;0.05, "Some evidence", IF(AllData[[#This Row],[Phosphate (PPM)]]&lt;=0.05, "No Evidence", ""))))</f>
        <v>High</v>
      </c>
      <c r="U929">
        <v>0</v>
      </c>
      <c r="V929" t="s">
        <v>1247</v>
      </c>
    </row>
    <row r="930" spans="1:22" x14ac:dyDescent="0.25">
      <c r="A930" t="s">
        <v>1248</v>
      </c>
      <c r="B930" s="2">
        <v>45455</v>
      </c>
      <c r="C930" s="2" t="str" cm="1">
        <f t="array" ref="C9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0">
        <f>YEAR(AllData[[#This Row],[Date]])</f>
        <v>2024</v>
      </c>
      <c r="E930" s="1">
        <v>0.60416666666666663</v>
      </c>
      <c r="F930" s="2" t="str">
        <f>IF(AND(AllData[[#This Row],[Time]]&lt;0.5, AllData[[#This Row],[Time]]&gt;0.17)=TRUE, "Morning", IF(AND(AllData[[#This Row],[Time]]&lt;0.75, AllData[[#This Row],[Time]]&gt;=0.5)=TRUE, "Afternoon", IF(AND(AllData[[#This Row],[Time]]&lt;1, AllData[[#This Row],[Time]]&gt;=0.75)=TRUE, "Evening", "Night")))</f>
        <v>Afternoon</v>
      </c>
      <c r="G930" t="str">
        <f>_xlfn.XLOOKUP(AllData[[#This Row],[Location Name]], Locations[Location Name],Locations[Group As])</f>
        <v>Swiffen Bank</v>
      </c>
      <c r="H930" t="e" vm="2">
        <f>_xlfn.XLOOKUP(AllData[[#This Row],[Site Name]],LocationsKey[Site Name],LocationsKey[District])</f>
        <v>#VALUE!</v>
      </c>
      <c r="I930" t="e" vm="13">
        <f>_xlfn.XLOOKUP(AllData[[#This Row],[Site Name]],LocationsKey[Site Name],LocationsKey[Town])</f>
        <v>#VALUE!</v>
      </c>
      <c r="J930" t="str">
        <f>_xlfn.XLOOKUP(AllData[[#This Row],[Site Name]],LocationsKey[Site Name], LocationsKey[Waterway])</f>
        <v>Avon</v>
      </c>
      <c r="K930" t="s">
        <v>1249</v>
      </c>
      <c r="L930">
        <v>52.206000000000003</v>
      </c>
      <c r="M930">
        <v>-1.6539999999999999</v>
      </c>
      <c r="N930" t="s">
        <v>29</v>
      </c>
      <c r="O930" s="219">
        <v>729</v>
      </c>
      <c r="P930">
        <v>16.7</v>
      </c>
      <c r="Q930" s="219">
        <v>10</v>
      </c>
      <c r="R930" s="7" t="str">
        <f>IF(AllData[[#This Row],[Nitrate (PPM)]]&gt;2, "Very high", IF(AllData[[#This Row],[Nitrate (PPM)]]&gt;1, "High", IF(AllData[[#This Row],[Nitrate (PPM)]]&gt;0.5, "Some evidence", IF(AllData[[#This Row],[Nitrate (PPM)]]&gt;=0, "No evidence"))))</f>
        <v>Very high</v>
      </c>
      <c r="S930" s="221">
        <v>0.43</v>
      </c>
      <c r="T930" s="7" t="str">
        <f>IF(AllData[[#This Row],[Phosphate (PPM)]]&gt;0.5, "Very high", IF(AllData[[#This Row],[Phosphate (PPM)]]&gt;0.1, "High", IF(AllData[[#This Row],[Phosphate (PPM)]]&gt;0.05, "Some evidence", IF(AllData[[#This Row],[Phosphate (PPM)]]&lt;=0.05, "No Evidence", ""))))</f>
        <v>High</v>
      </c>
      <c r="U930">
        <v>0</v>
      </c>
      <c r="V930" t="s">
        <v>1250</v>
      </c>
    </row>
    <row r="931" spans="1:22" x14ac:dyDescent="0.25">
      <c r="A931" t="s">
        <v>1245</v>
      </c>
      <c r="B931" s="2">
        <v>45455</v>
      </c>
      <c r="C931" s="2" t="str" cm="1">
        <f t="array" ref="C9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1">
        <f>YEAR(AllData[[#This Row],[Date]])</f>
        <v>2024</v>
      </c>
      <c r="E931" s="1">
        <v>0.66666666666666663</v>
      </c>
      <c r="F931" s="2" t="str">
        <f>IF(AND(AllData[[#This Row],[Time]]&lt;0.5, AllData[[#This Row],[Time]]&gt;0.17)=TRUE, "Morning", IF(AND(AllData[[#This Row],[Time]]&lt;0.75, AllData[[#This Row],[Time]]&gt;=0.5)=TRUE, "Afternoon", IF(AND(AllData[[#This Row],[Time]]&lt;1, AllData[[#This Row],[Time]]&gt;=0.75)=TRUE, "Evening", "Night")))</f>
        <v>Afternoon</v>
      </c>
      <c r="G931" t="str">
        <f>_xlfn.XLOOKUP(AllData[[#This Row],[Location Name]], Locations[Location Name],Locations[Group As])</f>
        <v>Stour Newbold Mill</v>
      </c>
      <c r="H931" t="e" vm="2">
        <f>_xlfn.XLOOKUP(AllData[[#This Row],[Site Name]],LocationsKey[Site Name],LocationsKey[District])</f>
        <v>#VALUE!</v>
      </c>
      <c r="I931" t="e" vm="8">
        <f>_xlfn.XLOOKUP(AllData[[#This Row],[Site Name]],LocationsKey[Site Name],LocationsKey[Town])</f>
        <v>#VALUE!</v>
      </c>
      <c r="J931" t="str">
        <f>_xlfn.XLOOKUP(AllData[[#This Row],[Site Name]],LocationsKey[Site Name], LocationsKey[Waterway])</f>
        <v>Stour</v>
      </c>
      <c r="K931" t="s">
        <v>140</v>
      </c>
      <c r="N931" t="s">
        <v>29</v>
      </c>
      <c r="O931">
        <v>656</v>
      </c>
      <c r="P931">
        <v>16</v>
      </c>
      <c r="Q931">
        <v>2</v>
      </c>
      <c r="R931" s="7" t="str">
        <f>IF(AllData[[#This Row],[Nitrate (PPM)]]&gt;2, "Very high", IF(AllData[[#This Row],[Nitrate (PPM)]]&gt;1, "High", IF(AllData[[#This Row],[Nitrate (PPM)]]&gt;0.5, "Some evidence", IF(AllData[[#This Row],[Nitrate (PPM)]]&gt;=0, "No evidence"))))</f>
        <v>High</v>
      </c>
      <c r="S931" s="4">
        <v>0.22</v>
      </c>
      <c r="T931" s="7" t="str">
        <f>IF(AllData[[#This Row],[Phosphate (PPM)]]&gt;0.5, "Very high", IF(AllData[[#This Row],[Phosphate (PPM)]]&gt;0.1, "High", IF(AllData[[#This Row],[Phosphate (PPM)]]&gt;0.05, "Some evidence", IF(AllData[[#This Row],[Phosphate (PPM)]]&lt;=0.05, "No Evidence", ""))))</f>
        <v>High</v>
      </c>
      <c r="U931">
        <v>2</v>
      </c>
      <c r="V931" t="s">
        <v>529</v>
      </c>
    </row>
    <row r="932" spans="1:22" x14ac:dyDescent="0.25">
      <c r="A932" t="s">
        <v>1257</v>
      </c>
      <c r="B932" s="2">
        <v>45457</v>
      </c>
      <c r="C932" s="2" t="str" cm="1">
        <f t="array" ref="C9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2">
        <f>YEAR(AllData[[#This Row],[Date]])</f>
        <v>2024</v>
      </c>
      <c r="E932" s="1">
        <v>0.39583333333333331</v>
      </c>
      <c r="F932" s="2" t="str">
        <f>IF(AND(AllData[[#This Row],[Time]]&lt;0.5, AllData[[#This Row],[Time]]&gt;0.17)=TRUE, "Morning", IF(AND(AllData[[#This Row],[Time]]&lt;0.75, AllData[[#This Row],[Time]]&gt;=0.5)=TRUE, "Afternoon", IF(AND(AllData[[#This Row],[Time]]&lt;1, AllData[[#This Row],[Time]]&gt;=0.75)=TRUE, "Evening", "Night")))</f>
        <v>Morning</v>
      </c>
      <c r="G932" t="str">
        <f>_xlfn.XLOOKUP(AllData[[#This Row],[Location Name]], Locations[Location Name],Locations[Group As])</f>
        <v>Sherbourne Brook 1</v>
      </c>
      <c r="H932" t="e" vm="2">
        <f>_xlfn.XLOOKUP(AllData[[#This Row],[Site Name]],LocationsKey[Site Name],LocationsKey[District])</f>
        <v>#VALUE!</v>
      </c>
      <c r="I932" t="e" vm="16">
        <f>_xlfn.XLOOKUP(AllData[[#This Row],[Site Name]],LocationsKey[Site Name],LocationsKey[Town])</f>
        <v>#VALUE!</v>
      </c>
      <c r="J932" t="str">
        <f>_xlfn.XLOOKUP(AllData[[#This Row],[Site Name]],LocationsKey[Site Name], LocationsKey[Waterway])</f>
        <v>Sherbourne Brook</v>
      </c>
      <c r="K932" t="s">
        <v>570</v>
      </c>
      <c r="L932">
        <v>52.252499999999998</v>
      </c>
      <c r="M932">
        <v>-1.6685000000000001</v>
      </c>
      <c r="N932" t="s">
        <v>23</v>
      </c>
      <c r="O932">
        <v>1090</v>
      </c>
      <c r="P932">
        <v>13.6</v>
      </c>
      <c r="Q932">
        <v>15</v>
      </c>
      <c r="R932" s="7" t="str">
        <f>IF(AllData[[#This Row],[Nitrate (PPM)]]&gt;2, "Very high", IF(AllData[[#This Row],[Nitrate (PPM)]]&gt;1, "High", IF(AllData[[#This Row],[Nitrate (PPM)]]&gt;0.5, "Some evidence", IF(AllData[[#This Row],[Nitrate (PPM)]]&gt;=0, "No evidence"))))</f>
        <v>Very high</v>
      </c>
      <c r="S932" s="4">
        <v>0.26</v>
      </c>
      <c r="T932" s="7" t="str">
        <f>IF(AllData[[#This Row],[Phosphate (PPM)]]&gt;0.5, "Very high", IF(AllData[[#This Row],[Phosphate (PPM)]]&gt;0.1, "High", IF(AllData[[#This Row],[Phosphate (PPM)]]&gt;0.05, "Some evidence", IF(AllData[[#This Row],[Phosphate (PPM)]]&lt;=0.05, "No Evidence", ""))))</f>
        <v>High</v>
      </c>
      <c r="U932">
        <v>0.2</v>
      </c>
    </row>
    <row r="933" spans="1:22" x14ac:dyDescent="0.25">
      <c r="A933" t="s">
        <v>1256</v>
      </c>
      <c r="B933" s="2">
        <v>45457</v>
      </c>
      <c r="C933" s="2" t="str" cm="1">
        <f t="array" ref="C9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3">
        <f>YEAR(AllData[[#This Row],[Date]])</f>
        <v>2024</v>
      </c>
      <c r="E933" s="1">
        <v>0.40625</v>
      </c>
      <c r="F933" s="2" t="str">
        <f>IF(AND(AllData[[#This Row],[Time]]&lt;0.5, AllData[[#This Row],[Time]]&gt;0.17)=TRUE, "Morning", IF(AND(AllData[[#This Row],[Time]]&lt;0.75, AllData[[#This Row],[Time]]&gt;=0.5)=TRUE, "Afternoon", IF(AND(AllData[[#This Row],[Time]]&lt;1, AllData[[#This Row],[Time]]&gt;=0.75)=TRUE, "Evening", "Night")))</f>
        <v>Morning</v>
      </c>
      <c r="G933" t="str">
        <f>_xlfn.XLOOKUP(AllData[[#This Row],[Location Name]], Locations[Location Name],Locations[Group As])</f>
        <v>Bell Brook 1</v>
      </c>
      <c r="H933" t="e" vm="2">
        <f>_xlfn.XLOOKUP(AllData[[#This Row],[Site Name]],LocationsKey[Site Name],LocationsKey[District])</f>
        <v>#VALUE!</v>
      </c>
      <c r="I933" t="e" vm="15">
        <f>_xlfn.XLOOKUP(AllData[[#This Row],[Site Name]],LocationsKey[Site Name],LocationsKey[Town])</f>
        <v>#VALUE!</v>
      </c>
      <c r="J933" t="str">
        <f>_xlfn.XLOOKUP(AllData[[#This Row],[Site Name]],LocationsKey[Site Name], LocationsKey[Waterway])</f>
        <v>Bell Brook</v>
      </c>
      <c r="K933" t="s">
        <v>534</v>
      </c>
      <c r="L933">
        <v>52.244900000000001</v>
      </c>
      <c r="M933">
        <v>-1.6617</v>
      </c>
      <c r="N933" t="s">
        <v>23</v>
      </c>
      <c r="O933">
        <v>822</v>
      </c>
      <c r="P933">
        <v>14.6</v>
      </c>
      <c r="Q933">
        <v>5</v>
      </c>
      <c r="R933" s="7" t="str">
        <f>IF(AllData[[#This Row],[Nitrate (PPM)]]&gt;2, "Very high", IF(AllData[[#This Row],[Nitrate (PPM)]]&gt;1, "High", IF(AllData[[#This Row],[Nitrate (PPM)]]&gt;0.5, "Some evidence", IF(AllData[[#This Row],[Nitrate (PPM)]]&gt;=0, "No evidence"))))</f>
        <v>Very high</v>
      </c>
      <c r="S933" s="4">
        <v>0.65</v>
      </c>
      <c r="T933" s="7" t="str">
        <f>IF(AllData[[#This Row],[Phosphate (PPM)]]&gt;0.5, "Very high", IF(AllData[[#This Row],[Phosphate (PPM)]]&gt;0.1, "High", IF(AllData[[#This Row],[Phosphate (PPM)]]&gt;0.05, "Some evidence", IF(AllData[[#This Row],[Phosphate (PPM)]]&lt;=0.05, "No Evidence", ""))))</f>
        <v>Very high</v>
      </c>
      <c r="U933">
        <v>0.2</v>
      </c>
    </row>
    <row r="934" spans="1:22" x14ac:dyDescent="0.25">
      <c r="A934" t="s">
        <v>1254</v>
      </c>
      <c r="B934" s="2">
        <v>45457</v>
      </c>
      <c r="C934" s="2" t="str" cm="1">
        <f t="array" ref="C9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4">
        <f>YEAR(AllData[[#This Row],[Date]])</f>
        <v>2024</v>
      </c>
      <c r="E934" s="1">
        <v>0.45763888888888887</v>
      </c>
      <c r="F934" s="2" t="str">
        <f>IF(AND(AllData[[#This Row],[Time]]&lt;0.5, AllData[[#This Row],[Time]]&gt;0.17)=TRUE, "Morning", IF(AND(AllData[[#This Row],[Time]]&lt;0.75, AllData[[#This Row],[Time]]&gt;=0.5)=TRUE, "Afternoon", IF(AND(AllData[[#This Row],[Time]]&lt;1, AllData[[#This Row],[Time]]&gt;=0.75)=TRUE, "Evening", "Night")))</f>
        <v>Morning</v>
      </c>
      <c r="G934" t="str">
        <f>_xlfn.XLOOKUP(AllData[[#This Row],[Location Name]], Locations[Location Name],Locations[Group As])</f>
        <v>Mill Bridge Peopleton</v>
      </c>
      <c r="H934" t="e" vm="17">
        <f>_xlfn.XLOOKUP(AllData[[#This Row],[Site Name]],LocationsKey[Site Name],LocationsKey[District])</f>
        <v>#VALUE!</v>
      </c>
      <c r="I934" t="str">
        <f>_xlfn.XLOOKUP(AllData[[#This Row],[Site Name]],LocationsKey[Site Name],LocationsKey[Town])</f>
        <v>Peopleton</v>
      </c>
      <c r="J934" t="str">
        <f>_xlfn.XLOOKUP(AllData[[#This Row],[Site Name]],LocationsKey[Site Name], LocationsKey[Waterway])</f>
        <v>Bow Brook</v>
      </c>
      <c r="K934" t="s">
        <v>1255</v>
      </c>
      <c r="L934">
        <v>52.15175</v>
      </c>
      <c r="M934">
        <v>-2.0963599999999998</v>
      </c>
      <c r="N934" t="s">
        <v>29</v>
      </c>
      <c r="O934">
        <v>119</v>
      </c>
      <c r="P934">
        <v>16</v>
      </c>
      <c r="Q934">
        <v>2</v>
      </c>
      <c r="R934" s="7" t="str">
        <f>IF(AllData[[#This Row],[Nitrate (PPM)]]&gt;2, "Very high", IF(AllData[[#This Row],[Nitrate (PPM)]]&gt;1, "High", IF(AllData[[#This Row],[Nitrate (PPM)]]&gt;0.5, "Some evidence", IF(AllData[[#This Row],[Nitrate (PPM)]]&gt;=0, "No evidence"))))</f>
        <v>High</v>
      </c>
      <c r="S934" s="4">
        <v>1.43</v>
      </c>
      <c r="T934" s="7" t="str">
        <f>IF(AllData[[#This Row],[Phosphate (PPM)]]&gt;0.5, "Very high", IF(AllData[[#This Row],[Phosphate (PPM)]]&gt;0.1, "High", IF(AllData[[#This Row],[Phosphate (PPM)]]&gt;0.05, "Some evidence", IF(AllData[[#This Row],[Phosphate (PPM)]]&lt;=0.05, "No Evidence", ""))))</f>
        <v>Very high</v>
      </c>
      <c r="U934">
        <v>0.3</v>
      </c>
    </row>
    <row r="935" spans="1:22" x14ac:dyDescent="0.25">
      <c r="A935" t="s">
        <v>1252</v>
      </c>
      <c r="B935" s="2">
        <v>45457</v>
      </c>
      <c r="C935" s="2" t="str" cm="1">
        <f t="array" ref="C9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5">
        <f>YEAR(AllData[[#This Row],[Date]])</f>
        <v>2024</v>
      </c>
      <c r="E935" s="1">
        <v>0.59583333333333333</v>
      </c>
      <c r="F935" s="2" t="str">
        <f>IF(AND(AllData[[#This Row],[Time]]&lt;0.5, AllData[[#This Row],[Time]]&gt;0.17)=TRUE, "Morning", IF(AND(AllData[[#This Row],[Time]]&lt;0.75, AllData[[#This Row],[Time]]&gt;=0.5)=TRUE, "Afternoon", IF(AND(AllData[[#This Row],[Time]]&lt;1, AllData[[#This Row],[Time]]&gt;=0.75)=TRUE, "Evening", "Night")))</f>
        <v>Afternoon</v>
      </c>
      <c r="G935" t="str">
        <f>_xlfn.XLOOKUP(AllData[[#This Row],[Location Name]], Locations[Location Name],Locations[Group As])</f>
        <v>The Ford, Langley</v>
      </c>
      <c r="H935" t="e" vm="2">
        <f>_xlfn.XLOOKUP(AllData[[#This Row],[Site Name]],LocationsKey[Site Name],LocationsKey[District])</f>
        <v>#VALUE!</v>
      </c>
      <c r="I935" t="str">
        <f>_xlfn.XLOOKUP(AllData[[#This Row],[Site Name]],LocationsKey[Site Name],LocationsKey[Town])</f>
        <v>Langley</v>
      </c>
      <c r="J935" t="str">
        <f>_xlfn.XLOOKUP(AllData[[#This Row],[Site Name]],LocationsKey[Site Name], LocationsKey[Waterway])</f>
        <v>Langley Ford</v>
      </c>
      <c r="K935" t="s">
        <v>557</v>
      </c>
      <c r="L935">
        <v>52.259779999999999</v>
      </c>
      <c r="M935">
        <v>-1.71854</v>
      </c>
      <c r="N935" t="s">
        <v>29</v>
      </c>
      <c r="O935" s="219">
        <v>846</v>
      </c>
      <c r="P935">
        <v>13.6</v>
      </c>
      <c r="Q935" s="219">
        <v>5</v>
      </c>
      <c r="R935" s="7" t="str">
        <f>IF(AllData[[#This Row],[Nitrate (PPM)]]&gt;2, "Very high", IF(AllData[[#This Row],[Nitrate (PPM)]]&gt;1, "High", IF(AllData[[#This Row],[Nitrate (PPM)]]&gt;0.5, "Some evidence", IF(AllData[[#This Row],[Nitrate (PPM)]]&gt;=0, "No evidence"))))</f>
        <v>Very high</v>
      </c>
      <c r="S935" s="221">
        <v>0.6</v>
      </c>
      <c r="T935" s="7" t="str">
        <f>IF(AllData[[#This Row],[Phosphate (PPM)]]&gt;0.5, "Very high", IF(AllData[[#This Row],[Phosphate (PPM)]]&gt;0.1, "High", IF(AllData[[#This Row],[Phosphate (PPM)]]&gt;0.05, "Some evidence", IF(AllData[[#This Row],[Phosphate (PPM)]]&lt;=0.05, "No Evidence", ""))))</f>
        <v>Very high</v>
      </c>
      <c r="U935">
        <v>0.15</v>
      </c>
      <c r="V935" t="s">
        <v>1253</v>
      </c>
    </row>
    <row r="936" spans="1:22" x14ac:dyDescent="0.25">
      <c r="A936" t="s">
        <v>1251</v>
      </c>
      <c r="B936" s="2">
        <v>45457</v>
      </c>
      <c r="C936" s="2" t="str" cm="1">
        <f t="array" ref="C9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6">
        <f>YEAR(AllData[[#This Row],[Date]])</f>
        <v>2024</v>
      </c>
      <c r="E936" s="1">
        <v>0.60416666666666663</v>
      </c>
      <c r="F936" s="2" t="str">
        <f>IF(AND(AllData[[#This Row],[Time]]&lt;0.5, AllData[[#This Row],[Time]]&gt;0.17)=TRUE, "Morning", IF(AND(AllData[[#This Row],[Time]]&lt;0.75, AllData[[#This Row],[Time]]&gt;=0.5)=TRUE, "Afternoon", IF(AND(AllData[[#This Row],[Time]]&lt;1, AllData[[#This Row],[Time]]&gt;=0.75)=TRUE, "Evening", "Night")))</f>
        <v>Afternoon</v>
      </c>
      <c r="G936" t="str">
        <f>_xlfn.XLOOKUP(AllData[[#This Row],[Location Name]], Locations[Location Name],Locations[Group As])</f>
        <v>Swilgate</v>
      </c>
      <c r="H936" t="e" vm="1">
        <f>_xlfn.XLOOKUP(AllData[[#This Row],[Site Name]],LocationsKey[Site Name],LocationsKey[District])</f>
        <v>#VALUE!</v>
      </c>
      <c r="I936" t="e" vm="1">
        <f>_xlfn.XLOOKUP(AllData[[#This Row],[Site Name]],LocationsKey[Site Name],LocationsKey[Town])</f>
        <v>#VALUE!</v>
      </c>
      <c r="J936" t="str">
        <f>_xlfn.XLOOKUP(AllData[[#This Row],[Site Name]],LocationsKey[Site Name], LocationsKey[Waterway])</f>
        <v>Swilgate</v>
      </c>
      <c r="K936" t="s">
        <v>84</v>
      </c>
      <c r="N936" t="s">
        <v>23</v>
      </c>
      <c r="O936" s="219">
        <v>875</v>
      </c>
      <c r="P936">
        <v>16.100000000000001</v>
      </c>
      <c r="Q936" s="219">
        <v>7</v>
      </c>
      <c r="R936" s="7" t="str">
        <f>IF(AllData[[#This Row],[Nitrate (PPM)]]&gt;2, "Very high", IF(AllData[[#This Row],[Nitrate (PPM)]]&gt;1, "High", IF(AllData[[#This Row],[Nitrate (PPM)]]&gt;0.5, "Some evidence", IF(AllData[[#This Row],[Nitrate (PPM)]]&gt;=0, "No evidence"))))</f>
        <v>Very high</v>
      </c>
      <c r="S936" s="221">
        <v>1.25</v>
      </c>
      <c r="T936" s="7" t="str">
        <f>IF(AllData[[#This Row],[Phosphate (PPM)]]&gt;0.5, "Very high", IF(AllData[[#This Row],[Phosphate (PPM)]]&gt;0.1, "High", IF(AllData[[#This Row],[Phosphate (PPM)]]&gt;0.05, "Some evidence", IF(AllData[[#This Row],[Phosphate (PPM)]]&lt;=0.05, "No Evidence", ""))))</f>
        <v>Very high</v>
      </c>
      <c r="U936">
        <v>0</v>
      </c>
    </row>
    <row r="937" spans="1:22" x14ac:dyDescent="0.25">
      <c r="A937" t="s">
        <v>1262</v>
      </c>
      <c r="B937" s="2">
        <v>45458</v>
      </c>
      <c r="C937" s="2" t="str" cm="1">
        <f t="array" ref="C9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7">
        <f>YEAR(AllData[[#This Row],[Date]])</f>
        <v>2024</v>
      </c>
      <c r="E937" s="1">
        <v>0.30208333333333331</v>
      </c>
      <c r="F937" s="2" t="str">
        <f>IF(AND(AllData[[#This Row],[Time]]&lt;0.5, AllData[[#This Row],[Time]]&gt;0.17)=TRUE, "Morning", IF(AND(AllData[[#This Row],[Time]]&lt;0.75, AllData[[#This Row],[Time]]&gt;=0.5)=TRUE, "Afternoon", IF(AND(AllData[[#This Row],[Time]]&lt;1, AllData[[#This Row],[Time]]&gt;=0.75)=TRUE, "Evening", "Night")))</f>
        <v>Morning</v>
      </c>
      <c r="G937" t="str">
        <f>_xlfn.XLOOKUP(AllData[[#This Row],[Location Name]], Locations[Location Name],Locations[Group As])</f>
        <v>Avon Smiths Meadow Wyre Piddle</v>
      </c>
      <c r="H937" t="e" vm="17">
        <f>_xlfn.XLOOKUP(AllData[[#This Row],[Site Name]],LocationsKey[Site Name],LocationsKey[District])</f>
        <v>#VALUE!</v>
      </c>
      <c r="I937" t="e" vm="20">
        <f>_xlfn.XLOOKUP(AllData[[#This Row],[Site Name]],LocationsKey[Site Name],LocationsKey[Town])</f>
        <v>#VALUE!</v>
      </c>
      <c r="J937" t="str">
        <f>_xlfn.XLOOKUP(AllData[[#This Row],[Site Name]],LocationsKey[Site Name], LocationsKey[Waterway])</f>
        <v>Avon</v>
      </c>
      <c r="K937" t="s">
        <v>741</v>
      </c>
      <c r="L937">
        <v>52.122858999999998</v>
      </c>
      <c r="M937">
        <v>-2.0575389999999998</v>
      </c>
      <c r="N937" t="s">
        <v>23</v>
      </c>
      <c r="O937">
        <v>864</v>
      </c>
      <c r="P937">
        <v>15.9</v>
      </c>
      <c r="Q937">
        <v>10</v>
      </c>
      <c r="R937" s="7" t="str">
        <f>IF(AllData[[#This Row],[Nitrate (PPM)]]&gt;2, "Very high", IF(AllData[[#This Row],[Nitrate (PPM)]]&gt;1, "High", IF(AllData[[#This Row],[Nitrate (PPM)]]&gt;0.5, "Some evidence", IF(AllData[[#This Row],[Nitrate (PPM)]]&gt;=0, "No evidence"))))</f>
        <v>Very high</v>
      </c>
      <c r="S937" s="4">
        <v>0.73</v>
      </c>
      <c r="T937" s="7" t="str">
        <f>IF(AllData[[#This Row],[Phosphate (PPM)]]&gt;0.5, "Very high", IF(AllData[[#This Row],[Phosphate (PPM)]]&gt;0.1, "High", IF(AllData[[#This Row],[Phosphate (PPM)]]&gt;0.05, "Some evidence", IF(AllData[[#This Row],[Phosphate (PPM)]]&lt;=0.05, "No Evidence", ""))))</f>
        <v>Very high</v>
      </c>
      <c r="U937">
        <v>0.59</v>
      </c>
      <c r="V937" t="s">
        <v>1263</v>
      </c>
    </row>
    <row r="938" spans="1:22" x14ac:dyDescent="0.25">
      <c r="A938" t="s">
        <v>1260</v>
      </c>
      <c r="B938" s="2">
        <v>45458</v>
      </c>
      <c r="C938" s="2" t="str" cm="1">
        <f t="array" ref="C9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8">
        <f>YEAR(AllData[[#This Row],[Date]])</f>
        <v>2024</v>
      </c>
      <c r="E938" s="1">
        <v>0.33333333333333331</v>
      </c>
      <c r="F938" s="2" t="str">
        <f>IF(AND(AllData[[#This Row],[Time]]&lt;0.5, AllData[[#This Row],[Time]]&gt;0.17)=TRUE, "Morning", IF(AND(AllData[[#This Row],[Time]]&lt;0.75, AllData[[#This Row],[Time]]&gt;=0.5)=TRUE, "Afternoon", IF(AND(AllData[[#This Row],[Time]]&lt;1, AllData[[#This Row],[Time]]&gt;=0.75)=TRUE, "Evening", "Night")))</f>
        <v>Morning</v>
      </c>
      <c r="G938" t="str">
        <f>_xlfn.XLOOKUP(AllData[[#This Row],[Location Name]], Locations[Location Name],Locations[Group As])</f>
        <v>Piddle Brook Wyre Piddle Bridge</v>
      </c>
      <c r="H938" t="e" vm="17">
        <f>_xlfn.XLOOKUP(AllData[[#This Row],[Site Name]],LocationsKey[Site Name],LocationsKey[District])</f>
        <v>#VALUE!</v>
      </c>
      <c r="I938" t="e" vm="20">
        <f>_xlfn.XLOOKUP(AllData[[#This Row],[Site Name]],LocationsKey[Site Name],LocationsKey[Town])</f>
        <v>#VALUE!</v>
      </c>
      <c r="J938" t="str">
        <f>_xlfn.XLOOKUP(AllData[[#This Row],[Site Name]],LocationsKey[Site Name], LocationsKey[Waterway])</f>
        <v>Piddle Brook</v>
      </c>
      <c r="K938" t="s">
        <v>744</v>
      </c>
      <c r="L938">
        <v>52.126404000000001</v>
      </c>
      <c r="M938">
        <v>-2.0565410000000002</v>
      </c>
      <c r="N938" t="s">
        <v>23</v>
      </c>
      <c r="O938">
        <v>836</v>
      </c>
      <c r="P938">
        <v>13.1</v>
      </c>
      <c r="Q938">
        <v>8</v>
      </c>
      <c r="R938" s="7" t="str">
        <f>IF(AllData[[#This Row],[Nitrate (PPM)]]&gt;2, "Very high", IF(AllData[[#This Row],[Nitrate (PPM)]]&gt;1, "High", IF(AllData[[#This Row],[Nitrate (PPM)]]&gt;0.5, "Some evidence", IF(AllData[[#This Row],[Nitrate (PPM)]]&gt;=0, "No evidence"))))</f>
        <v>Very high</v>
      </c>
      <c r="S938" s="4">
        <v>1.03</v>
      </c>
      <c r="T938" s="7" t="str">
        <f>IF(AllData[[#This Row],[Phosphate (PPM)]]&gt;0.5, "Very high", IF(AllData[[#This Row],[Phosphate (PPM)]]&gt;0.1, "High", IF(AllData[[#This Row],[Phosphate (PPM)]]&gt;0.05, "Some evidence", IF(AllData[[#This Row],[Phosphate (PPM)]]&lt;=0.05, "No Evidence", ""))))</f>
        <v>Very high</v>
      </c>
      <c r="U938">
        <v>0.18</v>
      </c>
      <c r="V938" t="s">
        <v>1261</v>
      </c>
    </row>
    <row r="939" spans="1:22" x14ac:dyDescent="0.25">
      <c r="A939" t="s">
        <v>1259</v>
      </c>
      <c r="B939" s="2">
        <v>45458</v>
      </c>
      <c r="C939" s="2" t="str" cm="1">
        <f t="array" ref="C9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39">
        <f>YEAR(AllData[[#This Row],[Date]])</f>
        <v>2024</v>
      </c>
      <c r="E939" s="1">
        <v>0.5</v>
      </c>
      <c r="F939" s="2" t="str">
        <f>IF(AND(AllData[[#This Row],[Time]]&lt;0.5, AllData[[#This Row],[Time]]&gt;0.17)=TRUE, "Morning", IF(AND(AllData[[#This Row],[Time]]&lt;0.75, AllData[[#This Row],[Time]]&gt;=0.5)=TRUE, "Afternoon", IF(AND(AllData[[#This Row],[Time]]&lt;1, AllData[[#This Row],[Time]]&gt;=0.75)=TRUE, "Evening", "Night")))</f>
        <v>Afternoon</v>
      </c>
      <c r="G939" t="str">
        <f>_xlfn.XLOOKUP(AllData[[#This Row],[Location Name]], Locations[Location Name],Locations[Group As])</f>
        <v>Carrant Bredon Rd</v>
      </c>
      <c r="H939" t="e" vm="1">
        <f>_xlfn.XLOOKUP(AllData[[#This Row],[Site Name]],LocationsKey[Site Name],LocationsKey[District])</f>
        <v>#VALUE!</v>
      </c>
      <c r="I939" t="e" vm="1">
        <f>_xlfn.XLOOKUP(AllData[[#This Row],[Site Name]],LocationsKey[Site Name],LocationsKey[Town])</f>
        <v>#VALUE!</v>
      </c>
      <c r="J939" t="str">
        <f>_xlfn.XLOOKUP(AllData[[#This Row],[Site Name]],LocationsKey[Site Name], LocationsKey[Waterway])</f>
        <v>Carrant</v>
      </c>
      <c r="K939" t="s">
        <v>600</v>
      </c>
      <c r="L939">
        <v>51.996327000000001</v>
      </c>
      <c r="M939">
        <v>-2.156183</v>
      </c>
      <c r="N939" t="s">
        <v>23</v>
      </c>
      <c r="O939">
        <v>733</v>
      </c>
      <c r="P939">
        <v>14.5</v>
      </c>
      <c r="Q939">
        <v>5</v>
      </c>
      <c r="R939" s="7" t="str">
        <f>IF(AllData[[#This Row],[Nitrate (PPM)]]&gt;2, "Very high", IF(AllData[[#This Row],[Nitrate (PPM)]]&gt;1, "High", IF(AllData[[#This Row],[Nitrate (PPM)]]&gt;0.5, "Some evidence", IF(AllData[[#This Row],[Nitrate (PPM)]]&gt;=0, "No evidence"))))</f>
        <v>Very high</v>
      </c>
      <c r="S939" s="4">
        <v>0.33</v>
      </c>
      <c r="T939" s="7" t="str">
        <f>IF(AllData[[#This Row],[Phosphate (PPM)]]&gt;0.5, "Very high", IF(AllData[[#This Row],[Phosphate (PPM)]]&gt;0.1, "High", IF(AllData[[#This Row],[Phosphate (PPM)]]&gt;0.05, "Some evidence", IF(AllData[[#This Row],[Phosphate (PPM)]]&lt;=0.05, "No Evidence", ""))))</f>
        <v>High</v>
      </c>
      <c r="U939">
        <v>0.04</v>
      </c>
    </row>
    <row r="940" spans="1:22" x14ac:dyDescent="0.25">
      <c r="A940" t="s">
        <v>1258</v>
      </c>
      <c r="B940" s="2">
        <v>45458</v>
      </c>
      <c r="C940" s="2" t="str" cm="1">
        <f t="array" ref="C9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0">
        <f>YEAR(AllData[[#This Row],[Date]])</f>
        <v>2024</v>
      </c>
      <c r="E940" s="1">
        <v>0.58333333333333337</v>
      </c>
      <c r="F940" s="2" t="str">
        <f>IF(AND(AllData[[#This Row],[Time]]&lt;0.5, AllData[[#This Row],[Time]]&gt;0.17)=TRUE, "Morning", IF(AND(AllData[[#This Row],[Time]]&lt;0.75, AllData[[#This Row],[Time]]&gt;=0.5)=TRUE, "Afternoon", IF(AND(AllData[[#This Row],[Time]]&lt;1, AllData[[#This Row],[Time]]&gt;=0.75)=TRUE, "Evening", "Night")))</f>
        <v>Afternoon</v>
      </c>
      <c r="G940" t="str">
        <f>_xlfn.XLOOKUP(AllData[[#This Row],[Location Name]], Locations[Location Name],Locations[Group As])</f>
        <v>Stour Willington</v>
      </c>
      <c r="H940" t="e" vm="2">
        <f>_xlfn.XLOOKUP(AllData[[#This Row],[Site Name]],LocationsKey[Site Name],LocationsKey[District])</f>
        <v>#VALUE!</v>
      </c>
      <c r="I940" t="str">
        <f>_xlfn.XLOOKUP(AllData[[#This Row],[Site Name]],LocationsKey[Site Name],LocationsKey[Town])</f>
        <v>Willington</v>
      </c>
      <c r="J940" t="str">
        <f>_xlfn.XLOOKUP(AllData[[#This Row],[Site Name]],LocationsKey[Site Name], LocationsKey[Waterway])</f>
        <v>Stour</v>
      </c>
      <c r="K940" t="s">
        <v>517</v>
      </c>
      <c r="L940">
        <v>52.053548999999997</v>
      </c>
      <c r="M940">
        <v>-1.6201620000000001</v>
      </c>
      <c r="N940" t="s">
        <v>23</v>
      </c>
      <c r="O940" s="219">
        <v>605</v>
      </c>
      <c r="P940">
        <v>15.3</v>
      </c>
      <c r="Q940" s="219">
        <v>2</v>
      </c>
      <c r="R940" s="7" t="str">
        <f>IF(AllData[[#This Row],[Nitrate (PPM)]]&gt;2, "Very high", IF(AllData[[#This Row],[Nitrate (PPM)]]&gt;1, "High", IF(AllData[[#This Row],[Nitrate (PPM)]]&gt;0.5, "Some evidence", IF(AllData[[#This Row],[Nitrate (PPM)]]&gt;=0, "No evidence"))))</f>
        <v>High</v>
      </c>
      <c r="S940" s="221">
        <v>0.48</v>
      </c>
      <c r="T940" s="7" t="str">
        <f>IF(AllData[[#This Row],[Phosphate (PPM)]]&gt;0.5, "Very high", IF(AllData[[#This Row],[Phosphate (PPM)]]&gt;0.1, "High", IF(AllData[[#This Row],[Phosphate (PPM)]]&gt;0.05, "Some evidence", IF(AllData[[#This Row],[Phosphate (PPM)]]&lt;=0.05, "No Evidence", ""))))</f>
        <v>High</v>
      </c>
      <c r="U940">
        <v>0.5</v>
      </c>
    </row>
    <row r="941" spans="1:22" x14ac:dyDescent="0.25">
      <c r="A941" t="s">
        <v>1266</v>
      </c>
      <c r="B941" s="2">
        <v>45459</v>
      </c>
      <c r="C941" s="2" t="str" cm="1">
        <f t="array" ref="C9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1">
        <f>YEAR(AllData[[#This Row],[Date]])</f>
        <v>2024</v>
      </c>
      <c r="E941" s="1">
        <v>0.37361111111111112</v>
      </c>
      <c r="F941" s="2" t="str">
        <f>IF(AND(AllData[[#This Row],[Time]]&lt;0.5, AllData[[#This Row],[Time]]&gt;0.17)=TRUE, "Morning", IF(AND(AllData[[#This Row],[Time]]&lt;0.75, AllData[[#This Row],[Time]]&gt;=0.5)=TRUE, "Afternoon", IF(AND(AllData[[#This Row],[Time]]&lt;1, AllData[[#This Row],[Time]]&gt;=0.75)=TRUE, "Evening", "Night")))</f>
        <v>Morning</v>
      </c>
      <c r="G941" t="str">
        <f>_xlfn.XLOOKUP(AllData[[#This Row],[Location Name]], Locations[Location Name],Locations[Group As])</f>
        <v>Lower Lode</v>
      </c>
      <c r="H941" t="e" vm="1">
        <f>_xlfn.XLOOKUP(AllData[[#This Row],[Site Name]],LocationsKey[Site Name],LocationsKey[District])</f>
        <v>#VALUE!</v>
      </c>
      <c r="I941" t="e" vm="1">
        <f>_xlfn.XLOOKUP(AllData[[#This Row],[Site Name]],LocationsKey[Site Name],LocationsKey[Town])</f>
        <v>#VALUE!</v>
      </c>
      <c r="J941" t="str">
        <f>_xlfn.XLOOKUP(AllData[[#This Row],[Site Name]],LocationsKey[Site Name], LocationsKey[Waterway])</f>
        <v>Avon</v>
      </c>
      <c r="K941" t="s">
        <v>592</v>
      </c>
      <c r="L941">
        <v>51.985056999999998</v>
      </c>
      <c r="M941">
        <v>-2.174277</v>
      </c>
      <c r="N941" t="s">
        <v>29</v>
      </c>
      <c r="O941">
        <v>8400</v>
      </c>
      <c r="P941">
        <v>16.7</v>
      </c>
      <c r="Q941">
        <v>10</v>
      </c>
      <c r="R941" s="7" t="str">
        <f>IF(AllData[[#This Row],[Nitrate (PPM)]]&gt;2, "Very high", IF(AllData[[#This Row],[Nitrate (PPM)]]&gt;1, "High", IF(AllData[[#This Row],[Nitrate (PPM)]]&gt;0.5, "Some evidence", IF(AllData[[#This Row],[Nitrate (PPM)]]&gt;=0, "No evidence"))))</f>
        <v>Very high</v>
      </c>
      <c r="S941" s="4">
        <v>0.82</v>
      </c>
      <c r="T941" s="7" t="str">
        <f>IF(AllData[[#This Row],[Phosphate (PPM)]]&gt;0.5, "Very high", IF(AllData[[#This Row],[Phosphate (PPM)]]&gt;0.1, "High", IF(AllData[[#This Row],[Phosphate (PPM)]]&gt;0.05, "Some evidence", IF(AllData[[#This Row],[Phosphate (PPM)]]&lt;=0.05, "No Evidence", ""))))</f>
        <v>Very high</v>
      </c>
      <c r="U941">
        <v>1</v>
      </c>
    </row>
    <row r="942" spans="1:22" x14ac:dyDescent="0.25">
      <c r="A942" t="s">
        <v>1264</v>
      </c>
      <c r="B942" s="2">
        <v>45459</v>
      </c>
      <c r="C942" s="2" t="str" cm="1">
        <f t="array" ref="C9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2">
        <f>YEAR(AllData[[#This Row],[Date]])</f>
        <v>2024</v>
      </c>
      <c r="E942" s="1">
        <v>0.61805555555555558</v>
      </c>
      <c r="F942" s="2" t="str">
        <f>IF(AND(AllData[[#This Row],[Time]]&lt;0.5, AllData[[#This Row],[Time]]&gt;0.17)=TRUE, "Morning", IF(AND(AllData[[#This Row],[Time]]&lt;0.75, AllData[[#This Row],[Time]]&gt;=0.5)=TRUE, "Afternoon", IF(AND(AllData[[#This Row],[Time]]&lt;1, AllData[[#This Row],[Time]]&gt;=0.75)=TRUE, "Evening", "Night")))</f>
        <v>Afternoon</v>
      </c>
      <c r="G942" t="str">
        <f>_xlfn.XLOOKUP(AllData[[#This Row],[Location Name]], Locations[Location Name],Locations[Group As])</f>
        <v>Fell Mill Footbridge</v>
      </c>
      <c r="H942" t="e" vm="2">
        <f>_xlfn.XLOOKUP(AllData[[#This Row],[Site Name]],LocationsKey[Site Name],LocationsKey[District])</f>
        <v>#VALUE!</v>
      </c>
      <c r="I942" t="e" vm="10">
        <f>_xlfn.XLOOKUP(AllData[[#This Row],[Site Name]],LocationsKey[Site Name],LocationsKey[Town])</f>
        <v>#VALUE!</v>
      </c>
      <c r="J942" t="str">
        <f>_xlfn.XLOOKUP(AllData[[#This Row],[Site Name]],LocationsKey[Site Name], LocationsKey[Waterway])</f>
        <v>Stour</v>
      </c>
      <c r="K942" t="s">
        <v>818</v>
      </c>
      <c r="L942">
        <v>52.070086000000003</v>
      </c>
      <c r="M942">
        <v>-1.61145</v>
      </c>
      <c r="N942" t="s">
        <v>29</v>
      </c>
      <c r="O942">
        <v>614</v>
      </c>
      <c r="P942">
        <v>16.100000000000001</v>
      </c>
      <c r="Q942">
        <v>5</v>
      </c>
      <c r="R942" s="7" t="str">
        <f>IF(AllData[[#This Row],[Nitrate (PPM)]]&gt;2, "Very high", IF(AllData[[#This Row],[Nitrate (PPM)]]&gt;1, "High", IF(AllData[[#This Row],[Nitrate (PPM)]]&gt;0.5, "Some evidence", IF(AllData[[#This Row],[Nitrate (PPM)]]&gt;=0, "No evidence"))))</f>
        <v>Very high</v>
      </c>
      <c r="S942" s="4">
        <v>0.48</v>
      </c>
      <c r="T942" s="7" t="str">
        <f>IF(AllData[[#This Row],[Phosphate (PPM)]]&gt;0.5, "Very high", IF(AllData[[#This Row],[Phosphate (PPM)]]&gt;0.1, "High", IF(AllData[[#This Row],[Phosphate (PPM)]]&gt;0.05, "Some evidence", IF(AllData[[#This Row],[Phosphate (PPM)]]&lt;=0.05, "No Evidence", ""))))</f>
        <v>High</v>
      </c>
      <c r="U942">
        <v>2.1</v>
      </c>
    </row>
    <row r="943" spans="1:22" x14ac:dyDescent="0.25">
      <c r="A943" t="s">
        <v>1265</v>
      </c>
      <c r="B943" s="2">
        <v>45459</v>
      </c>
      <c r="C943" s="2" t="str" cm="1">
        <f t="array" ref="C9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3">
        <f>YEAR(AllData[[#This Row],[Date]])</f>
        <v>2024</v>
      </c>
      <c r="E943" s="1">
        <v>0.77986111111111112</v>
      </c>
      <c r="F943" s="2" t="str">
        <f>IF(AND(AllData[[#This Row],[Time]]&lt;0.5, AllData[[#This Row],[Time]]&gt;0.17)=TRUE, "Morning", IF(AND(AllData[[#This Row],[Time]]&lt;0.75, AllData[[#This Row],[Time]]&gt;=0.5)=TRUE, "Afternoon", IF(AND(AllData[[#This Row],[Time]]&lt;1, AllData[[#This Row],[Time]]&gt;=0.75)=TRUE, "Evening", "Night")))</f>
        <v>Evening</v>
      </c>
      <c r="G943" t="str">
        <f>_xlfn.XLOOKUP(AllData[[#This Row],[Location Name]], Locations[Location Name],Locations[Group As])</f>
        <v>Black Bear</v>
      </c>
      <c r="H943" t="e" vm="1">
        <f>_xlfn.XLOOKUP(AllData[[#This Row],[Site Name]],LocationsKey[Site Name],LocationsKey[District])</f>
        <v>#VALUE!</v>
      </c>
      <c r="I943" t="e" vm="1">
        <f>_xlfn.XLOOKUP(AllData[[#This Row],[Site Name]],LocationsKey[Site Name],LocationsKey[Town])</f>
        <v>#VALUE!</v>
      </c>
      <c r="J943" t="str">
        <f>_xlfn.XLOOKUP(AllData[[#This Row],[Site Name]],LocationsKey[Site Name], LocationsKey[Waterway])</f>
        <v>Avon</v>
      </c>
      <c r="K943" t="s">
        <v>1045</v>
      </c>
      <c r="L943">
        <v>51.997414999999997</v>
      </c>
      <c r="M943">
        <v>-2.15632</v>
      </c>
      <c r="N943" t="s">
        <v>23</v>
      </c>
      <c r="O943">
        <v>950</v>
      </c>
      <c r="P943">
        <v>17.600000000000001</v>
      </c>
      <c r="Q943">
        <v>9</v>
      </c>
      <c r="R943" s="7" t="str">
        <f>IF(AllData[[#This Row],[Nitrate (PPM)]]&gt;2, "Very high", IF(AllData[[#This Row],[Nitrate (PPM)]]&gt;1, "High", IF(AllData[[#This Row],[Nitrate (PPM)]]&gt;0.5, "Some evidence", IF(AllData[[#This Row],[Nitrate (PPM)]]&gt;=0, "No evidence"))))</f>
        <v>Very high</v>
      </c>
      <c r="S943" s="4">
        <v>0.65</v>
      </c>
      <c r="T943" s="7" t="str">
        <f>IF(AllData[[#This Row],[Phosphate (PPM)]]&gt;0.5, "Very high", IF(AllData[[#This Row],[Phosphate (PPM)]]&gt;0.1, "High", IF(AllData[[#This Row],[Phosphate (PPM)]]&gt;0.05, "Some evidence", IF(AllData[[#This Row],[Phosphate (PPM)]]&lt;=0.05, "No Evidence", ""))))</f>
        <v>Very high</v>
      </c>
      <c r="U943">
        <v>0</v>
      </c>
    </row>
    <row r="944" spans="1:22" x14ac:dyDescent="0.25">
      <c r="A944" t="s">
        <v>1797</v>
      </c>
      <c r="B944" s="2">
        <v>45459</v>
      </c>
      <c r="C944" s="2" t="str" cm="1">
        <f t="array" ref="C9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4">
        <f>YEAR(AllData[[#This Row],[Date]])</f>
        <v>2024</v>
      </c>
      <c r="F944" s="2" t="str">
        <f>IF(AND(AllData[[#This Row],[Time]]&lt;0.5, AllData[[#This Row],[Time]]&gt;0.17)=TRUE, "Morning", IF(AND(AllData[[#This Row],[Time]]&lt;0.75, AllData[[#This Row],[Time]]&gt;=0.5)=TRUE, "Afternoon", IF(AND(AllData[[#This Row],[Time]]&lt;1, AllData[[#This Row],[Time]]&gt;=0.75)=TRUE, "Evening", "Night")))</f>
        <v>Night</v>
      </c>
      <c r="G944" t="str">
        <f>_xlfn.XLOOKUP(AllData[[#This Row],[Location Name]], Locations[Location Name],Locations[Group As])</f>
        <v>Site 1  :  Middle Street</v>
      </c>
      <c r="H944" t="e" vm="2">
        <f>_xlfn.XLOOKUP(AllData[[#This Row],[Site Name]],LocationsKey[Site Name],LocationsKey[District])</f>
        <v>#VALUE!</v>
      </c>
      <c r="I944" t="e" vm="11">
        <f>_xlfn.XLOOKUP(AllData[[#This Row],[Site Name]],LocationsKey[Site Name],LocationsKey[Town])</f>
        <v>#VALUE!</v>
      </c>
      <c r="J944" t="str">
        <f>_xlfn.XLOOKUP(AllData[[#This Row],[Site Name]],LocationsKey[Site Name], LocationsKey[Waterway])</f>
        <v>Fosseway Brook</v>
      </c>
      <c r="K944" t="s">
        <v>1859</v>
      </c>
      <c r="L944">
        <v>52.090085000000002</v>
      </c>
      <c r="M944">
        <v>-1.692593</v>
      </c>
      <c r="N944" t="s">
        <v>66</v>
      </c>
      <c r="O944">
        <v>630</v>
      </c>
      <c r="P944">
        <v>19.3</v>
      </c>
      <c r="Q944">
        <v>2</v>
      </c>
      <c r="R944" s="7" t="str">
        <f>IF(AllData[[#This Row],[Nitrate (PPM)]]&gt;2, "Very high", IF(AllData[[#This Row],[Nitrate (PPM)]]&gt;1, "High", IF(AllData[[#This Row],[Nitrate (PPM)]]&gt;0.5, "Some evidence", IF(AllData[[#This Row],[Nitrate (PPM)]]&gt;=0, "No evidence"))))</f>
        <v>High</v>
      </c>
      <c r="S944" s="4">
        <v>0.1</v>
      </c>
      <c r="T944" s="7" t="str">
        <f>IF(AllData[[#This Row],[Phosphate (PPM)]]&gt;0.5, "Very high", IF(AllData[[#This Row],[Phosphate (PPM)]]&gt;0.1, "High", IF(AllData[[#This Row],[Phosphate (PPM)]]&gt;0.05, "Some evidence", IF(AllData[[#This Row],[Phosphate (PPM)]]&lt;=0.05, "No Evidence", ""))))</f>
        <v>Some evidence</v>
      </c>
      <c r="U944">
        <v>0</v>
      </c>
      <c r="V944" t="s">
        <v>1909</v>
      </c>
    </row>
    <row r="945" spans="1:22" x14ac:dyDescent="0.25">
      <c r="A945" t="s">
        <v>1387</v>
      </c>
      <c r="B945" s="2">
        <v>45459</v>
      </c>
      <c r="C945" s="2" t="str" cm="1">
        <f t="array" ref="C9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5">
        <f>YEAR(AllData[[#This Row],[Date]])</f>
        <v>2024</v>
      </c>
      <c r="E945" s="1"/>
      <c r="F945" s="2" t="str">
        <f>IF(AND(AllData[[#This Row],[Time]]&lt;0.5, AllData[[#This Row],[Time]]&gt;0.17)=TRUE, "Morning", IF(AND(AllData[[#This Row],[Time]]&lt;0.75, AllData[[#This Row],[Time]]&gt;=0.5)=TRUE, "Afternoon", IF(AND(AllData[[#This Row],[Time]]&lt;1, AllData[[#This Row],[Time]]&gt;=0.75)=TRUE, "Evening", "Night")))</f>
        <v>Night</v>
      </c>
      <c r="G945" t="str">
        <f>_xlfn.XLOOKUP(AllData[[#This Row],[Location Name]], Locations[Location Name],Locations[Group As])</f>
        <v>Site 1  :  Middle Street</v>
      </c>
      <c r="H945" t="e" vm="2">
        <f>_xlfn.XLOOKUP(AllData[[#This Row],[Site Name]],LocationsKey[Site Name],LocationsKey[District])</f>
        <v>#VALUE!</v>
      </c>
      <c r="I945" t="e" vm="11">
        <f>_xlfn.XLOOKUP(AllData[[#This Row],[Site Name]],LocationsKey[Site Name],LocationsKey[Town])</f>
        <v>#VALUE!</v>
      </c>
      <c r="J945" t="str">
        <f>_xlfn.XLOOKUP(AllData[[#This Row],[Site Name]],LocationsKey[Site Name], LocationsKey[Waterway])</f>
        <v>Fosseway Brook</v>
      </c>
      <c r="K945" t="s">
        <v>1373</v>
      </c>
      <c r="L945">
        <v>52.090085000000002</v>
      </c>
      <c r="M945">
        <v>-1.692593</v>
      </c>
      <c r="N945" t="s">
        <v>66</v>
      </c>
      <c r="O945">
        <v>630</v>
      </c>
      <c r="P945">
        <v>19.3</v>
      </c>
      <c r="Q945">
        <v>2</v>
      </c>
      <c r="R945" s="7" t="str">
        <f>IF(AllData[[#This Row],[Nitrate (PPM)]]&gt;2, "Very high", IF(AllData[[#This Row],[Nitrate (PPM)]]&gt;1, "High", IF(AllData[[#This Row],[Nitrate (PPM)]]&gt;0.5, "Some evidence", IF(AllData[[#This Row],[Nitrate (PPM)]]&gt;=0, "No evidence"))))</f>
        <v>High</v>
      </c>
      <c r="S945" s="4">
        <v>0.1</v>
      </c>
      <c r="T945" s="7" t="str">
        <f>IF(AllData[[#This Row],[Phosphate (PPM)]]&gt;0.5, "Very high", IF(AllData[[#This Row],[Phosphate (PPM)]]&gt;0.1, "High", IF(AllData[[#This Row],[Phosphate (PPM)]]&gt;0.05, "Some evidence", IF(AllData[[#This Row],[Phosphate (PPM)]]&lt;=0.05, "No Evidence", ""))))</f>
        <v>Some evidence</v>
      </c>
    </row>
    <row r="946" spans="1:22" x14ac:dyDescent="0.25">
      <c r="A946" t="s">
        <v>1798</v>
      </c>
      <c r="B946" s="2">
        <v>45459</v>
      </c>
      <c r="C946" s="2" t="str" cm="1">
        <f t="array" ref="C9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6">
        <f>YEAR(AllData[[#This Row],[Date]])</f>
        <v>2024</v>
      </c>
      <c r="F946" s="2" t="str">
        <f>IF(AND(AllData[[#This Row],[Time]]&lt;0.5, AllData[[#This Row],[Time]]&gt;0.17)=TRUE, "Morning", IF(AND(AllData[[#This Row],[Time]]&lt;0.75, AllData[[#This Row],[Time]]&gt;=0.5)=TRUE, "Afternoon", IF(AND(AllData[[#This Row],[Time]]&lt;1, AllData[[#This Row],[Time]]&gt;=0.75)=TRUE, "Evening", "Night")))</f>
        <v>Night</v>
      </c>
      <c r="G946" t="str">
        <f>_xlfn.XLOOKUP(AllData[[#This Row],[Location Name]], Locations[Location Name],Locations[Group As])</f>
        <v>Site 2  :  Cross Leys culvert</v>
      </c>
      <c r="H946" t="e" vm="2">
        <f>_xlfn.XLOOKUP(AllData[[#This Row],[Site Name]],LocationsKey[Site Name],LocationsKey[District])</f>
        <v>#VALUE!</v>
      </c>
      <c r="I946" t="e" vm="11">
        <f>_xlfn.XLOOKUP(AllData[[#This Row],[Site Name]],LocationsKey[Site Name],LocationsKey[Town])</f>
        <v>#VALUE!</v>
      </c>
      <c r="J946" t="str">
        <f>_xlfn.XLOOKUP(AllData[[#This Row],[Site Name]],LocationsKey[Site Name], LocationsKey[Waterway])</f>
        <v>Fosseway Brook</v>
      </c>
      <c r="K946" t="s">
        <v>1860</v>
      </c>
      <c r="L946">
        <v>52.092967999999999</v>
      </c>
      <c r="M946">
        <v>-1.6862710000000001</v>
      </c>
      <c r="N946" t="s">
        <v>66</v>
      </c>
      <c r="O946">
        <v>723</v>
      </c>
      <c r="P946">
        <v>17</v>
      </c>
      <c r="Q946">
        <v>2</v>
      </c>
      <c r="R946" s="7" t="str">
        <f>IF(AllData[[#This Row],[Nitrate (PPM)]]&gt;2, "Very high", IF(AllData[[#This Row],[Nitrate (PPM)]]&gt;1, "High", IF(AllData[[#This Row],[Nitrate (PPM)]]&gt;0.5, "Some evidence", IF(AllData[[#This Row],[Nitrate (PPM)]]&gt;=0, "No evidence"))))</f>
        <v>High</v>
      </c>
      <c r="S946" s="4">
        <v>0.41</v>
      </c>
      <c r="T946" s="7" t="str">
        <f>IF(AllData[[#This Row],[Phosphate (PPM)]]&gt;0.5, "Very high", IF(AllData[[#This Row],[Phosphate (PPM)]]&gt;0.1, "High", IF(AllData[[#This Row],[Phosphate (PPM)]]&gt;0.05, "Some evidence", IF(AllData[[#This Row],[Phosphate (PPM)]]&lt;=0.05, "No Evidence", ""))))</f>
        <v>High</v>
      </c>
      <c r="U946">
        <v>0</v>
      </c>
      <c r="V946" t="s">
        <v>1909</v>
      </c>
    </row>
    <row r="947" spans="1:22" x14ac:dyDescent="0.25">
      <c r="A947" t="s">
        <v>1386</v>
      </c>
      <c r="B947" s="2">
        <v>45459</v>
      </c>
      <c r="C947" s="2" t="str" cm="1">
        <f t="array" ref="C9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7">
        <f>YEAR(AllData[[#This Row],[Date]])</f>
        <v>2024</v>
      </c>
      <c r="E947" s="1"/>
      <c r="F947" s="2" t="str">
        <f>IF(AND(AllData[[#This Row],[Time]]&lt;0.5, AllData[[#This Row],[Time]]&gt;0.17)=TRUE, "Morning", IF(AND(AllData[[#This Row],[Time]]&lt;0.75, AllData[[#This Row],[Time]]&gt;=0.5)=TRUE, "Afternoon", IF(AND(AllData[[#This Row],[Time]]&lt;1, AllData[[#This Row],[Time]]&gt;=0.75)=TRUE, "Evening", "Night")))</f>
        <v>Night</v>
      </c>
      <c r="G947" t="str">
        <f>_xlfn.XLOOKUP(AllData[[#This Row],[Location Name]], Locations[Location Name],Locations[Group As])</f>
        <v>Site 2  :  Cross Leys culvert</v>
      </c>
      <c r="H947" t="e" vm="2">
        <f>_xlfn.XLOOKUP(AllData[[#This Row],[Site Name]],LocationsKey[Site Name],LocationsKey[District])</f>
        <v>#VALUE!</v>
      </c>
      <c r="I947" t="e" vm="11">
        <f>_xlfn.XLOOKUP(AllData[[#This Row],[Site Name]],LocationsKey[Site Name],LocationsKey[Town])</f>
        <v>#VALUE!</v>
      </c>
      <c r="J947" t="str">
        <f>_xlfn.XLOOKUP(AllData[[#This Row],[Site Name]],LocationsKey[Site Name], LocationsKey[Waterway])</f>
        <v>Fosseway Brook</v>
      </c>
      <c r="K947" t="s">
        <v>1371</v>
      </c>
      <c r="L947">
        <v>52.092967999999999</v>
      </c>
      <c r="M947">
        <v>-1.6862710000000001</v>
      </c>
      <c r="N947" t="s">
        <v>66</v>
      </c>
      <c r="O947">
        <v>723</v>
      </c>
      <c r="P947">
        <v>17</v>
      </c>
      <c r="Q947">
        <v>2</v>
      </c>
      <c r="R947" s="7" t="str">
        <f>IF(AllData[[#This Row],[Nitrate (PPM)]]&gt;2, "Very high", IF(AllData[[#This Row],[Nitrate (PPM)]]&gt;1, "High", IF(AllData[[#This Row],[Nitrate (PPM)]]&gt;0.5, "Some evidence", IF(AllData[[#This Row],[Nitrate (PPM)]]&gt;=0, "No evidence"))))</f>
        <v>High</v>
      </c>
      <c r="S947" s="4">
        <v>0.41</v>
      </c>
      <c r="T947" s="7" t="str">
        <f>IF(AllData[[#This Row],[Phosphate (PPM)]]&gt;0.5, "Very high", IF(AllData[[#This Row],[Phosphate (PPM)]]&gt;0.1, "High", IF(AllData[[#This Row],[Phosphate (PPM)]]&gt;0.05, "Some evidence", IF(AllData[[#This Row],[Phosphate (PPM)]]&lt;=0.05, "No Evidence", ""))))</f>
        <v>High</v>
      </c>
    </row>
    <row r="948" spans="1:22" x14ac:dyDescent="0.25">
      <c r="A948" t="s">
        <v>1799</v>
      </c>
      <c r="B948" s="2">
        <v>45459</v>
      </c>
      <c r="C948" s="2" t="str" cm="1">
        <f t="array" ref="C9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8">
        <f>YEAR(AllData[[#This Row],[Date]])</f>
        <v>2024</v>
      </c>
      <c r="F948" s="2" t="str">
        <f>IF(AND(AllData[[#This Row],[Time]]&lt;0.5, AllData[[#This Row],[Time]]&gt;0.17)=TRUE, "Morning", IF(AND(AllData[[#This Row],[Time]]&lt;0.75, AllData[[#This Row],[Time]]&gt;=0.5)=TRUE, "Afternoon", IF(AND(AllData[[#This Row],[Time]]&lt;1, AllData[[#This Row],[Time]]&gt;=0.75)=TRUE, "Evening", "Night")))</f>
        <v>Night</v>
      </c>
      <c r="G948" t="str">
        <f>_xlfn.XLOOKUP(AllData[[#This Row],[Location Name]], Locations[Location Name],Locations[Group As])</f>
        <v>Site 3  :  Severn Trent Water processing plant outflow</v>
      </c>
      <c r="H948" t="e" vm="2">
        <f>_xlfn.XLOOKUP(AllData[[#This Row],[Site Name]],LocationsKey[Site Name],LocationsKey[District])</f>
        <v>#VALUE!</v>
      </c>
      <c r="I948" t="e" vm="11">
        <f>_xlfn.XLOOKUP(AllData[[#This Row],[Site Name]],LocationsKey[Site Name],LocationsKey[Town])</f>
        <v>#VALUE!</v>
      </c>
      <c r="J948" t="str">
        <f>_xlfn.XLOOKUP(AllData[[#This Row],[Site Name]],LocationsKey[Site Name], LocationsKey[Waterway])</f>
        <v>Fosseway Brook</v>
      </c>
      <c r="K948" t="s">
        <v>1861</v>
      </c>
      <c r="L948">
        <v>52.094423999999997</v>
      </c>
      <c r="M948">
        <v>-1.6759090000000001</v>
      </c>
      <c r="N948" t="s">
        <v>29</v>
      </c>
      <c r="O948">
        <v>935</v>
      </c>
      <c r="P948">
        <v>18</v>
      </c>
      <c r="Q948">
        <v>10</v>
      </c>
      <c r="R948" s="7" t="str">
        <f>IF(AllData[[#This Row],[Nitrate (PPM)]]&gt;2, "Very high", IF(AllData[[#This Row],[Nitrate (PPM)]]&gt;1, "High", IF(AllData[[#This Row],[Nitrate (PPM)]]&gt;0.5, "Some evidence", IF(AllData[[#This Row],[Nitrate (PPM)]]&gt;=0, "No evidence"))))</f>
        <v>Very high</v>
      </c>
      <c r="S948" s="4">
        <v>2.5</v>
      </c>
      <c r="T948" s="7" t="str">
        <f>IF(AllData[[#This Row],[Phosphate (PPM)]]&gt;0.5, "Very high", IF(AllData[[#This Row],[Phosphate (PPM)]]&gt;0.1, "High", IF(AllData[[#This Row],[Phosphate (PPM)]]&gt;0.05, "Some evidence", IF(AllData[[#This Row],[Phosphate (PPM)]]&lt;=0.05, "No Evidence", ""))))</f>
        <v>Very high</v>
      </c>
      <c r="U948">
        <v>0</v>
      </c>
      <c r="V948" t="s">
        <v>1910</v>
      </c>
    </row>
    <row r="949" spans="1:22" x14ac:dyDescent="0.25">
      <c r="A949" t="s">
        <v>1385</v>
      </c>
      <c r="B949" s="2">
        <v>45459</v>
      </c>
      <c r="C949" s="2" t="str" cm="1">
        <f t="array" ref="C9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49">
        <f>YEAR(AllData[[#This Row],[Date]])</f>
        <v>2024</v>
      </c>
      <c r="E949" s="1"/>
      <c r="F949" s="2" t="str">
        <f>IF(AND(AllData[[#This Row],[Time]]&lt;0.5, AllData[[#This Row],[Time]]&gt;0.17)=TRUE, "Morning", IF(AND(AllData[[#This Row],[Time]]&lt;0.75, AllData[[#This Row],[Time]]&gt;=0.5)=TRUE, "Afternoon", IF(AND(AllData[[#This Row],[Time]]&lt;1, AllData[[#This Row],[Time]]&gt;=0.75)=TRUE, "Evening", "Night")))</f>
        <v>Night</v>
      </c>
      <c r="G949" t="str">
        <f>_xlfn.XLOOKUP(AllData[[#This Row],[Location Name]], Locations[Location Name],Locations[Group As])</f>
        <v>Site 3  :  Severn Trent Water processing plant outflow</v>
      </c>
      <c r="H949" t="e" vm="2">
        <f>_xlfn.XLOOKUP(AllData[[#This Row],[Site Name]],LocationsKey[Site Name],LocationsKey[District])</f>
        <v>#VALUE!</v>
      </c>
      <c r="I949" t="e" vm="11">
        <f>_xlfn.XLOOKUP(AllData[[#This Row],[Site Name]],LocationsKey[Site Name],LocationsKey[Town])</f>
        <v>#VALUE!</v>
      </c>
      <c r="J949" t="str">
        <f>_xlfn.XLOOKUP(AllData[[#This Row],[Site Name]],LocationsKey[Site Name], LocationsKey[Waterway])</f>
        <v>Fosseway Brook</v>
      </c>
      <c r="K949" t="s">
        <v>1368</v>
      </c>
      <c r="L949">
        <v>52.094423999999997</v>
      </c>
      <c r="M949">
        <v>-1.6759090000000001</v>
      </c>
      <c r="N949" t="s">
        <v>29</v>
      </c>
      <c r="O949">
        <v>935</v>
      </c>
      <c r="P949">
        <v>18</v>
      </c>
      <c r="Q949">
        <v>10</v>
      </c>
      <c r="R949" s="7" t="str">
        <f>IF(AllData[[#This Row],[Nitrate (PPM)]]&gt;2, "Very high", IF(AllData[[#This Row],[Nitrate (PPM)]]&gt;1, "High", IF(AllData[[#This Row],[Nitrate (PPM)]]&gt;0.5, "Some evidence", IF(AllData[[#This Row],[Nitrate (PPM)]]&gt;=0, "No evidence"))))</f>
        <v>Very high</v>
      </c>
      <c r="S949" s="4">
        <v>2.5</v>
      </c>
      <c r="T949" s="7" t="str">
        <f>IF(AllData[[#This Row],[Phosphate (PPM)]]&gt;0.5, "Very high", IF(AllData[[#This Row],[Phosphate (PPM)]]&gt;0.1, "High", IF(AllData[[#This Row],[Phosphate (PPM)]]&gt;0.05, "Some evidence", IF(AllData[[#This Row],[Phosphate (PPM)]]&lt;=0.05, "No Evidence", ""))))</f>
        <v>Very high</v>
      </c>
    </row>
    <row r="950" spans="1:22" x14ac:dyDescent="0.25">
      <c r="A950" t="s">
        <v>1268</v>
      </c>
      <c r="B950" s="2">
        <v>45460</v>
      </c>
      <c r="C950" s="2" t="str" cm="1">
        <f t="array" ref="C9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0">
        <f>YEAR(AllData[[#This Row],[Date]])</f>
        <v>2024</v>
      </c>
      <c r="E950" s="1">
        <v>0.41458333333333336</v>
      </c>
      <c r="F950" s="2" t="str">
        <f>IF(AND(AllData[[#This Row],[Time]]&lt;0.5, AllData[[#This Row],[Time]]&gt;0.17)=TRUE, "Morning", IF(AND(AllData[[#This Row],[Time]]&lt;0.75, AllData[[#This Row],[Time]]&gt;=0.5)=TRUE, "Afternoon", IF(AND(AllData[[#This Row],[Time]]&lt;1, AllData[[#This Row],[Time]]&gt;=0.75)=TRUE, "Evening", "Night")))</f>
        <v>Morning</v>
      </c>
      <c r="G950" t="str">
        <f>_xlfn.XLOOKUP(AllData[[#This Row],[Location Name]], Locations[Location Name],Locations[Group As])</f>
        <v>Stour Stretton-on-Fosse Village</v>
      </c>
      <c r="H950" t="e" vm="2">
        <f>_xlfn.XLOOKUP(AllData[[#This Row],[Site Name]],LocationsKey[Site Name],LocationsKey[District])</f>
        <v>#VALUE!</v>
      </c>
      <c r="I950" t="e" vm="14">
        <f>_xlfn.XLOOKUP(AllData[[#This Row],[Site Name]],LocationsKey[Site Name],LocationsKey[Town])</f>
        <v>#VALUE!</v>
      </c>
      <c r="J950" t="str">
        <f>_xlfn.XLOOKUP(AllData[[#This Row],[Site Name]],LocationsKey[Site Name], LocationsKey[Waterway])</f>
        <v>Stour</v>
      </c>
      <c r="K950" t="s">
        <v>544</v>
      </c>
      <c r="L950">
        <v>52.046531999999999</v>
      </c>
      <c r="M950">
        <v>-1.6733690000000001</v>
      </c>
      <c r="N950" t="s">
        <v>66</v>
      </c>
      <c r="O950">
        <v>690</v>
      </c>
      <c r="P950">
        <v>12.6</v>
      </c>
      <c r="Q950">
        <v>0.5</v>
      </c>
      <c r="R950" s="7" t="str">
        <f>IF(AllData[[#This Row],[Nitrate (PPM)]]&gt;2, "Very high", IF(AllData[[#This Row],[Nitrate (PPM)]]&gt;1, "High", IF(AllData[[#This Row],[Nitrate (PPM)]]&gt;0.5, "Some evidence", IF(AllData[[#This Row],[Nitrate (PPM)]]&gt;=0, "No evidence"))))</f>
        <v>No evidence</v>
      </c>
      <c r="S950" s="4">
        <v>2.5</v>
      </c>
      <c r="T950" s="7" t="str">
        <f>IF(AllData[[#This Row],[Phosphate (PPM)]]&gt;0.5, "Very high", IF(AllData[[#This Row],[Phosphate (PPM)]]&gt;0.1, "High", IF(AllData[[#This Row],[Phosphate (PPM)]]&gt;0.05, "Some evidence", IF(AllData[[#This Row],[Phosphate (PPM)]]&lt;=0.05, "No Evidence", ""))))</f>
        <v>Very high</v>
      </c>
      <c r="U950">
        <v>0.2</v>
      </c>
      <c r="V950" t="s">
        <v>1269</v>
      </c>
    </row>
    <row r="951" spans="1:22" x14ac:dyDescent="0.25">
      <c r="A951" t="s">
        <v>1267</v>
      </c>
      <c r="B951" s="2">
        <v>45460</v>
      </c>
      <c r="C951" s="2" t="str" cm="1">
        <f t="array" ref="C9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1">
        <f>YEAR(AllData[[#This Row],[Date]])</f>
        <v>2024</v>
      </c>
      <c r="E951" s="1">
        <v>0.42222222222222222</v>
      </c>
      <c r="F951" s="2" t="str">
        <f>IF(AND(AllData[[#This Row],[Time]]&lt;0.5, AllData[[#This Row],[Time]]&gt;0.17)=TRUE, "Morning", IF(AND(AllData[[#This Row],[Time]]&lt;0.75, AllData[[#This Row],[Time]]&gt;=0.5)=TRUE, "Afternoon", IF(AND(AllData[[#This Row],[Time]]&lt;1, AllData[[#This Row],[Time]]&gt;=0.75)=TRUE, "Evening", "Night")))</f>
        <v>Morning</v>
      </c>
      <c r="G951" t="str">
        <f>_xlfn.XLOOKUP(AllData[[#This Row],[Location Name]], Locations[Location Name],Locations[Group As])</f>
        <v>Stour Stretton-on-Fosse Sewage Works</v>
      </c>
      <c r="H951" t="e" vm="2">
        <f>_xlfn.XLOOKUP(AllData[[#This Row],[Site Name]],LocationsKey[Site Name],LocationsKey[District])</f>
        <v>#VALUE!</v>
      </c>
      <c r="I951" t="e" vm="14">
        <f>_xlfn.XLOOKUP(AllData[[#This Row],[Site Name]],LocationsKey[Site Name],LocationsKey[Town])</f>
        <v>#VALUE!</v>
      </c>
      <c r="J951" t="str">
        <f>_xlfn.XLOOKUP(AllData[[#This Row],[Site Name]],LocationsKey[Site Name], LocationsKey[Waterway])</f>
        <v>Stour</v>
      </c>
      <c r="K951" t="s">
        <v>335</v>
      </c>
      <c r="L951">
        <v>52.045628999999998</v>
      </c>
      <c r="M951">
        <v>-1.6719729999999999</v>
      </c>
      <c r="N951" t="s">
        <v>29</v>
      </c>
      <c r="O951">
        <v>818</v>
      </c>
      <c r="P951">
        <v>14.4</v>
      </c>
      <c r="Q951">
        <v>2</v>
      </c>
      <c r="R951" s="7" t="str">
        <f>IF(AllData[[#This Row],[Nitrate (PPM)]]&gt;2, "Very high", IF(AllData[[#This Row],[Nitrate (PPM)]]&gt;1, "High", IF(AllData[[#This Row],[Nitrate (PPM)]]&gt;0.5, "Some evidence", IF(AllData[[#This Row],[Nitrate (PPM)]]&gt;=0, "No evidence"))))</f>
        <v>High</v>
      </c>
      <c r="S951" s="4">
        <v>2.5</v>
      </c>
      <c r="T951" s="7" t="str">
        <f>IF(AllData[[#This Row],[Phosphate (PPM)]]&gt;0.5, "Very high", IF(AllData[[#This Row],[Phosphate (PPM)]]&gt;0.1, "High", IF(AllData[[#This Row],[Phosphate (PPM)]]&gt;0.05, "Some evidence", IF(AllData[[#This Row],[Phosphate (PPM)]]&lt;=0.05, "No Evidence", ""))))</f>
        <v>Very high</v>
      </c>
      <c r="U951">
        <v>0.3</v>
      </c>
      <c r="V951" t="s">
        <v>1201</v>
      </c>
    </row>
    <row r="952" spans="1:22" x14ac:dyDescent="0.25">
      <c r="A952" t="s">
        <v>1272</v>
      </c>
      <c r="B952" s="2">
        <v>45461</v>
      </c>
      <c r="C952" s="2" t="str" cm="1">
        <f t="array" ref="C9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2">
        <f>YEAR(AllData[[#This Row],[Date]])</f>
        <v>2024</v>
      </c>
      <c r="E952" s="1">
        <v>0.4513888888888889</v>
      </c>
      <c r="F952" s="2" t="str">
        <f>IF(AND(AllData[[#This Row],[Time]]&lt;0.5, AllData[[#This Row],[Time]]&gt;0.17)=TRUE, "Morning", IF(AND(AllData[[#This Row],[Time]]&lt;0.75, AllData[[#This Row],[Time]]&gt;=0.5)=TRUE, "Afternoon", IF(AND(AllData[[#This Row],[Time]]&lt;1, AllData[[#This Row],[Time]]&gt;=0.75)=TRUE, "Evening", "Night")))</f>
        <v>Morning</v>
      </c>
      <c r="G952" t="str">
        <f>_xlfn.XLOOKUP(AllData[[#This Row],[Location Name]], Locations[Location Name],Locations[Group As])</f>
        <v>Carrant Mitton Path</v>
      </c>
      <c r="H952" t="e" vm="1">
        <f>_xlfn.XLOOKUP(AllData[[#This Row],[Site Name]],LocationsKey[Site Name],LocationsKey[District])</f>
        <v>#VALUE!</v>
      </c>
      <c r="I952" t="e" vm="1">
        <f>_xlfn.XLOOKUP(AllData[[#This Row],[Site Name]],LocationsKey[Site Name],LocationsKey[Town])</f>
        <v>#VALUE!</v>
      </c>
      <c r="J952" t="str">
        <f>_xlfn.XLOOKUP(AllData[[#This Row],[Site Name]],LocationsKey[Site Name], LocationsKey[Waterway])</f>
        <v>Carrant</v>
      </c>
      <c r="K952" t="s">
        <v>958</v>
      </c>
      <c r="L952">
        <v>51.999799000000003</v>
      </c>
      <c r="M952">
        <v>-2.1410619999999998</v>
      </c>
      <c r="N952" t="s">
        <v>23</v>
      </c>
      <c r="O952">
        <v>688</v>
      </c>
      <c r="P952">
        <v>16</v>
      </c>
      <c r="Q952">
        <v>4</v>
      </c>
      <c r="R952" s="7" t="str">
        <f>IF(AllData[[#This Row],[Nitrate (PPM)]]&gt;2, "Very high", IF(AllData[[#This Row],[Nitrate (PPM)]]&gt;1, "High", IF(AllData[[#This Row],[Nitrate (PPM)]]&gt;0.5, "Some evidence", IF(AllData[[#This Row],[Nitrate (PPM)]]&gt;=0, "No evidence"))))</f>
        <v>Very high</v>
      </c>
      <c r="S952" s="4">
        <v>0.56000000000000005</v>
      </c>
      <c r="T952" s="7" t="str">
        <f>IF(AllData[[#This Row],[Phosphate (PPM)]]&gt;0.5, "Very high", IF(AllData[[#This Row],[Phosphate (PPM)]]&gt;0.1, "High", IF(AllData[[#This Row],[Phosphate (PPM)]]&gt;0.05, "Some evidence", IF(AllData[[#This Row],[Phosphate (PPM)]]&lt;=0.05, "No Evidence", ""))))</f>
        <v>Very high</v>
      </c>
      <c r="U952">
        <v>0</v>
      </c>
    </row>
    <row r="953" spans="1:22" x14ac:dyDescent="0.25">
      <c r="A953" t="s">
        <v>1271</v>
      </c>
      <c r="B953" s="2">
        <v>45461</v>
      </c>
      <c r="C953" s="2" t="str" cm="1">
        <f t="array" ref="C9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3">
        <f>YEAR(AllData[[#This Row],[Date]])</f>
        <v>2024</v>
      </c>
      <c r="E953" s="1">
        <v>0.46736111111111112</v>
      </c>
      <c r="F953" s="2" t="str">
        <f>IF(AND(AllData[[#This Row],[Time]]&lt;0.5, AllData[[#This Row],[Time]]&gt;0.17)=TRUE, "Morning", IF(AND(AllData[[#This Row],[Time]]&lt;0.75, AllData[[#This Row],[Time]]&gt;=0.5)=TRUE, "Afternoon", IF(AND(AllData[[#This Row],[Time]]&lt;1, AllData[[#This Row],[Time]]&gt;=0.75)=TRUE, "Evening", "Night")))</f>
        <v>Morning</v>
      </c>
      <c r="G953" t="str">
        <f>_xlfn.XLOOKUP(AllData[[#This Row],[Location Name]], Locations[Location Name],Locations[Group As])</f>
        <v>Carrant M5 Bridge</v>
      </c>
      <c r="H953" t="e" vm="1">
        <f>_xlfn.XLOOKUP(AllData[[#This Row],[Site Name]],LocationsKey[Site Name],LocationsKey[District])</f>
        <v>#VALUE!</v>
      </c>
      <c r="I953" t="e" vm="1">
        <f>_xlfn.XLOOKUP(AllData[[#This Row],[Site Name]],LocationsKey[Site Name],LocationsKey[Town])</f>
        <v>#VALUE!</v>
      </c>
      <c r="J953" t="str">
        <f>_xlfn.XLOOKUP(AllData[[#This Row],[Site Name]],LocationsKey[Site Name], LocationsKey[Waterway])</f>
        <v>Carrant</v>
      </c>
      <c r="K953" t="s">
        <v>960</v>
      </c>
      <c r="L953">
        <v>52.011493999999999</v>
      </c>
      <c r="M953">
        <v>-2.1196660000000001</v>
      </c>
      <c r="N953" t="s">
        <v>23</v>
      </c>
      <c r="O953">
        <v>742</v>
      </c>
      <c r="P953">
        <v>16.100000000000001</v>
      </c>
      <c r="Q953">
        <v>5</v>
      </c>
      <c r="R953" s="7" t="str">
        <f>IF(AllData[[#This Row],[Nitrate (PPM)]]&gt;2, "Very high", IF(AllData[[#This Row],[Nitrate (PPM)]]&gt;1, "High", IF(AllData[[#This Row],[Nitrate (PPM)]]&gt;0.5, "Some evidence", IF(AllData[[#This Row],[Nitrate (PPM)]]&gt;=0, "No evidence"))))</f>
        <v>Very high</v>
      </c>
      <c r="S953" s="4">
        <v>0.48</v>
      </c>
      <c r="T953" s="7" t="str">
        <f>IF(AllData[[#This Row],[Phosphate (PPM)]]&gt;0.5, "Very high", IF(AllData[[#This Row],[Phosphate (PPM)]]&gt;0.1, "High", IF(AllData[[#This Row],[Phosphate (PPM)]]&gt;0.05, "Some evidence", IF(AllData[[#This Row],[Phosphate (PPM)]]&lt;=0.05, "No Evidence", ""))))</f>
        <v>High</v>
      </c>
      <c r="U953">
        <v>0</v>
      </c>
    </row>
    <row r="954" spans="1:22" x14ac:dyDescent="0.25">
      <c r="A954" t="s">
        <v>1270</v>
      </c>
      <c r="B954" s="2">
        <v>45461</v>
      </c>
      <c r="C954" s="2" t="str" cm="1">
        <f t="array" ref="C9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4">
        <f>YEAR(AllData[[#This Row],[Date]])</f>
        <v>2024</v>
      </c>
      <c r="E954" s="1">
        <v>0.61736111111111114</v>
      </c>
      <c r="F954" s="2" t="str">
        <f>IF(AND(AllData[[#This Row],[Time]]&lt;0.5, AllData[[#This Row],[Time]]&gt;0.17)=TRUE, "Morning", IF(AND(AllData[[#This Row],[Time]]&lt;0.75, AllData[[#This Row],[Time]]&gt;=0.5)=TRUE, "Afternoon", IF(AND(AllData[[#This Row],[Time]]&lt;1, AllData[[#This Row],[Time]]&gt;=0.75)=TRUE, "Evening", "Night")))</f>
        <v>Afternoon</v>
      </c>
      <c r="G954" t="str">
        <f>_xlfn.XLOOKUP(AllData[[#This Row],[Location Name]], Locations[Location Name],Locations[Group As])</f>
        <v>Abbey Mill</v>
      </c>
      <c r="H954" t="e" vm="1">
        <f>_xlfn.XLOOKUP(AllData[[#This Row],[Site Name]],LocationsKey[Site Name],LocationsKey[District])</f>
        <v>#VALUE!</v>
      </c>
      <c r="I954" t="e" vm="1">
        <f>_xlfn.XLOOKUP(AllData[[#This Row],[Site Name]],LocationsKey[Site Name],LocationsKey[Town])</f>
        <v>#VALUE!</v>
      </c>
      <c r="J954" t="str">
        <f>_xlfn.XLOOKUP(AllData[[#This Row],[Site Name]],LocationsKey[Site Name], LocationsKey[Waterway])</f>
        <v>Avon</v>
      </c>
      <c r="K954" t="s">
        <v>25</v>
      </c>
      <c r="L954">
        <v>51.991249000000003</v>
      </c>
      <c r="M954">
        <v>-2.1626020000000001</v>
      </c>
      <c r="N954" t="s">
        <v>23</v>
      </c>
      <c r="O954">
        <v>1010</v>
      </c>
      <c r="P954">
        <v>17.100000000000001</v>
      </c>
      <c r="Q954">
        <v>10</v>
      </c>
      <c r="R954" s="7" t="str">
        <f>IF(AllData[[#This Row],[Nitrate (PPM)]]&gt;2, "Very high", IF(AllData[[#This Row],[Nitrate (PPM)]]&gt;1, "High", IF(AllData[[#This Row],[Nitrate (PPM)]]&gt;0.5, "Some evidence", IF(AllData[[#This Row],[Nitrate (PPM)]]&gt;=0, "No evidence"))))</f>
        <v>Very high</v>
      </c>
      <c r="S954" s="4">
        <v>0.65</v>
      </c>
      <c r="T954" s="7" t="str">
        <f>IF(AllData[[#This Row],[Phosphate (PPM)]]&gt;0.5, "Very high", IF(AllData[[#This Row],[Phosphate (PPM)]]&gt;0.1, "High", IF(AllData[[#This Row],[Phosphate (PPM)]]&gt;0.05, "Some evidence", IF(AllData[[#This Row],[Phosphate (PPM)]]&lt;=0.05, "No Evidence", ""))))</f>
        <v>Very high</v>
      </c>
      <c r="U954">
        <v>0.5</v>
      </c>
    </row>
    <row r="955" spans="1:22" x14ac:dyDescent="0.25">
      <c r="A955" t="s">
        <v>1273</v>
      </c>
      <c r="B955" s="2">
        <v>45462</v>
      </c>
      <c r="C955" s="2" t="str" cm="1">
        <f t="array" ref="C9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5">
        <f>YEAR(AllData[[#This Row],[Date]])</f>
        <v>2024</v>
      </c>
      <c r="E955" s="1">
        <v>0.52638888888888891</v>
      </c>
      <c r="F955" s="2" t="str">
        <f>IF(AND(AllData[[#This Row],[Time]]&lt;0.5, AllData[[#This Row],[Time]]&gt;0.17)=TRUE, "Morning", IF(AND(AllData[[#This Row],[Time]]&lt;0.75, AllData[[#This Row],[Time]]&gt;=0.5)=TRUE, "Afternoon", IF(AND(AllData[[#This Row],[Time]]&lt;1, AllData[[#This Row],[Time]]&gt;=0.75)=TRUE, "Evening", "Night")))</f>
        <v>Afternoon</v>
      </c>
      <c r="G955" t="str">
        <f>_xlfn.XLOOKUP(AllData[[#This Row],[Location Name]], Locations[Location Name],Locations[Group As])</f>
        <v>Swiffen Bank</v>
      </c>
      <c r="H955" t="e" vm="2">
        <f>_xlfn.XLOOKUP(AllData[[#This Row],[Site Name]],LocationsKey[Site Name],LocationsKey[District])</f>
        <v>#VALUE!</v>
      </c>
      <c r="I955" t="e" vm="13">
        <f>_xlfn.XLOOKUP(AllData[[#This Row],[Site Name]],LocationsKey[Site Name],LocationsKey[Town])</f>
        <v>#VALUE!</v>
      </c>
      <c r="J955" t="str">
        <f>_xlfn.XLOOKUP(AllData[[#This Row],[Site Name]],LocationsKey[Site Name], LocationsKey[Waterway])</f>
        <v>Avon</v>
      </c>
      <c r="K955" t="s">
        <v>284</v>
      </c>
      <c r="L955">
        <v>52.206468000000001</v>
      </c>
      <c r="M955">
        <v>-1.653894</v>
      </c>
      <c r="N955" t="s">
        <v>29</v>
      </c>
      <c r="O955" s="219">
        <v>685</v>
      </c>
      <c r="P955">
        <v>17.7</v>
      </c>
      <c r="Q955" s="219">
        <v>10</v>
      </c>
      <c r="R955" s="7" t="str">
        <f>IF(AllData[[#This Row],[Nitrate (PPM)]]&gt;2, "Very high", IF(AllData[[#This Row],[Nitrate (PPM)]]&gt;1, "High", IF(AllData[[#This Row],[Nitrate (PPM)]]&gt;0.5, "Some evidence", IF(AllData[[#This Row],[Nitrate (PPM)]]&gt;=0, "No evidence"))))</f>
        <v>Very high</v>
      </c>
      <c r="S955" s="221">
        <v>0.15</v>
      </c>
      <c r="T955" s="7" t="str">
        <f>IF(AllData[[#This Row],[Phosphate (PPM)]]&gt;0.5, "Very high", IF(AllData[[#This Row],[Phosphate (PPM)]]&gt;0.1, "High", IF(AllData[[#This Row],[Phosphate (PPM)]]&gt;0.05, "Some evidence", IF(AllData[[#This Row],[Phosphate (PPM)]]&lt;=0.05, "No Evidence", ""))))</f>
        <v>High</v>
      </c>
      <c r="U955">
        <v>0</v>
      </c>
      <c r="V955" t="s">
        <v>1274</v>
      </c>
    </row>
    <row r="956" spans="1:22" x14ac:dyDescent="0.25">
      <c r="A956" t="s">
        <v>1275</v>
      </c>
      <c r="B956" s="2">
        <v>45462</v>
      </c>
      <c r="C956" s="2" t="str" cm="1">
        <f t="array" ref="C9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6">
        <f>YEAR(AllData[[#This Row],[Date]])</f>
        <v>2024</v>
      </c>
      <c r="E956" s="1">
        <v>0.55000000000000004</v>
      </c>
      <c r="F956" s="2" t="str">
        <f>IF(AND(AllData[[#This Row],[Time]]&lt;0.5, AllData[[#This Row],[Time]]&gt;0.17)=TRUE, "Morning", IF(AND(AllData[[#This Row],[Time]]&lt;0.75, AllData[[#This Row],[Time]]&gt;=0.5)=TRUE, "Afternoon", IF(AND(AllData[[#This Row],[Time]]&lt;1, AllData[[#This Row],[Time]]&gt;=0.75)=TRUE, "Evening", "Night")))</f>
        <v>Afternoon</v>
      </c>
      <c r="G956" t="str">
        <f>_xlfn.XLOOKUP(AllData[[#This Row],[Location Name]], Locations[Location Name],Locations[Group As])</f>
        <v>Alveston Weir</v>
      </c>
      <c r="H956" t="e" vm="2">
        <f>_xlfn.XLOOKUP(AllData[[#This Row],[Site Name]],LocationsKey[Site Name],LocationsKey[District])</f>
        <v>#VALUE!</v>
      </c>
      <c r="I956" t="e" vm="13">
        <f>_xlfn.XLOOKUP(AllData[[#This Row],[Site Name]],LocationsKey[Site Name],LocationsKey[Town])</f>
        <v>#VALUE!</v>
      </c>
      <c r="J956" t="str">
        <f>_xlfn.XLOOKUP(AllData[[#This Row],[Site Name]],LocationsKey[Site Name], LocationsKey[Waterway])</f>
        <v>Avon</v>
      </c>
      <c r="K956" t="s">
        <v>286</v>
      </c>
      <c r="L956">
        <v>52.212288999999998</v>
      </c>
      <c r="M956">
        <v>-1.660452</v>
      </c>
      <c r="N956" t="s">
        <v>29</v>
      </c>
      <c r="O956" s="219">
        <v>777</v>
      </c>
      <c r="P956">
        <v>19.100000000000001</v>
      </c>
      <c r="Q956" s="219">
        <v>5</v>
      </c>
      <c r="R956" s="7" t="str">
        <f>IF(AllData[[#This Row],[Nitrate (PPM)]]&gt;2, "Very high", IF(AllData[[#This Row],[Nitrate (PPM)]]&gt;1, "High", IF(AllData[[#This Row],[Nitrate (PPM)]]&gt;0.5, "Some evidence", IF(AllData[[#This Row],[Nitrate (PPM)]]&gt;=0, "No evidence"))))</f>
        <v>Very high</v>
      </c>
      <c r="S956" s="221">
        <v>0.41</v>
      </c>
      <c r="T956" s="7" t="str">
        <f>IF(AllData[[#This Row],[Phosphate (PPM)]]&gt;0.5, "Very high", IF(AllData[[#This Row],[Phosphate (PPM)]]&gt;0.1, "High", IF(AllData[[#This Row],[Phosphate (PPM)]]&gt;0.05, "Some evidence", IF(AllData[[#This Row],[Phosphate (PPM)]]&lt;=0.05, "No Evidence", ""))))</f>
        <v>High</v>
      </c>
      <c r="U956">
        <v>0</v>
      </c>
    </row>
    <row r="957" spans="1:22" x14ac:dyDescent="0.25">
      <c r="A957" t="s">
        <v>1276</v>
      </c>
      <c r="B957" s="2">
        <v>45463</v>
      </c>
      <c r="C957" s="2" t="str" cm="1">
        <f t="array" ref="C9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7">
        <f>YEAR(AllData[[#This Row],[Date]])</f>
        <v>2024</v>
      </c>
      <c r="E957" s="1">
        <v>0.67708333333333337</v>
      </c>
      <c r="F957" s="2" t="str">
        <f>IF(AND(AllData[[#This Row],[Time]]&lt;0.5, AllData[[#This Row],[Time]]&gt;0.17)=TRUE, "Morning", IF(AND(AllData[[#This Row],[Time]]&lt;0.75, AllData[[#This Row],[Time]]&gt;=0.5)=TRUE, "Afternoon", IF(AND(AllData[[#This Row],[Time]]&lt;1, AllData[[#This Row],[Time]]&gt;=0.75)=TRUE, "Evening", "Night")))</f>
        <v>Afternoon</v>
      </c>
      <c r="G957" t="str">
        <f>_xlfn.XLOOKUP(AllData[[#This Row],[Location Name]], Locations[Location Name],Locations[Group As])</f>
        <v>The Ford, Langley</v>
      </c>
      <c r="H957" t="e" vm="2">
        <f>_xlfn.XLOOKUP(AllData[[#This Row],[Site Name]],LocationsKey[Site Name],LocationsKey[District])</f>
        <v>#VALUE!</v>
      </c>
      <c r="I957" t="str">
        <f>_xlfn.XLOOKUP(AllData[[#This Row],[Site Name]],LocationsKey[Site Name],LocationsKey[Town])</f>
        <v>Langley</v>
      </c>
      <c r="J957" t="str">
        <f>_xlfn.XLOOKUP(AllData[[#This Row],[Site Name]],LocationsKey[Site Name], LocationsKey[Waterway])</f>
        <v>Langley Ford</v>
      </c>
      <c r="K957" t="s">
        <v>557</v>
      </c>
      <c r="L957">
        <v>52.269112999999997</v>
      </c>
      <c r="M957">
        <v>-1.723298</v>
      </c>
      <c r="N957" t="s">
        <v>29</v>
      </c>
      <c r="O957">
        <v>861</v>
      </c>
      <c r="P957">
        <v>15.1</v>
      </c>
      <c r="Q957">
        <v>5</v>
      </c>
      <c r="R957" s="7" t="str">
        <f>IF(AllData[[#This Row],[Nitrate (PPM)]]&gt;2, "Very high", IF(AllData[[#This Row],[Nitrate (PPM)]]&gt;1, "High", IF(AllData[[#This Row],[Nitrate (PPM)]]&gt;0.5, "Some evidence", IF(AllData[[#This Row],[Nitrate (PPM)]]&gt;=0, "No evidence"))))</f>
        <v>Very high</v>
      </c>
      <c r="S957" s="4">
        <v>0.7</v>
      </c>
      <c r="T957" s="7" t="str">
        <f>IF(AllData[[#This Row],[Phosphate (PPM)]]&gt;0.5, "Very high", IF(AllData[[#This Row],[Phosphate (PPM)]]&gt;0.1, "High", IF(AllData[[#This Row],[Phosphate (PPM)]]&gt;0.05, "Some evidence", IF(AllData[[#This Row],[Phosphate (PPM)]]&lt;=0.05, "No Evidence", ""))))</f>
        <v>Very high</v>
      </c>
      <c r="U957">
        <v>0.1</v>
      </c>
    </row>
    <row r="958" spans="1:22" x14ac:dyDescent="0.25">
      <c r="A958" t="s">
        <v>1278</v>
      </c>
      <c r="B958" s="2">
        <v>45464</v>
      </c>
      <c r="C958" s="2" t="str" cm="1">
        <f t="array" ref="C9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8">
        <f>YEAR(AllData[[#This Row],[Date]])</f>
        <v>2024</v>
      </c>
      <c r="E958" s="1">
        <v>0.35416666666666669</v>
      </c>
      <c r="F958" s="2" t="str">
        <f>IF(AND(AllData[[#This Row],[Time]]&lt;0.5, AllData[[#This Row],[Time]]&gt;0.17)=TRUE, "Morning", IF(AND(AllData[[#This Row],[Time]]&lt;0.75, AllData[[#This Row],[Time]]&gt;=0.5)=TRUE, "Afternoon", IF(AND(AllData[[#This Row],[Time]]&lt;1, AllData[[#This Row],[Time]]&gt;=0.75)=TRUE, "Evening", "Night")))</f>
        <v>Morning</v>
      </c>
      <c r="G958" t="str">
        <f>_xlfn.XLOOKUP(AllData[[#This Row],[Location Name]], Locations[Location Name],Locations[Group As])</f>
        <v>Swilgate</v>
      </c>
      <c r="H958" t="e" vm="1">
        <f>_xlfn.XLOOKUP(AllData[[#This Row],[Site Name]],LocationsKey[Site Name],LocationsKey[District])</f>
        <v>#VALUE!</v>
      </c>
      <c r="I958" t="e" vm="1">
        <f>_xlfn.XLOOKUP(AllData[[#This Row],[Site Name]],LocationsKey[Site Name],LocationsKey[Town])</f>
        <v>#VALUE!</v>
      </c>
      <c r="J958" t="str">
        <f>_xlfn.XLOOKUP(AllData[[#This Row],[Site Name]],LocationsKey[Site Name], LocationsKey[Waterway])</f>
        <v>Swilgate</v>
      </c>
      <c r="K958" t="s">
        <v>84</v>
      </c>
      <c r="N958" t="s">
        <v>23</v>
      </c>
      <c r="O958">
        <v>965</v>
      </c>
      <c r="P958">
        <v>17.100000000000001</v>
      </c>
      <c r="Q958">
        <v>4</v>
      </c>
      <c r="R958" s="7" t="str">
        <f>IF(AllData[[#This Row],[Nitrate (PPM)]]&gt;2, "Very high", IF(AllData[[#This Row],[Nitrate (PPM)]]&gt;1, "High", IF(AllData[[#This Row],[Nitrate (PPM)]]&gt;0.5, "Some evidence", IF(AllData[[#This Row],[Nitrate (PPM)]]&gt;=0, "No evidence"))))</f>
        <v>Very high</v>
      </c>
      <c r="S958" s="4">
        <v>1.28</v>
      </c>
      <c r="T958" s="7" t="str">
        <f>IF(AllData[[#This Row],[Phosphate (PPM)]]&gt;0.5, "Very high", IF(AllData[[#This Row],[Phosphate (PPM)]]&gt;0.1, "High", IF(AllData[[#This Row],[Phosphate (PPM)]]&gt;0.05, "Some evidence", IF(AllData[[#This Row],[Phosphate (PPM)]]&lt;=0.05, "No Evidence", ""))))</f>
        <v>Very high</v>
      </c>
      <c r="U958">
        <v>0</v>
      </c>
    </row>
    <row r="959" spans="1:22" x14ac:dyDescent="0.25">
      <c r="A959" t="s">
        <v>1277</v>
      </c>
      <c r="B959" s="2">
        <v>45464</v>
      </c>
      <c r="C959" s="2" t="str" cm="1">
        <f t="array" ref="C9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59">
        <f>YEAR(AllData[[#This Row],[Date]])</f>
        <v>2024</v>
      </c>
      <c r="E959" s="1">
        <v>0.47916666666666669</v>
      </c>
      <c r="F959" s="2" t="str">
        <f>IF(AND(AllData[[#This Row],[Time]]&lt;0.5, AllData[[#This Row],[Time]]&gt;0.17)=TRUE, "Morning", IF(AND(AllData[[#This Row],[Time]]&lt;0.75, AllData[[#This Row],[Time]]&gt;=0.5)=TRUE, "Afternoon", IF(AND(AllData[[#This Row],[Time]]&lt;1, AllData[[#This Row],[Time]]&gt;=0.75)=TRUE, "Evening", "Night")))</f>
        <v>Morning</v>
      </c>
      <c r="G959" t="str">
        <f>_xlfn.XLOOKUP(AllData[[#This Row],[Location Name]], Locations[Location Name],Locations[Group As])</f>
        <v>Stour Willington</v>
      </c>
      <c r="H959" t="e" vm="2">
        <f>_xlfn.XLOOKUP(AllData[[#This Row],[Site Name]],LocationsKey[Site Name],LocationsKey[District])</f>
        <v>#VALUE!</v>
      </c>
      <c r="I959" t="str">
        <f>_xlfn.XLOOKUP(AllData[[#This Row],[Site Name]],LocationsKey[Site Name],LocationsKey[Town])</f>
        <v>Willington</v>
      </c>
      <c r="J959" t="str">
        <f>_xlfn.XLOOKUP(AllData[[#This Row],[Site Name]],LocationsKey[Site Name], LocationsKey[Waterway])</f>
        <v>Stour</v>
      </c>
      <c r="K959" t="s">
        <v>517</v>
      </c>
      <c r="L959">
        <v>52.053550999999999</v>
      </c>
      <c r="M959">
        <v>-1.620139</v>
      </c>
      <c r="N959" t="s">
        <v>23</v>
      </c>
      <c r="O959">
        <v>619</v>
      </c>
      <c r="P959">
        <v>15.7</v>
      </c>
      <c r="Q959">
        <v>5</v>
      </c>
      <c r="R959" s="7" t="str">
        <f>IF(AllData[[#This Row],[Nitrate (PPM)]]&gt;2, "Very high", IF(AllData[[#This Row],[Nitrate (PPM)]]&gt;1, "High", IF(AllData[[#This Row],[Nitrate (PPM)]]&gt;0.5, "Some evidence", IF(AllData[[#This Row],[Nitrate (PPM)]]&gt;=0, "No evidence"))))</f>
        <v>Very high</v>
      </c>
      <c r="S959" s="4">
        <v>0.49</v>
      </c>
      <c r="T959" s="7" t="str">
        <f>IF(AllData[[#This Row],[Phosphate (PPM)]]&gt;0.5, "Very high", IF(AllData[[#This Row],[Phosphate (PPM)]]&gt;0.1, "High", IF(AllData[[#This Row],[Phosphate (PPM)]]&gt;0.05, "Some evidence", IF(AllData[[#This Row],[Phosphate (PPM)]]&lt;=0.05, "No Evidence", ""))))</f>
        <v>High</v>
      </c>
      <c r="U959">
        <v>0.5</v>
      </c>
    </row>
    <row r="960" spans="1:22" x14ac:dyDescent="0.25">
      <c r="A960" t="s">
        <v>1283</v>
      </c>
      <c r="B960" s="2">
        <v>45465</v>
      </c>
      <c r="C960" s="2" t="str" cm="1">
        <f t="array" ref="C9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0">
        <f>YEAR(AllData[[#This Row],[Date]])</f>
        <v>2024</v>
      </c>
      <c r="E960" s="1">
        <v>0.41736111111111113</v>
      </c>
      <c r="F960" s="2" t="str">
        <f>IF(AND(AllData[[#This Row],[Time]]&lt;0.5, AllData[[#This Row],[Time]]&gt;0.17)=TRUE, "Morning", IF(AND(AllData[[#This Row],[Time]]&lt;0.75, AllData[[#This Row],[Time]]&gt;=0.5)=TRUE, "Afternoon", IF(AND(AllData[[#This Row],[Time]]&lt;1, AllData[[#This Row],[Time]]&gt;=0.75)=TRUE, "Evening", "Night")))</f>
        <v>Morning</v>
      </c>
      <c r="G960" t="str">
        <f>_xlfn.XLOOKUP(AllData[[#This Row],[Location Name]], Locations[Location Name],Locations[Group As])</f>
        <v>Avon Smiths Meadow Wyre Piddle</v>
      </c>
      <c r="H960" t="e" vm="17">
        <f>_xlfn.XLOOKUP(AllData[[#This Row],[Site Name]],LocationsKey[Site Name],LocationsKey[District])</f>
        <v>#VALUE!</v>
      </c>
      <c r="I960" t="e" vm="20">
        <f>_xlfn.XLOOKUP(AllData[[#This Row],[Site Name]],LocationsKey[Site Name],LocationsKey[Town])</f>
        <v>#VALUE!</v>
      </c>
      <c r="J960" t="str">
        <f>_xlfn.XLOOKUP(AllData[[#This Row],[Site Name]],LocationsKey[Site Name], LocationsKey[Waterway])</f>
        <v>Avon</v>
      </c>
      <c r="K960" t="s">
        <v>741</v>
      </c>
      <c r="L960">
        <v>52.123027</v>
      </c>
      <c r="M960">
        <v>-2.0574509999999999</v>
      </c>
      <c r="N960" t="s">
        <v>23</v>
      </c>
      <c r="O960">
        <v>991</v>
      </c>
      <c r="P960">
        <v>19</v>
      </c>
      <c r="Q960">
        <v>15</v>
      </c>
      <c r="R960" s="7" t="str">
        <f>IF(AllData[[#This Row],[Nitrate (PPM)]]&gt;2, "Very high", IF(AllData[[#This Row],[Nitrate (PPM)]]&gt;1, "High", IF(AllData[[#This Row],[Nitrate (PPM)]]&gt;0.5, "Some evidence", IF(AllData[[#This Row],[Nitrate (PPM)]]&gt;=0, "No evidence"))))</f>
        <v>Very high</v>
      </c>
      <c r="S960" s="4">
        <v>0.62</v>
      </c>
      <c r="T960" s="7" t="str">
        <f>IF(AllData[[#This Row],[Phosphate (PPM)]]&gt;0.5, "Very high", IF(AllData[[#This Row],[Phosphate (PPM)]]&gt;0.1, "High", IF(AllData[[#This Row],[Phosphate (PPM)]]&gt;0.05, "Some evidence", IF(AllData[[#This Row],[Phosphate (PPM)]]&lt;=0.05, "No Evidence", ""))))</f>
        <v>Very high</v>
      </c>
      <c r="U960">
        <v>0.66</v>
      </c>
      <c r="V960" t="s">
        <v>1284</v>
      </c>
    </row>
    <row r="961" spans="1:22" x14ac:dyDescent="0.25">
      <c r="A961" t="s">
        <v>1280</v>
      </c>
      <c r="B961" s="2">
        <v>45465</v>
      </c>
      <c r="C961" s="2" t="str" cm="1">
        <f t="array" ref="C9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1">
        <f>YEAR(AllData[[#This Row],[Date]])</f>
        <v>2024</v>
      </c>
      <c r="E961" s="1">
        <v>0.4375</v>
      </c>
      <c r="F961" s="2" t="str">
        <f>IF(AND(AllData[[#This Row],[Time]]&lt;0.5, AllData[[#This Row],[Time]]&gt;0.17)=TRUE, "Morning", IF(AND(AllData[[#This Row],[Time]]&lt;0.75, AllData[[#This Row],[Time]]&gt;=0.5)=TRUE, "Afternoon", IF(AND(AllData[[#This Row],[Time]]&lt;1, AllData[[#This Row],[Time]]&gt;=0.75)=TRUE, "Evening", "Night")))</f>
        <v>Morning</v>
      </c>
      <c r="G961" t="str">
        <f>_xlfn.XLOOKUP(AllData[[#This Row],[Location Name]], Locations[Location Name],Locations[Group As])</f>
        <v>Piddle Brook Wyre Piddle Bridge</v>
      </c>
      <c r="H961" t="e" vm="17">
        <f>_xlfn.XLOOKUP(AllData[[#This Row],[Site Name]],LocationsKey[Site Name],LocationsKey[District])</f>
        <v>#VALUE!</v>
      </c>
      <c r="I961" t="e" vm="20">
        <f>_xlfn.XLOOKUP(AllData[[#This Row],[Site Name]],LocationsKey[Site Name],LocationsKey[Town])</f>
        <v>#VALUE!</v>
      </c>
      <c r="J961" t="str">
        <f>_xlfn.XLOOKUP(AllData[[#This Row],[Site Name]],LocationsKey[Site Name], LocationsKey[Waterway])</f>
        <v>Piddle Brook</v>
      </c>
      <c r="K961" t="s">
        <v>744</v>
      </c>
      <c r="L961">
        <v>52.126404000000001</v>
      </c>
      <c r="M961">
        <v>-2.0565410000000002</v>
      </c>
      <c r="N961" t="s">
        <v>23</v>
      </c>
      <c r="O961">
        <v>1650</v>
      </c>
      <c r="P961">
        <v>17.100000000000001</v>
      </c>
      <c r="Q961">
        <v>10</v>
      </c>
      <c r="R961" s="7" t="str">
        <f>IF(AllData[[#This Row],[Nitrate (PPM)]]&gt;2, "Very high", IF(AllData[[#This Row],[Nitrate (PPM)]]&gt;1, "High", IF(AllData[[#This Row],[Nitrate (PPM)]]&gt;0.5, "Some evidence", IF(AllData[[#This Row],[Nitrate (PPM)]]&gt;=0, "No evidence"))))</f>
        <v>Very high</v>
      </c>
      <c r="S961" s="4">
        <v>1.1000000000000001</v>
      </c>
      <c r="T961" s="7" t="str">
        <f>IF(AllData[[#This Row],[Phosphate (PPM)]]&gt;0.5, "Very high", IF(AllData[[#This Row],[Phosphate (PPM)]]&gt;0.1, "High", IF(AllData[[#This Row],[Phosphate (PPM)]]&gt;0.05, "Some evidence", IF(AllData[[#This Row],[Phosphate (PPM)]]&lt;=0.05, "No Evidence", ""))))</f>
        <v>Very high</v>
      </c>
      <c r="U961">
        <v>0.17</v>
      </c>
      <c r="V961" t="s">
        <v>1281</v>
      </c>
    </row>
    <row r="962" spans="1:22" x14ac:dyDescent="0.25">
      <c r="A962" t="s">
        <v>1279</v>
      </c>
      <c r="B962" s="2">
        <v>45465</v>
      </c>
      <c r="C962" s="2" t="str" cm="1">
        <f t="array" ref="C9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2">
        <f>YEAR(AllData[[#This Row],[Date]])</f>
        <v>2024</v>
      </c>
      <c r="E962" s="1">
        <v>0.52083333333333337</v>
      </c>
      <c r="F962" s="2" t="str">
        <f>IF(AND(AllData[[#This Row],[Time]]&lt;0.5, AllData[[#This Row],[Time]]&gt;0.17)=TRUE, "Morning", IF(AND(AllData[[#This Row],[Time]]&lt;0.75, AllData[[#This Row],[Time]]&gt;=0.5)=TRUE, "Afternoon", IF(AND(AllData[[#This Row],[Time]]&lt;1, AllData[[#This Row],[Time]]&gt;=0.75)=TRUE, "Evening", "Night")))</f>
        <v>Afternoon</v>
      </c>
      <c r="G962" t="str">
        <f>_xlfn.XLOOKUP(AllData[[#This Row],[Location Name]], Locations[Location Name],Locations[Group As])</f>
        <v>Carrant Bredon Rd</v>
      </c>
      <c r="H962" t="e" vm="1">
        <f>_xlfn.XLOOKUP(AllData[[#This Row],[Site Name]],LocationsKey[Site Name],LocationsKey[District])</f>
        <v>#VALUE!</v>
      </c>
      <c r="I962" t="e" vm="1">
        <f>_xlfn.XLOOKUP(AllData[[#This Row],[Site Name]],LocationsKey[Site Name],LocationsKey[Town])</f>
        <v>#VALUE!</v>
      </c>
      <c r="J962" t="str">
        <f>_xlfn.XLOOKUP(AllData[[#This Row],[Site Name]],LocationsKey[Site Name], LocationsKey[Waterway])</f>
        <v>Carrant</v>
      </c>
      <c r="K962" t="s">
        <v>600</v>
      </c>
      <c r="L962">
        <v>51.996174000000003</v>
      </c>
      <c r="M962">
        <v>-2.1561189999999999</v>
      </c>
      <c r="N962" t="s">
        <v>23</v>
      </c>
      <c r="O962">
        <v>733</v>
      </c>
      <c r="P962">
        <v>17.3</v>
      </c>
      <c r="Q962">
        <v>5</v>
      </c>
      <c r="R962" s="7" t="str">
        <f>IF(AllData[[#This Row],[Nitrate (PPM)]]&gt;2, "Very high", IF(AllData[[#This Row],[Nitrate (PPM)]]&gt;1, "High", IF(AllData[[#This Row],[Nitrate (PPM)]]&gt;0.5, "Some evidence", IF(AllData[[#This Row],[Nitrate (PPM)]]&gt;=0, "No evidence"))))</f>
        <v>Very high</v>
      </c>
      <c r="S962" s="4">
        <v>0.41</v>
      </c>
      <c r="T962" s="7" t="str">
        <f>IF(AllData[[#This Row],[Phosphate (PPM)]]&gt;0.5, "Very high", IF(AllData[[#This Row],[Phosphate (PPM)]]&gt;0.1, "High", IF(AllData[[#This Row],[Phosphate (PPM)]]&gt;0.05, "Some evidence", IF(AllData[[#This Row],[Phosphate (PPM)]]&lt;=0.05, "No Evidence", ""))))</f>
        <v>High</v>
      </c>
      <c r="U962">
        <v>0</v>
      </c>
    </row>
    <row r="963" spans="1:22" x14ac:dyDescent="0.25">
      <c r="A963" t="s">
        <v>1282</v>
      </c>
      <c r="B963" s="2">
        <v>45465</v>
      </c>
      <c r="C963" s="2" t="str" cm="1">
        <f t="array" ref="C9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3">
        <f>YEAR(AllData[[#This Row],[Date]])</f>
        <v>2024</v>
      </c>
      <c r="E963" s="1">
        <v>0.7055555555555556</v>
      </c>
      <c r="F963" s="2" t="str">
        <f>IF(AND(AllData[[#This Row],[Time]]&lt;0.5, AllData[[#This Row],[Time]]&gt;0.17)=TRUE, "Morning", IF(AND(AllData[[#This Row],[Time]]&lt;0.75, AllData[[#This Row],[Time]]&gt;=0.5)=TRUE, "Afternoon", IF(AND(AllData[[#This Row],[Time]]&lt;1, AllData[[#This Row],[Time]]&gt;=0.75)=TRUE, "Evening", "Night")))</f>
        <v>Afternoon</v>
      </c>
      <c r="G963" t="str">
        <f>_xlfn.XLOOKUP(AllData[[#This Row],[Location Name]], Locations[Location Name],Locations[Group As])</f>
        <v>Black Bear</v>
      </c>
      <c r="H963" t="e" vm="1">
        <f>_xlfn.XLOOKUP(AllData[[#This Row],[Site Name]],LocationsKey[Site Name],LocationsKey[District])</f>
        <v>#VALUE!</v>
      </c>
      <c r="I963" t="e" vm="1">
        <f>_xlfn.XLOOKUP(AllData[[#This Row],[Site Name]],LocationsKey[Site Name],LocationsKey[Town])</f>
        <v>#VALUE!</v>
      </c>
      <c r="J963" t="str">
        <f>_xlfn.XLOOKUP(AllData[[#This Row],[Site Name]],LocationsKey[Site Name], LocationsKey[Waterway])</f>
        <v>Avon</v>
      </c>
      <c r="K963" t="s">
        <v>1045</v>
      </c>
      <c r="L963">
        <v>51.997523999999999</v>
      </c>
      <c r="M963">
        <v>-2.1561319999999999</v>
      </c>
      <c r="N963" t="s">
        <v>23</v>
      </c>
      <c r="O963">
        <v>885</v>
      </c>
      <c r="P963">
        <v>22.6</v>
      </c>
      <c r="Q963">
        <v>10</v>
      </c>
      <c r="R963" s="7" t="str">
        <f>IF(AllData[[#This Row],[Nitrate (PPM)]]&gt;2, "Very high", IF(AllData[[#This Row],[Nitrate (PPM)]]&gt;1, "High", IF(AllData[[#This Row],[Nitrate (PPM)]]&gt;0.5, "Some evidence", IF(AllData[[#This Row],[Nitrate (PPM)]]&gt;=0, "No evidence"))))</f>
        <v>Very high</v>
      </c>
      <c r="S963" s="4">
        <v>0.56999999999999995</v>
      </c>
      <c r="T963" s="7" t="str">
        <f>IF(AllData[[#This Row],[Phosphate (PPM)]]&gt;0.5, "Very high", IF(AllData[[#This Row],[Phosphate (PPM)]]&gt;0.1, "High", IF(AllData[[#This Row],[Phosphate (PPM)]]&gt;0.05, "Some evidence", IF(AllData[[#This Row],[Phosphate (PPM)]]&lt;=0.05, "No Evidence", ""))))</f>
        <v>Very high</v>
      </c>
      <c r="U963">
        <v>0</v>
      </c>
    </row>
    <row r="964" spans="1:22" x14ac:dyDescent="0.25">
      <c r="A964" t="s">
        <v>1285</v>
      </c>
      <c r="B964" s="2">
        <v>45466</v>
      </c>
      <c r="C964" s="2" t="str" cm="1">
        <f t="array" ref="C9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4">
        <f>YEAR(AllData[[#This Row],[Date]])</f>
        <v>2024</v>
      </c>
      <c r="E964" s="1">
        <v>0.47222222222222221</v>
      </c>
      <c r="F964" s="2" t="str">
        <f>IF(AND(AllData[[#This Row],[Time]]&lt;0.5, AllData[[#This Row],[Time]]&gt;0.17)=TRUE, "Morning", IF(AND(AllData[[#This Row],[Time]]&lt;0.75, AllData[[#This Row],[Time]]&gt;=0.5)=TRUE, "Afternoon", IF(AND(AllData[[#This Row],[Time]]&lt;1, AllData[[#This Row],[Time]]&gt;=0.75)=TRUE, "Evening", "Night")))</f>
        <v>Morning</v>
      </c>
      <c r="G964" t="str">
        <f>_xlfn.XLOOKUP(AllData[[#This Row],[Location Name]], Locations[Location Name],Locations[Group As])</f>
        <v>Fell Mill Footbridge</v>
      </c>
      <c r="H964" t="e" vm="2">
        <f>_xlfn.XLOOKUP(AllData[[#This Row],[Site Name]],LocationsKey[Site Name],LocationsKey[District])</f>
        <v>#VALUE!</v>
      </c>
      <c r="I964" t="e" vm="10">
        <f>_xlfn.XLOOKUP(AllData[[#This Row],[Site Name]],LocationsKey[Site Name],LocationsKey[Town])</f>
        <v>#VALUE!</v>
      </c>
      <c r="J964" t="str">
        <f>_xlfn.XLOOKUP(AllData[[#This Row],[Site Name]],LocationsKey[Site Name], LocationsKey[Waterway])</f>
        <v>Stour</v>
      </c>
      <c r="K964" t="s">
        <v>818</v>
      </c>
      <c r="L964">
        <v>52.070086000000003</v>
      </c>
      <c r="M964">
        <v>-1.61145</v>
      </c>
      <c r="N964" t="s">
        <v>29</v>
      </c>
      <c r="O964">
        <v>637</v>
      </c>
      <c r="P964">
        <v>17.8</v>
      </c>
      <c r="Q964">
        <v>10</v>
      </c>
      <c r="R964" s="7" t="str">
        <f>IF(AllData[[#This Row],[Nitrate (PPM)]]&gt;2, "Very high", IF(AllData[[#This Row],[Nitrate (PPM)]]&gt;1, "High", IF(AllData[[#This Row],[Nitrate (PPM)]]&gt;0.5, "Some evidence", IF(AllData[[#This Row],[Nitrate (PPM)]]&gt;=0, "No evidence"))))</f>
        <v>Very high</v>
      </c>
      <c r="S964" s="4">
        <v>0.43</v>
      </c>
      <c r="T964" s="7" t="str">
        <f>IF(AllData[[#This Row],[Phosphate (PPM)]]&gt;0.5, "Very high", IF(AllData[[#This Row],[Phosphate (PPM)]]&gt;0.1, "High", IF(AllData[[#This Row],[Phosphate (PPM)]]&gt;0.05, "Some evidence", IF(AllData[[#This Row],[Phosphate (PPM)]]&lt;=0.05, "No Evidence", ""))))</f>
        <v>High</v>
      </c>
      <c r="U964">
        <v>1.1000000000000001</v>
      </c>
      <c r="V964" t="s">
        <v>1286</v>
      </c>
    </row>
    <row r="965" spans="1:22" x14ac:dyDescent="0.25">
      <c r="A965" t="s">
        <v>1288</v>
      </c>
      <c r="B965" s="2">
        <v>45466</v>
      </c>
      <c r="C965" s="2" t="str" cm="1">
        <f t="array" ref="C9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5">
        <f>YEAR(AllData[[#This Row],[Date]])</f>
        <v>2024</v>
      </c>
      <c r="E965" s="1">
        <v>0.61458333333333337</v>
      </c>
      <c r="F965" s="2" t="str">
        <f>IF(AND(AllData[[#This Row],[Time]]&lt;0.5, AllData[[#This Row],[Time]]&gt;0.17)=TRUE, "Morning", IF(AND(AllData[[#This Row],[Time]]&lt;0.75, AllData[[#This Row],[Time]]&gt;=0.5)=TRUE, "Afternoon", IF(AND(AllData[[#This Row],[Time]]&lt;1, AllData[[#This Row],[Time]]&gt;=0.75)=TRUE, "Evening", "Night")))</f>
        <v>Afternoon</v>
      </c>
      <c r="G965" t="str">
        <f>_xlfn.XLOOKUP(AllData[[#This Row],[Location Name]], Locations[Location Name],Locations[Group As])</f>
        <v>Sherbourne Brook 1</v>
      </c>
      <c r="H965" t="e" vm="2">
        <f>_xlfn.XLOOKUP(AllData[[#This Row],[Site Name]],LocationsKey[Site Name],LocationsKey[District])</f>
        <v>#VALUE!</v>
      </c>
      <c r="I965" t="e" vm="16">
        <f>_xlfn.XLOOKUP(AllData[[#This Row],[Site Name]],LocationsKey[Site Name],LocationsKey[Town])</f>
        <v>#VALUE!</v>
      </c>
      <c r="J965" t="str">
        <f>_xlfn.XLOOKUP(AllData[[#This Row],[Site Name]],LocationsKey[Site Name], LocationsKey[Waterway])</f>
        <v>Sherbourne Brook</v>
      </c>
      <c r="K965" t="s">
        <v>570</v>
      </c>
      <c r="L965">
        <v>52.252499999999998</v>
      </c>
      <c r="M965">
        <v>-1.6685000000000001</v>
      </c>
      <c r="N965" t="s">
        <v>23</v>
      </c>
      <c r="O965">
        <v>1080</v>
      </c>
      <c r="P965">
        <v>17.3</v>
      </c>
      <c r="Q965">
        <v>12</v>
      </c>
      <c r="R965" s="7" t="str">
        <f>IF(AllData[[#This Row],[Nitrate (PPM)]]&gt;2, "Very high", IF(AllData[[#This Row],[Nitrate (PPM)]]&gt;1, "High", IF(AllData[[#This Row],[Nitrate (PPM)]]&gt;0.5, "Some evidence", IF(AllData[[#This Row],[Nitrate (PPM)]]&gt;=0, "No evidence"))))</f>
        <v>Very high</v>
      </c>
      <c r="S965" s="4">
        <v>0.22</v>
      </c>
      <c r="T965" s="7" t="str">
        <f>IF(AllData[[#This Row],[Phosphate (PPM)]]&gt;0.5, "Very high", IF(AllData[[#This Row],[Phosphate (PPM)]]&gt;0.1, "High", IF(AllData[[#This Row],[Phosphate (PPM)]]&gt;0.05, "Some evidence", IF(AllData[[#This Row],[Phosphate (PPM)]]&lt;=0.05, "No Evidence", ""))))</f>
        <v>High</v>
      </c>
      <c r="U965">
        <v>0.1</v>
      </c>
    </row>
    <row r="966" spans="1:22" x14ac:dyDescent="0.25">
      <c r="A966" t="s">
        <v>1287</v>
      </c>
      <c r="B966" s="2">
        <v>45466</v>
      </c>
      <c r="C966" s="2" t="str" cm="1">
        <f t="array" ref="C9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6">
        <f>YEAR(AllData[[#This Row],[Date]])</f>
        <v>2024</v>
      </c>
      <c r="E966" s="1">
        <v>0.625</v>
      </c>
      <c r="F966" s="2" t="str">
        <f>IF(AND(AllData[[#This Row],[Time]]&lt;0.5, AllData[[#This Row],[Time]]&gt;0.17)=TRUE, "Morning", IF(AND(AllData[[#This Row],[Time]]&lt;0.75, AllData[[#This Row],[Time]]&gt;=0.5)=TRUE, "Afternoon", IF(AND(AllData[[#This Row],[Time]]&lt;1, AllData[[#This Row],[Time]]&gt;=0.75)=TRUE, "Evening", "Night")))</f>
        <v>Afternoon</v>
      </c>
      <c r="G966" t="str">
        <f>_xlfn.XLOOKUP(AllData[[#This Row],[Location Name]], Locations[Location Name],Locations[Group As])</f>
        <v>Bell Brook 1</v>
      </c>
      <c r="H966" t="e" vm="2">
        <f>_xlfn.XLOOKUP(AllData[[#This Row],[Site Name]],LocationsKey[Site Name],LocationsKey[District])</f>
        <v>#VALUE!</v>
      </c>
      <c r="I966" t="e" vm="15">
        <f>_xlfn.XLOOKUP(AllData[[#This Row],[Site Name]],LocationsKey[Site Name],LocationsKey[Town])</f>
        <v>#VALUE!</v>
      </c>
      <c r="J966" t="str">
        <f>_xlfn.XLOOKUP(AllData[[#This Row],[Site Name]],LocationsKey[Site Name], LocationsKey[Waterway])</f>
        <v>Bell Brook</v>
      </c>
      <c r="K966" t="s">
        <v>534</v>
      </c>
      <c r="L966">
        <v>52.244900000000001</v>
      </c>
      <c r="M966">
        <v>-1.6617</v>
      </c>
      <c r="N966" t="s">
        <v>23</v>
      </c>
      <c r="O966">
        <v>788</v>
      </c>
      <c r="P966">
        <v>21.1</v>
      </c>
      <c r="Q966">
        <v>10</v>
      </c>
      <c r="R966" s="7" t="str">
        <f>IF(AllData[[#This Row],[Nitrate (PPM)]]&gt;2, "Very high", IF(AllData[[#This Row],[Nitrate (PPM)]]&gt;1, "High", IF(AllData[[#This Row],[Nitrate (PPM)]]&gt;0.5, "Some evidence", IF(AllData[[#This Row],[Nitrate (PPM)]]&gt;=0, "No evidence"))))</f>
        <v>Very high</v>
      </c>
      <c r="S966" s="4">
        <v>0.37</v>
      </c>
      <c r="T966" s="7" t="str">
        <f>IF(AllData[[#This Row],[Phosphate (PPM)]]&gt;0.5, "Very high", IF(AllData[[#This Row],[Phosphate (PPM)]]&gt;0.1, "High", IF(AllData[[#This Row],[Phosphate (PPM)]]&gt;0.05, "Some evidence", IF(AllData[[#This Row],[Phosphate (PPM)]]&lt;=0.05, "No Evidence", ""))))</f>
        <v>High</v>
      </c>
      <c r="U966">
        <v>0.1</v>
      </c>
    </row>
    <row r="967" spans="1:22" x14ac:dyDescent="0.25">
      <c r="A967" t="s">
        <v>1788</v>
      </c>
      <c r="B967" s="2">
        <v>45466</v>
      </c>
      <c r="C967" s="2" t="str" cm="1">
        <f t="array" ref="C9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7">
        <f>YEAR(AllData[[#This Row],[Date]])</f>
        <v>2024</v>
      </c>
      <c r="F967" s="2" t="str">
        <f>IF(AND(AllData[[#This Row],[Time]]&lt;0.5, AllData[[#This Row],[Time]]&gt;0.17)=TRUE, "Morning", IF(AND(AllData[[#This Row],[Time]]&lt;0.75, AllData[[#This Row],[Time]]&gt;=0.5)=TRUE, "Afternoon", IF(AND(AllData[[#This Row],[Time]]&lt;1, AllData[[#This Row],[Time]]&gt;=0.75)=TRUE, "Evening", "Night")))</f>
        <v>Night</v>
      </c>
      <c r="G967" t="str">
        <f>_xlfn.XLOOKUP(AllData[[#This Row],[Location Name]], Locations[Location Name],Locations[Group As])</f>
        <v>Site 1  :  Middle Street</v>
      </c>
      <c r="H967" t="e" vm="2">
        <f>_xlfn.XLOOKUP(AllData[[#This Row],[Site Name]],LocationsKey[Site Name],LocationsKey[District])</f>
        <v>#VALUE!</v>
      </c>
      <c r="I967" t="e" vm="11">
        <f>_xlfn.XLOOKUP(AllData[[#This Row],[Site Name]],LocationsKey[Site Name],LocationsKey[Town])</f>
        <v>#VALUE!</v>
      </c>
      <c r="J967" t="str">
        <f>_xlfn.XLOOKUP(AllData[[#This Row],[Site Name]],LocationsKey[Site Name], LocationsKey[Waterway])</f>
        <v>Fosseway Brook</v>
      </c>
      <c r="K967" t="s">
        <v>1859</v>
      </c>
      <c r="L967">
        <v>52.090066</v>
      </c>
      <c r="M967">
        <v>-1.6926650000000001</v>
      </c>
      <c r="N967" t="s">
        <v>66</v>
      </c>
      <c r="O967">
        <v>656</v>
      </c>
      <c r="P967">
        <v>18.600000000000001</v>
      </c>
      <c r="Q967">
        <v>2</v>
      </c>
      <c r="R967" s="7" t="str">
        <f>IF(AllData[[#This Row],[Nitrate (PPM)]]&gt;2, "Very high", IF(AllData[[#This Row],[Nitrate (PPM)]]&gt;1, "High", IF(AllData[[#This Row],[Nitrate (PPM)]]&gt;0.5, "Some evidence", IF(AllData[[#This Row],[Nitrate (PPM)]]&gt;=0, "No evidence"))))</f>
        <v>High</v>
      </c>
      <c r="S967" s="4">
        <v>0.54</v>
      </c>
      <c r="T967" s="7" t="str">
        <f>IF(AllData[[#This Row],[Phosphate (PPM)]]&gt;0.5, "Very high", IF(AllData[[#This Row],[Phosphate (PPM)]]&gt;0.1, "High", IF(AllData[[#This Row],[Phosphate (PPM)]]&gt;0.05, "Some evidence", IF(AllData[[#This Row],[Phosphate (PPM)]]&lt;=0.05, "No Evidence", ""))))</f>
        <v>Very high</v>
      </c>
      <c r="U967">
        <v>0</v>
      </c>
      <c r="V967" t="s">
        <v>1919</v>
      </c>
    </row>
    <row r="968" spans="1:22" x14ac:dyDescent="0.25">
      <c r="A968" t="s">
        <v>1402</v>
      </c>
      <c r="B968" s="2">
        <v>45466</v>
      </c>
      <c r="C968" s="2" t="str" cm="1">
        <f t="array" ref="C9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8">
        <f>YEAR(AllData[[#This Row],[Date]])</f>
        <v>2024</v>
      </c>
      <c r="E968" s="1"/>
      <c r="F968" s="2" t="str">
        <f>IF(AND(AllData[[#This Row],[Time]]&lt;0.5, AllData[[#This Row],[Time]]&gt;0.17)=TRUE, "Morning", IF(AND(AllData[[#This Row],[Time]]&lt;0.75, AllData[[#This Row],[Time]]&gt;=0.5)=TRUE, "Afternoon", IF(AND(AllData[[#This Row],[Time]]&lt;1, AllData[[#This Row],[Time]]&gt;=0.75)=TRUE, "Evening", "Night")))</f>
        <v>Night</v>
      </c>
      <c r="G968" t="str">
        <f>_xlfn.XLOOKUP(AllData[[#This Row],[Location Name]], Locations[Location Name],Locations[Group As])</f>
        <v>Site 1  :  Middle Street</v>
      </c>
      <c r="H968" t="e" vm="2">
        <f>_xlfn.XLOOKUP(AllData[[#This Row],[Site Name]],LocationsKey[Site Name],LocationsKey[District])</f>
        <v>#VALUE!</v>
      </c>
      <c r="I968" t="e" vm="11">
        <f>_xlfn.XLOOKUP(AllData[[#This Row],[Site Name]],LocationsKey[Site Name],LocationsKey[Town])</f>
        <v>#VALUE!</v>
      </c>
      <c r="J968" t="str">
        <f>_xlfn.XLOOKUP(AllData[[#This Row],[Site Name]],LocationsKey[Site Name], LocationsKey[Waterway])</f>
        <v>Fosseway Brook</v>
      </c>
      <c r="K968" t="s">
        <v>1373</v>
      </c>
      <c r="L968">
        <v>52.090066</v>
      </c>
      <c r="M968">
        <v>-1.6926650000000001</v>
      </c>
      <c r="N968" t="s">
        <v>66</v>
      </c>
      <c r="O968">
        <v>656</v>
      </c>
      <c r="P968">
        <v>18.600000000000001</v>
      </c>
      <c r="Q968">
        <v>2</v>
      </c>
      <c r="R968" s="7" t="str">
        <f>IF(AllData[[#This Row],[Nitrate (PPM)]]&gt;2, "Very high", IF(AllData[[#This Row],[Nitrate (PPM)]]&gt;1, "High", IF(AllData[[#This Row],[Nitrate (PPM)]]&gt;0.5, "Some evidence", IF(AllData[[#This Row],[Nitrate (PPM)]]&gt;=0, "No evidence"))))</f>
        <v>High</v>
      </c>
      <c r="S968" s="4">
        <v>0.54</v>
      </c>
      <c r="T968" s="7" t="str">
        <f>IF(AllData[[#This Row],[Phosphate (PPM)]]&gt;0.5, "Very high", IF(AllData[[#This Row],[Phosphate (PPM)]]&gt;0.1, "High", IF(AllData[[#This Row],[Phosphate (PPM)]]&gt;0.05, "Some evidence", IF(AllData[[#This Row],[Phosphate (PPM)]]&lt;=0.05, "No Evidence", ""))))</f>
        <v>Very high</v>
      </c>
      <c r="V968" t="s">
        <v>1403</v>
      </c>
    </row>
    <row r="969" spans="1:22" x14ac:dyDescent="0.25">
      <c r="A969" t="s">
        <v>1789</v>
      </c>
      <c r="B969" s="2">
        <v>45466</v>
      </c>
      <c r="C969" s="2" t="str" cm="1">
        <f t="array" ref="C9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69">
        <f>YEAR(AllData[[#This Row],[Date]])</f>
        <v>2024</v>
      </c>
      <c r="F969" s="2" t="str">
        <f>IF(AND(AllData[[#This Row],[Time]]&lt;0.5, AllData[[#This Row],[Time]]&gt;0.17)=TRUE, "Morning", IF(AND(AllData[[#This Row],[Time]]&lt;0.75, AllData[[#This Row],[Time]]&gt;=0.5)=TRUE, "Afternoon", IF(AND(AllData[[#This Row],[Time]]&lt;1, AllData[[#This Row],[Time]]&gt;=0.75)=TRUE, "Evening", "Night")))</f>
        <v>Night</v>
      </c>
      <c r="G969" t="str">
        <f>_xlfn.XLOOKUP(AllData[[#This Row],[Location Name]], Locations[Location Name],Locations[Group As])</f>
        <v>Site 2  :  Cross Leys culvert</v>
      </c>
      <c r="H969" t="e" vm="2">
        <f>_xlfn.XLOOKUP(AllData[[#This Row],[Site Name]],LocationsKey[Site Name],LocationsKey[District])</f>
        <v>#VALUE!</v>
      </c>
      <c r="I969" t="e" vm="11">
        <f>_xlfn.XLOOKUP(AllData[[#This Row],[Site Name]],LocationsKey[Site Name],LocationsKey[Town])</f>
        <v>#VALUE!</v>
      </c>
      <c r="J969" t="str">
        <f>_xlfn.XLOOKUP(AllData[[#This Row],[Site Name]],LocationsKey[Site Name], LocationsKey[Waterway])</f>
        <v>Fosseway Brook</v>
      </c>
      <c r="K969" t="s">
        <v>1860</v>
      </c>
      <c r="L969">
        <v>52.092984999999999</v>
      </c>
      <c r="M969">
        <v>-1.686261</v>
      </c>
      <c r="N969" t="s">
        <v>66</v>
      </c>
      <c r="O969">
        <v>968</v>
      </c>
      <c r="P969">
        <v>15.1</v>
      </c>
      <c r="Q969">
        <v>1</v>
      </c>
      <c r="R969" s="7" t="str">
        <f>IF(AllData[[#This Row],[Nitrate (PPM)]]&gt;2, "Very high", IF(AllData[[#This Row],[Nitrate (PPM)]]&gt;1, "High", IF(AllData[[#This Row],[Nitrate (PPM)]]&gt;0.5, "Some evidence", IF(AllData[[#This Row],[Nitrate (PPM)]]&gt;=0, "No evidence"))))</f>
        <v>Some evidence</v>
      </c>
      <c r="S969" s="4">
        <v>1.1299999999999999</v>
      </c>
      <c r="T969" s="7" t="str">
        <f>IF(AllData[[#This Row],[Phosphate (PPM)]]&gt;0.5, "Very high", IF(AllData[[#This Row],[Phosphate (PPM)]]&gt;0.1, "High", IF(AllData[[#This Row],[Phosphate (PPM)]]&gt;0.05, "Some evidence", IF(AllData[[#This Row],[Phosphate (PPM)]]&lt;=0.05, "No Evidence", ""))))</f>
        <v>Very high</v>
      </c>
      <c r="U969">
        <v>0</v>
      </c>
      <c r="V969" t="s">
        <v>1920</v>
      </c>
    </row>
    <row r="970" spans="1:22" x14ac:dyDescent="0.25">
      <c r="A970" t="s">
        <v>1400</v>
      </c>
      <c r="B970" s="2">
        <v>45466</v>
      </c>
      <c r="C970" s="2" t="str" cm="1">
        <f t="array" ref="C9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0">
        <f>YEAR(AllData[[#This Row],[Date]])</f>
        <v>2024</v>
      </c>
      <c r="E970" s="1"/>
      <c r="F970" s="2" t="str">
        <f>IF(AND(AllData[[#This Row],[Time]]&lt;0.5, AllData[[#This Row],[Time]]&gt;0.17)=TRUE, "Morning", IF(AND(AllData[[#This Row],[Time]]&lt;0.75, AllData[[#This Row],[Time]]&gt;=0.5)=TRUE, "Afternoon", IF(AND(AllData[[#This Row],[Time]]&lt;1, AllData[[#This Row],[Time]]&gt;=0.75)=TRUE, "Evening", "Night")))</f>
        <v>Night</v>
      </c>
      <c r="G970" t="str">
        <f>_xlfn.XLOOKUP(AllData[[#This Row],[Location Name]], Locations[Location Name],Locations[Group As])</f>
        <v>Site 2  :  Cross Leys culvert</v>
      </c>
      <c r="H970" t="e" vm="2">
        <f>_xlfn.XLOOKUP(AllData[[#This Row],[Site Name]],LocationsKey[Site Name],LocationsKey[District])</f>
        <v>#VALUE!</v>
      </c>
      <c r="I970" t="e" vm="11">
        <f>_xlfn.XLOOKUP(AllData[[#This Row],[Site Name]],LocationsKey[Site Name],LocationsKey[Town])</f>
        <v>#VALUE!</v>
      </c>
      <c r="J970" t="str">
        <f>_xlfn.XLOOKUP(AllData[[#This Row],[Site Name]],LocationsKey[Site Name], LocationsKey[Waterway])</f>
        <v>Fosseway Brook</v>
      </c>
      <c r="K970" t="s">
        <v>1371</v>
      </c>
      <c r="L970">
        <v>52.092984999999999</v>
      </c>
      <c r="M970">
        <v>-1.686261</v>
      </c>
      <c r="N970" t="s">
        <v>66</v>
      </c>
      <c r="O970">
        <v>968</v>
      </c>
      <c r="P970">
        <v>15.1</v>
      </c>
      <c r="Q970">
        <v>1</v>
      </c>
      <c r="R970" s="7" t="str">
        <f>IF(AllData[[#This Row],[Nitrate (PPM)]]&gt;2, "Very high", IF(AllData[[#This Row],[Nitrate (PPM)]]&gt;1, "High", IF(AllData[[#This Row],[Nitrate (PPM)]]&gt;0.5, "Some evidence", IF(AllData[[#This Row],[Nitrate (PPM)]]&gt;=0, "No evidence"))))</f>
        <v>Some evidence</v>
      </c>
      <c r="S970" s="4">
        <v>1.1299999999999999</v>
      </c>
      <c r="T970" s="7" t="str">
        <f>IF(AllData[[#This Row],[Phosphate (PPM)]]&gt;0.5, "Very high", IF(AllData[[#This Row],[Phosphate (PPM)]]&gt;0.1, "High", IF(AllData[[#This Row],[Phosphate (PPM)]]&gt;0.05, "Some evidence", IF(AllData[[#This Row],[Phosphate (PPM)]]&lt;=0.05, "No Evidence", ""))))</f>
        <v>Very high</v>
      </c>
      <c r="V970" t="s">
        <v>1401</v>
      </c>
    </row>
    <row r="971" spans="1:22" x14ac:dyDescent="0.25">
      <c r="A971" t="s">
        <v>1790</v>
      </c>
      <c r="B971" s="2">
        <v>45466</v>
      </c>
      <c r="C971" s="2" t="str" cm="1">
        <f t="array" ref="C9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1">
        <f>YEAR(AllData[[#This Row],[Date]])</f>
        <v>2024</v>
      </c>
      <c r="F971" s="2" t="str">
        <f>IF(AND(AllData[[#This Row],[Time]]&lt;0.5, AllData[[#This Row],[Time]]&gt;0.17)=TRUE, "Morning", IF(AND(AllData[[#This Row],[Time]]&lt;0.75, AllData[[#This Row],[Time]]&gt;=0.5)=TRUE, "Afternoon", IF(AND(AllData[[#This Row],[Time]]&lt;1, AllData[[#This Row],[Time]]&gt;=0.75)=TRUE, "Evening", "Night")))</f>
        <v>Night</v>
      </c>
      <c r="G971" t="str">
        <f>_xlfn.XLOOKUP(AllData[[#This Row],[Location Name]], Locations[Location Name],Locations[Group As])</f>
        <v>Site 3  :  Severn Trent Water processing plant outflow</v>
      </c>
      <c r="H971" t="e" vm="2">
        <f>_xlfn.XLOOKUP(AllData[[#This Row],[Site Name]],LocationsKey[Site Name],LocationsKey[District])</f>
        <v>#VALUE!</v>
      </c>
      <c r="I971" t="e" vm="11">
        <f>_xlfn.XLOOKUP(AllData[[#This Row],[Site Name]],LocationsKey[Site Name],LocationsKey[Town])</f>
        <v>#VALUE!</v>
      </c>
      <c r="J971" t="str">
        <f>_xlfn.XLOOKUP(AllData[[#This Row],[Site Name]],LocationsKey[Site Name], LocationsKey[Waterway])</f>
        <v>Fosseway Brook</v>
      </c>
      <c r="K971" t="s">
        <v>1861</v>
      </c>
      <c r="L971">
        <v>52.094414</v>
      </c>
      <c r="M971">
        <v>-1.675883</v>
      </c>
      <c r="N971" t="s">
        <v>29</v>
      </c>
      <c r="O971">
        <v>938</v>
      </c>
      <c r="P971">
        <v>16.600000000000001</v>
      </c>
      <c r="Q971">
        <v>5</v>
      </c>
      <c r="R971" s="7" t="str">
        <f>IF(AllData[[#This Row],[Nitrate (PPM)]]&gt;2, "Very high", IF(AllData[[#This Row],[Nitrate (PPM)]]&gt;1, "High", IF(AllData[[#This Row],[Nitrate (PPM)]]&gt;0.5, "Some evidence", IF(AllData[[#This Row],[Nitrate (PPM)]]&gt;=0, "No evidence"))))</f>
        <v>Very high</v>
      </c>
      <c r="S971" s="4">
        <v>2.5</v>
      </c>
      <c r="T971" s="7" t="str">
        <f>IF(AllData[[#This Row],[Phosphate (PPM)]]&gt;0.5, "Very high", IF(AllData[[#This Row],[Phosphate (PPM)]]&gt;0.1, "High", IF(AllData[[#This Row],[Phosphate (PPM)]]&gt;0.05, "Some evidence", IF(AllData[[#This Row],[Phosphate (PPM)]]&lt;=0.05, "No Evidence", ""))))</f>
        <v>Very high</v>
      </c>
      <c r="U971">
        <v>0</v>
      </c>
      <c r="V971" t="s">
        <v>1921</v>
      </c>
    </row>
    <row r="972" spans="1:22" x14ac:dyDescent="0.25">
      <c r="A972" t="s">
        <v>1398</v>
      </c>
      <c r="B972" s="2">
        <v>45466</v>
      </c>
      <c r="C972" s="2" t="str" cm="1">
        <f t="array" ref="C9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2">
        <f>YEAR(AllData[[#This Row],[Date]])</f>
        <v>2024</v>
      </c>
      <c r="E972" s="1"/>
      <c r="F972" s="2" t="str">
        <f>IF(AND(AllData[[#This Row],[Time]]&lt;0.5, AllData[[#This Row],[Time]]&gt;0.17)=TRUE, "Morning", IF(AND(AllData[[#This Row],[Time]]&lt;0.75, AllData[[#This Row],[Time]]&gt;=0.5)=TRUE, "Afternoon", IF(AND(AllData[[#This Row],[Time]]&lt;1, AllData[[#This Row],[Time]]&gt;=0.75)=TRUE, "Evening", "Night")))</f>
        <v>Night</v>
      </c>
      <c r="G972" t="str">
        <f>_xlfn.XLOOKUP(AllData[[#This Row],[Location Name]], Locations[Location Name],Locations[Group As])</f>
        <v>Site 3  :  Severn Trent Water processing plant outflow</v>
      </c>
      <c r="H972" t="e" vm="2">
        <f>_xlfn.XLOOKUP(AllData[[#This Row],[Site Name]],LocationsKey[Site Name],LocationsKey[District])</f>
        <v>#VALUE!</v>
      </c>
      <c r="I972" t="e" vm="11">
        <f>_xlfn.XLOOKUP(AllData[[#This Row],[Site Name]],LocationsKey[Site Name],LocationsKey[Town])</f>
        <v>#VALUE!</v>
      </c>
      <c r="J972" t="str">
        <f>_xlfn.XLOOKUP(AllData[[#This Row],[Site Name]],LocationsKey[Site Name], LocationsKey[Waterway])</f>
        <v>Fosseway Brook</v>
      </c>
      <c r="K972" t="s">
        <v>1368</v>
      </c>
      <c r="L972">
        <v>52.094414</v>
      </c>
      <c r="M972">
        <v>-1.675883</v>
      </c>
      <c r="N972" t="s">
        <v>29</v>
      </c>
      <c r="O972">
        <v>938</v>
      </c>
      <c r="P972">
        <v>16.600000000000001</v>
      </c>
      <c r="Q972">
        <v>5</v>
      </c>
      <c r="R972" s="7" t="str">
        <f>IF(AllData[[#This Row],[Nitrate (PPM)]]&gt;2, "Very high", IF(AllData[[#This Row],[Nitrate (PPM)]]&gt;1, "High", IF(AllData[[#This Row],[Nitrate (PPM)]]&gt;0.5, "Some evidence", IF(AllData[[#This Row],[Nitrate (PPM)]]&gt;=0, "No evidence"))))</f>
        <v>Very high</v>
      </c>
      <c r="S972" s="4">
        <v>2.5</v>
      </c>
      <c r="T972" s="7" t="str">
        <f>IF(AllData[[#This Row],[Phosphate (PPM)]]&gt;0.5, "Very high", IF(AllData[[#This Row],[Phosphate (PPM)]]&gt;0.1, "High", IF(AllData[[#This Row],[Phosphate (PPM)]]&gt;0.05, "Some evidence", IF(AllData[[#This Row],[Phosphate (PPM)]]&lt;=0.05, "No Evidence", ""))))</f>
        <v>Very high</v>
      </c>
      <c r="V972" t="s">
        <v>1399</v>
      </c>
    </row>
    <row r="973" spans="1:22" x14ac:dyDescent="0.25">
      <c r="A973" t="s">
        <v>1289</v>
      </c>
      <c r="B973" s="2">
        <v>45468</v>
      </c>
      <c r="C973" s="2" t="str" cm="1">
        <f t="array" ref="C9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3">
        <f>YEAR(AllData[[#This Row],[Date]])</f>
        <v>2024</v>
      </c>
      <c r="E973" s="1">
        <v>0.59375</v>
      </c>
      <c r="F973" s="2" t="str">
        <f>IF(AND(AllData[[#This Row],[Time]]&lt;0.5, AllData[[#This Row],[Time]]&gt;0.17)=TRUE, "Morning", IF(AND(AllData[[#This Row],[Time]]&lt;0.75, AllData[[#This Row],[Time]]&gt;=0.5)=TRUE, "Afternoon", IF(AND(AllData[[#This Row],[Time]]&lt;1, AllData[[#This Row],[Time]]&gt;=0.75)=TRUE, "Evening", "Night")))</f>
        <v>Afternoon</v>
      </c>
      <c r="G973" t="str">
        <f>_xlfn.XLOOKUP(AllData[[#This Row],[Location Name]], Locations[Location Name],Locations[Group As])</f>
        <v>Alveston Weir</v>
      </c>
      <c r="H973" t="e" vm="2">
        <f>_xlfn.XLOOKUP(AllData[[#This Row],[Site Name]],LocationsKey[Site Name],LocationsKey[District])</f>
        <v>#VALUE!</v>
      </c>
      <c r="I973" t="e" vm="13">
        <f>_xlfn.XLOOKUP(AllData[[#This Row],[Site Name]],LocationsKey[Site Name],LocationsKey[Town])</f>
        <v>#VALUE!</v>
      </c>
      <c r="J973" t="str">
        <f>_xlfn.XLOOKUP(AllData[[#This Row],[Site Name]],LocationsKey[Site Name], LocationsKey[Waterway])</f>
        <v>Avon</v>
      </c>
      <c r="K973" t="s">
        <v>286</v>
      </c>
      <c r="L973">
        <v>52.212288999999998</v>
      </c>
      <c r="M973">
        <v>-1.660452</v>
      </c>
      <c r="N973" t="s">
        <v>29</v>
      </c>
      <c r="O973" s="219">
        <v>836</v>
      </c>
      <c r="P973">
        <v>26</v>
      </c>
      <c r="Q973" s="219">
        <v>10</v>
      </c>
      <c r="R973" s="7" t="str">
        <f>IF(AllData[[#This Row],[Nitrate (PPM)]]&gt;2, "Very high", IF(AllData[[#This Row],[Nitrate (PPM)]]&gt;1, "High", IF(AllData[[#This Row],[Nitrate (PPM)]]&gt;0.5, "Some evidence", IF(AllData[[#This Row],[Nitrate (PPM)]]&gt;=0, "No evidence"))))</f>
        <v>Very high</v>
      </c>
      <c r="S973" s="221">
        <v>0.35</v>
      </c>
      <c r="T973" s="7" t="str">
        <f>IF(AllData[[#This Row],[Phosphate (PPM)]]&gt;0.5, "Very high", IF(AllData[[#This Row],[Phosphate (PPM)]]&gt;0.1, "High", IF(AllData[[#This Row],[Phosphate (PPM)]]&gt;0.05, "Some evidence", IF(AllData[[#This Row],[Phosphate (PPM)]]&lt;=0.05, "No Evidence", ""))))</f>
        <v>High</v>
      </c>
      <c r="U973">
        <v>-1</v>
      </c>
      <c r="V973" t="s">
        <v>1290</v>
      </c>
    </row>
    <row r="974" spans="1:22" x14ac:dyDescent="0.25">
      <c r="A974" t="s">
        <v>1291</v>
      </c>
      <c r="B974" s="2">
        <v>45468</v>
      </c>
      <c r="C974" s="2" t="str" cm="1">
        <f t="array" ref="C9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4">
        <f>YEAR(AllData[[#This Row],[Date]])</f>
        <v>2024</v>
      </c>
      <c r="E974" s="1">
        <v>0.6069444444444444</v>
      </c>
      <c r="F974" s="2" t="str">
        <f>IF(AND(AllData[[#This Row],[Time]]&lt;0.5, AllData[[#This Row],[Time]]&gt;0.17)=TRUE, "Morning", IF(AND(AllData[[#This Row],[Time]]&lt;0.75, AllData[[#This Row],[Time]]&gt;=0.5)=TRUE, "Afternoon", IF(AND(AllData[[#This Row],[Time]]&lt;1, AllData[[#This Row],[Time]]&gt;=0.75)=TRUE, "Evening", "Night")))</f>
        <v>Afternoon</v>
      </c>
      <c r="G974" t="str">
        <f>_xlfn.XLOOKUP(AllData[[#This Row],[Location Name]], Locations[Location Name],Locations[Group As])</f>
        <v>Swiffen Bank</v>
      </c>
      <c r="H974" t="e" vm="2">
        <f>_xlfn.XLOOKUP(AllData[[#This Row],[Site Name]],LocationsKey[Site Name],LocationsKey[District])</f>
        <v>#VALUE!</v>
      </c>
      <c r="I974" t="e" vm="13">
        <f>_xlfn.XLOOKUP(AllData[[#This Row],[Site Name]],LocationsKey[Site Name],LocationsKey[Town])</f>
        <v>#VALUE!</v>
      </c>
      <c r="J974" t="str">
        <f>_xlfn.XLOOKUP(AllData[[#This Row],[Site Name]],LocationsKey[Site Name], LocationsKey[Waterway])</f>
        <v>Avon</v>
      </c>
      <c r="K974" t="s">
        <v>443</v>
      </c>
      <c r="L974">
        <v>52.206000000000003</v>
      </c>
      <c r="M974">
        <v>-1.6539999999999999</v>
      </c>
      <c r="N974" t="s">
        <v>29</v>
      </c>
      <c r="O974">
        <v>735</v>
      </c>
      <c r="P974">
        <v>22.1</v>
      </c>
      <c r="Q974">
        <v>10</v>
      </c>
      <c r="R974" s="7" t="str">
        <f>IF(AllData[[#This Row],[Nitrate (PPM)]]&gt;2, "Very high", IF(AllData[[#This Row],[Nitrate (PPM)]]&gt;1, "High", IF(AllData[[#This Row],[Nitrate (PPM)]]&gt;0.5, "Some evidence", IF(AllData[[#This Row],[Nitrate (PPM)]]&gt;=0, "No evidence"))))</f>
        <v>Very high</v>
      </c>
      <c r="S974" s="4">
        <v>0.44</v>
      </c>
      <c r="T974" s="7" t="str">
        <f>IF(AllData[[#This Row],[Phosphate (PPM)]]&gt;0.5, "Very high", IF(AllData[[#This Row],[Phosphate (PPM)]]&gt;0.1, "High", IF(AllData[[#This Row],[Phosphate (PPM)]]&gt;0.05, "Some evidence", IF(AllData[[#This Row],[Phosphate (PPM)]]&lt;=0.05, "No Evidence", ""))))</f>
        <v>High</v>
      </c>
      <c r="U974">
        <v>0</v>
      </c>
      <c r="V974" t="s">
        <v>1292</v>
      </c>
    </row>
    <row r="975" spans="1:22" x14ac:dyDescent="0.25">
      <c r="A975" t="s">
        <v>1296</v>
      </c>
      <c r="B975" s="2">
        <v>45469</v>
      </c>
      <c r="C975" s="2" t="str" cm="1">
        <f t="array" ref="C9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5">
        <f>YEAR(AllData[[#This Row],[Date]])</f>
        <v>2024</v>
      </c>
      <c r="E975" s="1">
        <v>0.47083333333333333</v>
      </c>
      <c r="F975" s="2" t="str">
        <f>IF(AND(AllData[[#This Row],[Time]]&lt;0.5, AllData[[#This Row],[Time]]&gt;0.17)=TRUE, "Morning", IF(AND(AllData[[#This Row],[Time]]&lt;0.75, AllData[[#This Row],[Time]]&gt;=0.5)=TRUE, "Afternoon", IF(AND(AllData[[#This Row],[Time]]&lt;1, AllData[[#This Row],[Time]]&gt;=0.75)=TRUE, "Evening", "Night")))</f>
        <v>Morning</v>
      </c>
      <c r="G975" t="str">
        <f>_xlfn.XLOOKUP(AllData[[#This Row],[Location Name]], Locations[Location Name],Locations[Group As])</f>
        <v>Carrant Mitton Path</v>
      </c>
      <c r="H975" t="e" vm="1">
        <f>_xlfn.XLOOKUP(AllData[[#This Row],[Site Name]],LocationsKey[Site Name],LocationsKey[District])</f>
        <v>#VALUE!</v>
      </c>
      <c r="I975" t="e" vm="1">
        <f>_xlfn.XLOOKUP(AllData[[#This Row],[Site Name]],LocationsKey[Site Name],LocationsKey[Town])</f>
        <v>#VALUE!</v>
      </c>
      <c r="J975" t="str">
        <f>_xlfn.XLOOKUP(AllData[[#This Row],[Site Name]],LocationsKey[Site Name], LocationsKey[Waterway])</f>
        <v>Carrant</v>
      </c>
      <c r="K975" t="s">
        <v>958</v>
      </c>
      <c r="L975">
        <v>51.999786999999998</v>
      </c>
      <c r="M975">
        <v>-2.1410100000000001</v>
      </c>
      <c r="N975" t="s">
        <v>23</v>
      </c>
      <c r="O975">
        <v>671</v>
      </c>
      <c r="P975">
        <v>20.399999999999999</v>
      </c>
      <c r="Q975">
        <v>10</v>
      </c>
      <c r="R975" s="7" t="str">
        <f>IF(AllData[[#This Row],[Nitrate (PPM)]]&gt;2, "Very high", IF(AllData[[#This Row],[Nitrate (PPM)]]&gt;1, "High", IF(AllData[[#This Row],[Nitrate (PPM)]]&gt;0.5, "Some evidence", IF(AllData[[#This Row],[Nitrate (PPM)]]&gt;=0, "No evidence"))))</f>
        <v>Very high</v>
      </c>
      <c r="S975" s="4">
        <v>0.22</v>
      </c>
      <c r="T975" s="7" t="str">
        <f>IF(AllData[[#This Row],[Phosphate (PPM)]]&gt;0.5, "Very high", IF(AllData[[#This Row],[Phosphate (PPM)]]&gt;0.1, "High", IF(AllData[[#This Row],[Phosphate (PPM)]]&gt;0.05, "Some evidence", IF(AllData[[#This Row],[Phosphate (PPM)]]&lt;=0.05, "No Evidence", ""))))</f>
        <v>High</v>
      </c>
      <c r="U975">
        <v>0</v>
      </c>
    </row>
    <row r="976" spans="1:22" x14ac:dyDescent="0.25">
      <c r="A976" t="s">
        <v>1295</v>
      </c>
      <c r="B976" s="2">
        <v>45469</v>
      </c>
      <c r="C976" s="2" t="str" cm="1">
        <f t="array" ref="C9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6">
        <f>YEAR(AllData[[#This Row],[Date]])</f>
        <v>2024</v>
      </c>
      <c r="E976" s="1">
        <v>0.48333333333333334</v>
      </c>
      <c r="F976" s="2" t="str">
        <f>IF(AND(AllData[[#This Row],[Time]]&lt;0.5, AllData[[#This Row],[Time]]&gt;0.17)=TRUE, "Morning", IF(AND(AllData[[#This Row],[Time]]&lt;0.75, AllData[[#This Row],[Time]]&gt;=0.5)=TRUE, "Afternoon", IF(AND(AllData[[#This Row],[Time]]&lt;1, AllData[[#This Row],[Time]]&gt;=0.75)=TRUE, "Evening", "Night")))</f>
        <v>Morning</v>
      </c>
      <c r="G976" t="str">
        <f>_xlfn.XLOOKUP(AllData[[#This Row],[Location Name]], Locations[Location Name],Locations[Group As])</f>
        <v>Carrant M5 Bridge</v>
      </c>
      <c r="H976" t="e" vm="1">
        <f>_xlfn.XLOOKUP(AllData[[#This Row],[Site Name]],LocationsKey[Site Name],LocationsKey[District])</f>
        <v>#VALUE!</v>
      </c>
      <c r="I976" t="e" vm="1">
        <f>_xlfn.XLOOKUP(AllData[[#This Row],[Site Name]],LocationsKey[Site Name],LocationsKey[Town])</f>
        <v>#VALUE!</v>
      </c>
      <c r="J976" t="str">
        <f>_xlfn.XLOOKUP(AllData[[#This Row],[Site Name]],LocationsKey[Site Name], LocationsKey[Waterway])</f>
        <v>Carrant</v>
      </c>
      <c r="K976" t="s">
        <v>1015</v>
      </c>
      <c r="L976">
        <v>52.011873999999999</v>
      </c>
      <c r="M976">
        <v>-2.120193</v>
      </c>
      <c r="N976" t="s">
        <v>23</v>
      </c>
      <c r="O976">
        <v>761</v>
      </c>
      <c r="P976">
        <v>20.8</v>
      </c>
      <c r="Q976">
        <v>7</v>
      </c>
      <c r="R976" s="126" t="str">
        <f>IF(AllData[[#This Row],[Nitrate (PPM)]]&gt;2, "Very high", IF(AllData[[#This Row],[Nitrate (PPM)]]&gt;1, "High", IF(AllData[[#This Row],[Nitrate (PPM)]]&gt;0.5, "Some evidence", IF(AllData[[#This Row],[Nitrate (PPM)]]&gt;=0, "No evidence"))))</f>
        <v>Very high</v>
      </c>
      <c r="S976" s="4">
        <v>0.31</v>
      </c>
      <c r="T976" s="126" t="str">
        <f>IF(AllData[[#This Row],[Phosphate (PPM)]]&gt;0.5, "Very high", IF(AllData[[#This Row],[Phosphate (PPM)]]&gt;0.1, "High", IF(AllData[[#This Row],[Phosphate (PPM)]]&gt;0.05, "Some evidence", IF(AllData[[#This Row],[Phosphate (PPM)]]&lt;=0.05, "No Evidence", ""))))</f>
        <v>High</v>
      </c>
      <c r="U976">
        <v>0</v>
      </c>
    </row>
    <row r="977" spans="1:22" x14ac:dyDescent="0.25">
      <c r="A977" t="s">
        <v>1293</v>
      </c>
      <c r="B977" s="2">
        <v>45469</v>
      </c>
      <c r="C977" s="2" t="str" cm="1">
        <f t="array" ref="C9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7">
        <f>YEAR(AllData[[#This Row],[Date]])</f>
        <v>2024</v>
      </c>
      <c r="E977" s="1">
        <v>0.75</v>
      </c>
      <c r="F977" s="2" t="str">
        <f>IF(AND(AllData[[#This Row],[Time]]&lt;0.5, AllData[[#This Row],[Time]]&gt;0.17)=TRUE, "Morning", IF(AND(AllData[[#This Row],[Time]]&lt;0.75, AllData[[#This Row],[Time]]&gt;=0.5)=TRUE, "Afternoon", IF(AND(AllData[[#This Row],[Time]]&lt;1, AllData[[#This Row],[Time]]&gt;=0.75)=TRUE, "Evening", "Night")))</f>
        <v>Evening</v>
      </c>
      <c r="G977" t="str">
        <f>_xlfn.XLOOKUP(AllData[[#This Row],[Location Name]], Locations[Location Name],Locations[Group As])</f>
        <v>Stour Newbold Mill</v>
      </c>
      <c r="H977" t="e" vm="2">
        <f>_xlfn.XLOOKUP(AllData[[#This Row],[Site Name]],LocationsKey[Site Name],LocationsKey[District])</f>
        <v>#VALUE!</v>
      </c>
      <c r="I977" t="e" vm="8">
        <f>_xlfn.XLOOKUP(AllData[[#This Row],[Site Name]],LocationsKey[Site Name],LocationsKey[Town])</f>
        <v>#VALUE!</v>
      </c>
      <c r="J977" t="str">
        <f>_xlfn.XLOOKUP(AllData[[#This Row],[Site Name]],LocationsKey[Site Name], LocationsKey[Waterway])</f>
        <v>Stour</v>
      </c>
      <c r="K977" t="s">
        <v>140</v>
      </c>
      <c r="N977" t="s">
        <v>29</v>
      </c>
      <c r="O977">
        <v>667</v>
      </c>
      <c r="P977">
        <v>21</v>
      </c>
      <c r="Q977">
        <v>2</v>
      </c>
      <c r="R977" s="7" t="str">
        <f>IF(AllData[[#This Row],[Nitrate (PPM)]]&gt;2, "Very high", IF(AllData[[#This Row],[Nitrate (PPM)]]&gt;1, "High", IF(AllData[[#This Row],[Nitrate (PPM)]]&gt;0.5, "Some evidence", IF(AllData[[#This Row],[Nitrate (PPM)]]&gt;=0, "No evidence"))))</f>
        <v>High</v>
      </c>
      <c r="S977" s="4">
        <v>0.34</v>
      </c>
      <c r="T977" s="7" t="str">
        <f>IF(AllData[[#This Row],[Phosphate (PPM)]]&gt;0.5, "Very high", IF(AllData[[#This Row],[Phosphate (PPM)]]&gt;0.1, "High", IF(AllData[[#This Row],[Phosphate (PPM)]]&gt;0.05, "Some evidence", IF(AllData[[#This Row],[Phosphate (PPM)]]&lt;=0.05, "No Evidence", ""))))</f>
        <v>High</v>
      </c>
      <c r="U977">
        <v>2</v>
      </c>
      <c r="V977" t="s">
        <v>1294</v>
      </c>
    </row>
    <row r="978" spans="1:22" x14ac:dyDescent="0.25">
      <c r="A978" t="s">
        <v>1298</v>
      </c>
      <c r="B978" s="2">
        <v>45470</v>
      </c>
      <c r="C978" s="2" t="str" cm="1">
        <f t="array" ref="C9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8">
        <f>YEAR(AllData[[#This Row],[Date]])</f>
        <v>2024</v>
      </c>
      <c r="E978" s="1">
        <v>0.4236111111111111</v>
      </c>
      <c r="F978" s="2" t="str">
        <f>IF(AND(AllData[[#This Row],[Time]]&lt;0.5, AllData[[#This Row],[Time]]&gt;0.17)=TRUE, "Morning", IF(AND(AllData[[#This Row],[Time]]&lt;0.75, AllData[[#This Row],[Time]]&gt;=0.5)=TRUE, "Afternoon", IF(AND(AllData[[#This Row],[Time]]&lt;1, AllData[[#This Row],[Time]]&gt;=0.75)=TRUE, "Evening", "Night")))</f>
        <v>Morning</v>
      </c>
      <c r="G978" t="str">
        <f>_xlfn.XLOOKUP(AllData[[#This Row],[Location Name]], Locations[Location Name],Locations[Group As])</f>
        <v>Swilgate</v>
      </c>
      <c r="H978" t="e" vm="1">
        <f>_xlfn.XLOOKUP(AllData[[#This Row],[Site Name]],LocationsKey[Site Name],LocationsKey[District])</f>
        <v>#VALUE!</v>
      </c>
      <c r="I978" t="e" vm="1">
        <f>_xlfn.XLOOKUP(AllData[[#This Row],[Site Name]],LocationsKey[Site Name],LocationsKey[Town])</f>
        <v>#VALUE!</v>
      </c>
      <c r="J978" t="str">
        <f>_xlfn.XLOOKUP(AllData[[#This Row],[Site Name]],LocationsKey[Site Name], LocationsKey[Waterway])</f>
        <v>Swilgate</v>
      </c>
      <c r="K978" t="s">
        <v>84</v>
      </c>
      <c r="N978" t="s">
        <v>23</v>
      </c>
      <c r="O978">
        <v>102</v>
      </c>
      <c r="P978">
        <v>19.600000000000001</v>
      </c>
      <c r="Q978">
        <v>4</v>
      </c>
      <c r="R978" s="7" t="str">
        <f>IF(AllData[[#This Row],[Nitrate (PPM)]]&gt;2, "Very high", IF(AllData[[#This Row],[Nitrate (PPM)]]&gt;1, "High", IF(AllData[[#This Row],[Nitrate (PPM)]]&gt;0.5, "Some evidence", IF(AllData[[#This Row],[Nitrate (PPM)]]&gt;=0, "No evidence"))))</f>
        <v>Very high</v>
      </c>
      <c r="S978" s="4">
        <v>0.73</v>
      </c>
      <c r="T978" s="7" t="str">
        <f>IF(AllData[[#This Row],[Phosphate (PPM)]]&gt;0.5, "Very high", IF(AllData[[#This Row],[Phosphate (PPM)]]&gt;0.1, "High", IF(AllData[[#This Row],[Phosphate (PPM)]]&gt;0.05, "Some evidence", IF(AllData[[#This Row],[Phosphate (PPM)]]&lt;=0.05, "No Evidence", ""))))</f>
        <v>Very high</v>
      </c>
      <c r="U978">
        <v>0</v>
      </c>
    </row>
    <row r="979" spans="1:22" x14ac:dyDescent="0.25">
      <c r="A979" t="s">
        <v>1297</v>
      </c>
      <c r="B979" s="2">
        <v>45470</v>
      </c>
      <c r="C979" s="2" t="str" cm="1">
        <f t="array" ref="C9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79">
        <f>YEAR(AllData[[#This Row],[Date]])</f>
        <v>2024</v>
      </c>
      <c r="E979" s="1">
        <v>0.45833333333333331</v>
      </c>
      <c r="F979" s="2" t="str">
        <f>IF(AND(AllData[[#This Row],[Time]]&lt;0.5, AllData[[#This Row],[Time]]&gt;0.17)=TRUE, "Morning", IF(AND(AllData[[#This Row],[Time]]&lt;0.75, AllData[[#This Row],[Time]]&gt;=0.5)=TRUE, "Afternoon", IF(AND(AllData[[#This Row],[Time]]&lt;1, AllData[[#This Row],[Time]]&gt;=0.75)=TRUE, "Evening", "Night")))</f>
        <v>Morning</v>
      </c>
      <c r="G979" t="str">
        <f>_xlfn.XLOOKUP(AllData[[#This Row],[Location Name]], Locations[Location Name],Locations[Group As])</f>
        <v>Stour Willington</v>
      </c>
      <c r="H979" t="e" vm="2">
        <f>_xlfn.XLOOKUP(AllData[[#This Row],[Site Name]],LocationsKey[Site Name],LocationsKey[District])</f>
        <v>#VALUE!</v>
      </c>
      <c r="I979" t="str">
        <f>_xlfn.XLOOKUP(AllData[[#This Row],[Site Name]],LocationsKey[Site Name],LocationsKey[Town])</f>
        <v>Willington</v>
      </c>
      <c r="J979" t="str">
        <f>_xlfn.XLOOKUP(AllData[[#This Row],[Site Name]],LocationsKey[Site Name], LocationsKey[Waterway])</f>
        <v>Stour</v>
      </c>
      <c r="K979" t="s">
        <v>517</v>
      </c>
      <c r="L979">
        <v>52.053550999999999</v>
      </c>
      <c r="M979">
        <v>-1.6201300000000001</v>
      </c>
      <c r="N979" t="s">
        <v>23</v>
      </c>
      <c r="O979">
        <v>607</v>
      </c>
      <c r="P979">
        <v>15.5</v>
      </c>
      <c r="Q979">
        <v>2</v>
      </c>
      <c r="R979" s="7" t="str">
        <f>IF(AllData[[#This Row],[Nitrate (PPM)]]&gt;2, "Very high", IF(AllData[[#This Row],[Nitrate (PPM)]]&gt;1, "High", IF(AllData[[#This Row],[Nitrate (PPM)]]&gt;0.5, "Some evidence", IF(AllData[[#This Row],[Nitrate (PPM)]]&gt;=0, "No evidence"))))</f>
        <v>High</v>
      </c>
      <c r="S979" s="4">
        <v>0.39</v>
      </c>
      <c r="T979" s="7" t="str">
        <f>IF(AllData[[#This Row],[Phosphate (PPM)]]&gt;0.5, "Very high", IF(AllData[[#This Row],[Phosphate (PPM)]]&gt;0.1, "High", IF(AllData[[#This Row],[Phosphate (PPM)]]&gt;0.05, "Some evidence", IF(AllData[[#This Row],[Phosphate (PPM)]]&lt;=0.05, "No Evidence", ""))))</f>
        <v>High</v>
      </c>
      <c r="U979">
        <v>0.5</v>
      </c>
    </row>
    <row r="980" spans="1:22" x14ac:dyDescent="0.25">
      <c r="A980" t="s">
        <v>1299</v>
      </c>
      <c r="B980" s="2">
        <v>45470</v>
      </c>
      <c r="C980" s="2" t="str" cm="1">
        <f t="array" ref="C9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0">
        <f>YEAR(AllData[[#This Row],[Date]])</f>
        <v>2024</v>
      </c>
      <c r="E980" s="1">
        <v>0.50694444444444442</v>
      </c>
      <c r="F980" s="2" t="str">
        <f>IF(AND(AllData[[#This Row],[Time]]&lt;0.5, AllData[[#This Row],[Time]]&gt;0.17)=TRUE, "Morning", IF(AND(AllData[[#This Row],[Time]]&lt;0.75, AllData[[#This Row],[Time]]&gt;=0.5)=TRUE, "Afternoon", IF(AND(AllData[[#This Row],[Time]]&lt;1, AllData[[#This Row],[Time]]&gt;=0.75)=TRUE, "Evening", "Night")))</f>
        <v>Afternoon</v>
      </c>
      <c r="G980" t="str">
        <f>_xlfn.XLOOKUP(AllData[[#This Row],[Location Name]], Locations[Location Name],Locations[Group As])</f>
        <v>Twyning Fleet</v>
      </c>
      <c r="H980" t="e" vm="1">
        <f>_xlfn.XLOOKUP(AllData[[#This Row],[Site Name]],LocationsKey[Site Name],LocationsKey[District])</f>
        <v>#VALUE!</v>
      </c>
      <c r="I980" t="str">
        <f>_xlfn.XLOOKUP(AllData[[#This Row],[Site Name]],LocationsKey[Site Name],LocationsKey[Town])</f>
        <v>Twyning Green</v>
      </c>
      <c r="J980" t="str">
        <f>_xlfn.XLOOKUP(AllData[[#This Row],[Site Name]],LocationsKey[Site Name], LocationsKey[Waterway])</f>
        <v>Avon</v>
      </c>
      <c r="K980" t="s">
        <v>54</v>
      </c>
      <c r="L980">
        <v>52.027059999999999</v>
      </c>
      <c r="M980">
        <v>-2.140463</v>
      </c>
      <c r="N980" t="s">
        <v>29</v>
      </c>
      <c r="O980">
        <v>1000</v>
      </c>
      <c r="P980">
        <v>23.3</v>
      </c>
      <c r="Q980">
        <v>9</v>
      </c>
      <c r="R980" s="7" t="str">
        <f>IF(AllData[[#This Row],[Nitrate (PPM)]]&gt;2, "Very high", IF(AllData[[#This Row],[Nitrate (PPM)]]&gt;1, "High", IF(AllData[[#This Row],[Nitrate (PPM)]]&gt;0.5, "Some evidence", IF(AllData[[#This Row],[Nitrate (PPM)]]&gt;=0, "No evidence"))))</f>
        <v>Very high</v>
      </c>
      <c r="S980" s="4">
        <v>0.86</v>
      </c>
      <c r="T980" s="7" t="str">
        <f>IF(AllData[[#This Row],[Phosphate (PPM)]]&gt;0.5, "Very high", IF(AllData[[#This Row],[Phosphate (PPM)]]&gt;0.1, "High", IF(AllData[[#This Row],[Phosphate (PPM)]]&gt;0.05, "Some evidence", IF(AllData[[#This Row],[Phosphate (PPM)]]&lt;=0.05, "No Evidence", ""))))</f>
        <v>Very high</v>
      </c>
      <c r="U980">
        <v>0</v>
      </c>
      <c r="V980" t="s">
        <v>1300</v>
      </c>
    </row>
    <row r="981" spans="1:22" x14ac:dyDescent="0.25">
      <c r="A981" t="s">
        <v>1308</v>
      </c>
      <c r="B981" s="2">
        <v>45471</v>
      </c>
      <c r="C981" s="2" t="str" cm="1">
        <f t="array" ref="C9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1">
        <f>YEAR(AllData[[#This Row],[Date]])</f>
        <v>2024</v>
      </c>
      <c r="E981" s="1">
        <v>0.34513888888888888</v>
      </c>
      <c r="F981" s="2" t="str">
        <f>IF(AND(AllData[[#This Row],[Time]]&lt;0.5, AllData[[#This Row],[Time]]&gt;0.17)=TRUE, "Morning", IF(AND(AllData[[#This Row],[Time]]&lt;0.75, AllData[[#This Row],[Time]]&gt;=0.5)=TRUE, "Afternoon", IF(AND(AllData[[#This Row],[Time]]&lt;1, AllData[[#This Row],[Time]]&gt;=0.75)=TRUE, "Evening", "Night")))</f>
        <v>Morning</v>
      </c>
      <c r="G981" t="str">
        <f>_xlfn.XLOOKUP(AllData[[#This Row],[Location Name]], Locations[Location Name],Locations[Group As])</f>
        <v>Lower Lode</v>
      </c>
      <c r="H981" t="e" vm="1">
        <f>_xlfn.XLOOKUP(AllData[[#This Row],[Site Name]],LocationsKey[Site Name],LocationsKey[District])</f>
        <v>#VALUE!</v>
      </c>
      <c r="I981" t="e" vm="1">
        <f>_xlfn.XLOOKUP(AllData[[#This Row],[Site Name]],LocationsKey[Site Name],LocationsKey[Town])</f>
        <v>#VALUE!</v>
      </c>
      <c r="J981" t="str">
        <f>_xlfn.XLOOKUP(AllData[[#This Row],[Site Name]],LocationsKey[Site Name], LocationsKey[Waterway])</f>
        <v>Avon</v>
      </c>
      <c r="K981" t="s">
        <v>592</v>
      </c>
      <c r="L981">
        <v>51.984009</v>
      </c>
      <c r="M981">
        <v>-2.1756470000000001</v>
      </c>
      <c r="N981" t="s">
        <v>29</v>
      </c>
      <c r="O981">
        <v>1200</v>
      </c>
      <c r="P981">
        <v>18.3</v>
      </c>
      <c r="Q981">
        <v>10</v>
      </c>
      <c r="R981" s="7" t="str">
        <f>IF(AllData[[#This Row],[Nitrate (PPM)]]&gt;2, "Very high", IF(AllData[[#This Row],[Nitrate (PPM)]]&gt;1, "High", IF(AllData[[#This Row],[Nitrate (PPM)]]&gt;0.5, "Some evidence", IF(AllData[[#This Row],[Nitrate (PPM)]]&gt;=0, "No evidence"))))</f>
        <v>Very high</v>
      </c>
      <c r="S981" s="4">
        <v>0.44</v>
      </c>
      <c r="T981" s="7" t="str">
        <f>IF(AllData[[#This Row],[Phosphate (PPM)]]&gt;0.5, "Very high", IF(AllData[[#This Row],[Phosphate (PPM)]]&gt;0.1, "High", IF(AllData[[#This Row],[Phosphate (PPM)]]&gt;0.05, "Some evidence", IF(AllData[[#This Row],[Phosphate (PPM)]]&lt;=0.05, "No Evidence", ""))))</f>
        <v>High</v>
      </c>
      <c r="U981">
        <v>1</v>
      </c>
    </row>
    <row r="982" spans="1:22" x14ac:dyDescent="0.25">
      <c r="A982" t="s">
        <v>1306</v>
      </c>
      <c r="B982" s="2">
        <v>45471</v>
      </c>
      <c r="C982" s="2" t="str" cm="1">
        <f t="array" ref="C9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2">
        <f>YEAR(AllData[[#This Row],[Date]])</f>
        <v>2024</v>
      </c>
      <c r="E982" s="1">
        <v>0.38680555555555557</v>
      </c>
      <c r="F982" s="2" t="str">
        <f>IF(AND(AllData[[#This Row],[Time]]&lt;0.5, AllData[[#This Row],[Time]]&gt;0.17)=TRUE, "Morning", IF(AND(AllData[[#This Row],[Time]]&lt;0.75, AllData[[#This Row],[Time]]&gt;=0.5)=TRUE, "Afternoon", IF(AND(AllData[[#This Row],[Time]]&lt;1, AllData[[#This Row],[Time]]&gt;=0.75)=TRUE, "Evening", "Night")))</f>
        <v>Morning</v>
      </c>
      <c r="G982" t="str">
        <f>_xlfn.XLOOKUP(AllData[[#This Row],[Location Name]], Locations[Location Name],Locations[Group As])</f>
        <v>Carrant Back Lane Beckford</v>
      </c>
      <c r="H982" t="e" vm="1">
        <f>_xlfn.XLOOKUP(AllData[[#This Row],[Site Name]],LocationsKey[Site Name],LocationsKey[District])</f>
        <v>#VALUE!</v>
      </c>
      <c r="I982" t="str">
        <f>_xlfn.XLOOKUP(AllData[[#This Row],[Site Name]],LocationsKey[Site Name],LocationsKey[Town])</f>
        <v>Beckford</v>
      </c>
      <c r="J982" t="str">
        <f>_xlfn.XLOOKUP(AllData[[#This Row],[Site Name]],LocationsKey[Site Name], LocationsKey[Waterway])</f>
        <v>Carrant</v>
      </c>
      <c r="K982" t="s">
        <v>1307</v>
      </c>
      <c r="L982">
        <v>52.011721000000001</v>
      </c>
      <c r="M982">
        <v>-2.04243</v>
      </c>
      <c r="N982" t="s">
        <v>66</v>
      </c>
      <c r="O982">
        <v>790</v>
      </c>
      <c r="P982">
        <v>15.7</v>
      </c>
      <c r="Q982">
        <v>5</v>
      </c>
      <c r="R982" s="7" t="str">
        <f>IF(AllData[[#This Row],[Nitrate (PPM)]]&gt;2, "Very high", IF(AllData[[#This Row],[Nitrate (PPM)]]&gt;1, "High", IF(AllData[[#This Row],[Nitrate (PPM)]]&gt;0.5, "Some evidence", IF(AllData[[#This Row],[Nitrate (PPM)]]&gt;=0, "No evidence"))))</f>
        <v>Very high</v>
      </c>
      <c r="S982" s="4">
        <v>1.4</v>
      </c>
      <c r="T982" s="7" t="str">
        <f>IF(AllData[[#This Row],[Phosphate (PPM)]]&gt;0.5, "Very high", IF(AllData[[#This Row],[Phosphate (PPM)]]&gt;0.1, "High", IF(AllData[[#This Row],[Phosphate (PPM)]]&gt;0.05, "Some evidence", IF(AllData[[#This Row],[Phosphate (PPM)]]&lt;=0.05, "No Evidence", ""))))</f>
        <v>Very high</v>
      </c>
      <c r="U982">
        <v>0</v>
      </c>
    </row>
    <row r="983" spans="1:22" x14ac:dyDescent="0.25">
      <c r="A983" t="s">
        <v>1304</v>
      </c>
      <c r="B983" s="2">
        <v>45471</v>
      </c>
      <c r="C983" s="2" t="str" cm="1">
        <f t="array" ref="C9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3">
        <f>YEAR(AllData[[#This Row],[Date]])</f>
        <v>2024</v>
      </c>
      <c r="E983" s="1">
        <v>0.41180555555555554</v>
      </c>
      <c r="F983" s="2" t="str">
        <f>IF(AND(AllData[[#This Row],[Time]]&lt;0.5, AllData[[#This Row],[Time]]&gt;0.17)=TRUE, "Morning", IF(AND(AllData[[#This Row],[Time]]&lt;0.75, AllData[[#This Row],[Time]]&gt;=0.5)=TRUE, "Afternoon", IF(AND(AllData[[#This Row],[Time]]&lt;1, AllData[[#This Row],[Time]]&gt;=0.75)=TRUE, "Evening", "Night")))</f>
        <v>Morning</v>
      </c>
      <c r="G983" t="str">
        <f>_xlfn.XLOOKUP(AllData[[#This Row],[Location Name]], Locations[Location Name],Locations[Group As])</f>
        <v>Carrant Beckford Sewage Works</v>
      </c>
      <c r="H983" t="e" vm="1">
        <f>_xlfn.XLOOKUP(AllData[[#This Row],[Site Name]],LocationsKey[Site Name],LocationsKey[District])</f>
        <v>#VALUE!</v>
      </c>
      <c r="I983" t="str">
        <f>_xlfn.XLOOKUP(AllData[[#This Row],[Site Name]],LocationsKey[Site Name],LocationsKey[Town])</f>
        <v>Beckford</v>
      </c>
      <c r="J983" t="str">
        <f>_xlfn.XLOOKUP(AllData[[#This Row],[Site Name]],LocationsKey[Site Name], LocationsKey[Waterway])</f>
        <v>Carrant</v>
      </c>
      <c r="K983" t="s">
        <v>1305</v>
      </c>
      <c r="L983">
        <v>52.015557999999999</v>
      </c>
      <c r="M983">
        <v>-2.0442779999999998</v>
      </c>
      <c r="N983" t="s">
        <v>29</v>
      </c>
      <c r="O983">
        <v>800</v>
      </c>
      <c r="P983">
        <v>15.7</v>
      </c>
      <c r="Q983">
        <v>6</v>
      </c>
      <c r="R983" s="7" t="str">
        <f>IF(AllData[[#This Row],[Nitrate (PPM)]]&gt;2, "Very high", IF(AllData[[#This Row],[Nitrate (PPM)]]&gt;1, "High", IF(AllData[[#This Row],[Nitrate (PPM)]]&gt;0.5, "Some evidence", IF(AllData[[#This Row],[Nitrate (PPM)]]&gt;=0, "No evidence"))))</f>
        <v>Very high</v>
      </c>
      <c r="S983" s="4">
        <v>0.82</v>
      </c>
      <c r="T983" s="7" t="str">
        <f>IF(AllData[[#This Row],[Phosphate (PPM)]]&gt;0.5, "Very high", IF(AllData[[#This Row],[Phosphate (PPM)]]&gt;0.1, "High", IF(AllData[[#This Row],[Phosphate (PPM)]]&gt;0.05, "Some evidence", IF(AllData[[#This Row],[Phosphate (PPM)]]&lt;=0.05, "No Evidence", ""))))</f>
        <v>Very high</v>
      </c>
      <c r="U983">
        <v>0</v>
      </c>
    </row>
    <row r="984" spans="1:22" x14ac:dyDescent="0.25">
      <c r="A984" t="s">
        <v>1301</v>
      </c>
      <c r="B984" s="2">
        <v>45471</v>
      </c>
      <c r="C984" s="2" t="str" cm="1">
        <f t="array" ref="C9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4">
        <f>YEAR(AllData[[#This Row],[Date]])</f>
        <v>2024</v>
      </c>
      <c r="E984" s="1">
        <v>0.45416666666666666</v>
      </c>
      <c r="F984" s="2" t="str">
        <f>IF(AND(AllData[[#This Row],[Time]]&lt;0.5, AllData[[#This Row],[Time]]&gt;0.17)=TRUE, "Morning", IF(AND(AllData[[#This Row],[Time]]&lt;0.75, AllData[[#This Row],[Time]]&gt;=0.5)=TRUE, "Afternoon", IF(AND(AllData[[#This Row],[Time]]&lt;1, AllData[[#This Row],[Time]]&gt;=0.75)=TRUE, "Evening", "Night")))</f>
        <v>Morning</v>
      </c>
      <c r="G984" t="str">
        <f>_xlfn.XLOOKUP(AllData[[#This Row],[Location Name]], Locations[Location Name],Locations[Group As])</f>
        <v>Mill Bridge Peopleton</v>
      </c>
      <c r="H984" t="e" vm="17">
        <f>_xlfn.XLOOKUP(AllData[[#This Row],[Site Name]],LocationsKey[Site Name],LocationsKey[District])</f>
        <v>#VALUE!</v>
      </c>
      <c r="I984" t="str">
        <f>_xlfn.XLOOKUP(AllData[[#This Row],[Site Name]],LocationsKey[Site Name],LocationsKey[Town])</f>
        <v>Peopleton</v>
      </c>
      <c r="J984" t="str">
        <f>_xlfn.XLOOKUP(AllData[[#This Row],[Site Name]],LocationsKey[Site Name], LocationsKey[Waterway])</f>
        <v>Bow Brook</v>
      </c>
      <c r="K984" t="s">
        <v>1302</v>
      </c>
      <c r="L984">
        <v>52.151657999999998</v>
      </c>
      <c r="M984">
        <v>-2.0962730000000001</v>
      </c>
      <c r="N984" t="s">
        <v>29</v>
      </c>
      <c r="O984">
        <v>130</v>
      </c>
      <c r="P984">
        <v>18.8</v>
      </c>
      <c r="Q984">
        <v>5</v>
      </c>
      <c r="R984" s="7" t="str">
        <f>IF(AllData[[#This Row],[Nitrate (PPM)]]&gt;2, "Very high", IF(AllData[[#This Row],[Nitrate (PPM)]]&gt;1, "High", IF(AllData[[#This Row],[Nitrate (PPM)]]&gt;0.5, "Some evidence", IF(AllData[[#This Row],[Nitrate (PPM)]]&gt;=0, "No evidence"))))</f>
        <v>Very high</v>
      </c>
      <c r="S984" s="4">
        <v>0.04</v>
      </c>
      <c r="T984" s="7" t="str">
        <f>IF(AllData[[#This Row],[Phosphate (PPM)]]&gt;0.5, "Very high", IF(AllData[[#This Row],[Phosphate (PPM)]]&gt;0.1, "High", IF(AllData[[#This Row],[Phosphate (PPM)]]&gt;0.05, "Some evidence", IF(AllData[[#This Row],[Phosphate (PPM)]]&lt;=0.05, "No Evidence", ""))))</f>
        <v>No Evidence</v>
      </c>
      <c r="U984">
        <v>0.25</v>
      </c>
      <c r="V984" t="s">
        <v>1303</v>
      </c>
    </row>
    <row r="985" spans="1:22" x14ac:dyDescent="0.25">
      <c r="A985" t="s">
        <v>1314</v>
      </c>
      <c r="B985" s="2">
        <v>45472</v>
      </c>
      <c r="C985" s="2" t="str" cm="1">
        <f t="array" ref="C9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5">
        <f>YEAR(AllData[[#This Row],[Date]])</f>
        <v>2024</v>
      </c>
      <c r="E985" s="1">
        <v>0.39583333333333331</v>
      </c>
      <c r="F985" s="2" t="str">
        <f>IF(AND(AllData[[#This Row],[Time]]&lt;0.5, AllData[[#This Row],[Time]]&gt;0.17)=TRUE, "Morning", IF(AND(AllData[[#This Row],[Time]]&lt;0.75, AllData[[#This Row],[Time]]&gt;=0.5)=TRUE, "Afternoon", IF(AND(AllData[[#This Row],[Time]]&lt;1, AllData[[#This Row],[Time]]&gt;=0.75)=TRUE, "Evening", "Night")))</f>
        <v>Morning</v>
      </c>
      <c r="G985" t="str">
        <f>_xlfn.XLOOKUP(AllData[[#This Row],[Location Name]], Locations[Location Name],Locations[Group As])</f>
        <v>Avon Smiths Meadow Wyre Piddle</v>
      </c>
      <c r="H985" t="e" vm="17">
        <f>_xlfn.XLOOKUP(AllData[[#This Row],[Site Name]],LocationsKey[Site Name],LocationsKey[District])</f>
        <v>#VALUE!</v>
      </c>
      <c r="I985" t="e" vm="20">
        <f>_xlfn.XLOOKUP(AllData[[#This Row],[Site Name]],LocationsKey[Site Name],LocationsKey[Town])</f>
        <v>#VALUE!</v>
      </c>
      <c r="J985" t="str">
        <f>_xlfn.XLOOKUP(AllData[[#This Row],[Site Name]],LocationsKey[Site Name], LocationsKey[Waterway])</f>
        <v>Avon</v>
      </c>
      <c r="K985" t="s">
        <v>741</v>
      </c>
      <c r="L985">
        <v>52.122858999999998</v>
      </c>
      <c r="M985">
        <v>-2.0575389999999998</v>
      </c>
      <c r="N985" t="s">
        <v>23</v>
      </c>
      <c r="O985">
        <v>1030</v>
      </c>
      <c r="P985">
        <v>20.2</v>
      </c>
      <c r="Q985">
        <v>10</v>
      </c>
      <c r="R985" s="7" t="str">
        <f>IF(AllData[[#This Row],[Nitrate (PPM)]]&gt;2, "Very high", IF(AllData[[#This Row],[Nitrate (PPM)]]&gt;1, "High", IF(AllData[[#This Row],[Nitrate (PPM)]]&gt;0.5, "Some evidence", IF(AllData[[#This Row],[Nitrate (PPM)]]&gt;=0, "No evidence"))))</f>
        <v>Very high</v>
      </c>
      <c r="S985" s="4">
        <v>0.76</v>
      </c>
      <c r="T985" s="7" t="str">
        <f>IF(AllData[[#This Row],[Phosphate (PPM)]]&gt;0.5, "Very high", IF(AllData[[#This Row],[Phosphate (PPM)]]&gt;0.1, "High", IF(AllData[[#This Row],[Phosphate (PPM)]]&gt;0.05, "Some evidence", IF(AllData[[#This Row],[Phosphate (PPM)]]&lt;=0.05, "No Evidence", ""))))</f>
        <v>Very high</v>
      </c>
      <c r="U985">
        <v>0.53</v>
      </c>
      <c r="V985" t="s">
        <v>1315</v>
      </c>
    </row>
    <row r="986" spans="1:22" x14ac:dyDescent="0.25">
      <c r="A986" t="s">
        <v>1312</v>
      </c>
      <c r="B986" s="2">
        <v>45472</v>
      </c>
      <c r="C986" s="2" t="str" cm="1">
        <f t="array" ref="C9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6">
        <f>YEAR(AllData[[#This Row],[Date]])</f>
        <v>2024</v>
      </c>
      <c r="E986" s="1">
        <v>0.41666666666666669</v>
      </c>
      <c r="F986" s="2" t="str">
        <f>IF(AND(AllData[[#This Row],[Time]]&lt;0.5, AllData[[#This Row],[Time]]&gt;0.17)=TRUE, "Morning", IF(AND(AllData[[#This Row],[Time]]&lt;0.75, AllData[[#This Row],[Time]]&gt;=0.5)=TRUE, "Afternoon", IF(AND(AllData[[#This Row],[Time]]&lt;1, AllData[[#This Row],[Time]]&gt;=0.75)=TRUE, "Evening", "Night")))</f>
        <v>Morning</v>
      </c>
      <c r="G986" t="str">
        <f>_xlfn.XLOOKUP(AllData[[#This Row],[Location Name]], Locations[Location Name],Locations[Group As])</f>
        <v>Piddle Brook Wyre Piddle Bridge</v>
      </c>
      <c r="H986" t="e" vm="17">
        <f>_xlfn.XLOOKUP(AllData[[#This Row],[Site Name]],LocationsKey[Site Name],LocationsKey[District])</f>
        <v>#VALUE!</v>
      </c>
      <c r="I986" t="e" vm="20">
        <f>_xlfn.XLOOKUP(AllData[[#This Row],[Site Name]],LocationsKey[Site Name],LocationsKey[Town])</f>
        <v>#VALUE!</v>
      </c>
      <c r="J986" t="str">
        <f>_xlfn.XLOOKUP(AllData[[#This Row],[Site Name]],LocationsKey[Site Name], LocationsKey[Waterway])</f>
        <v>Piddle Brook</v>
      </c>
      <c r="K986" t="s">
        <v>744</v>
      </c>
      <c r="L986">
        <v>52.126404000000001</v>
      </c>
      <c r="M986">
        <v>-2.0565410000000002</v>
      </c>
      <c r="N986" t="s">
        <v>23</v>
      </c>
      <c r="O986">
        <v>1710</v>
      </c>
      <c r="P986">
        <v>15.8</v>
      </c>
      <c r="Q986">
        <v>10</v>
      </c>
      <c r="R986" s="7" t="str">
        <f>IF(AllData[[#This Row],[Nitrate (PPM)]]&gt;2, "Very high", IF(AllData[[#This Row],[Nitrate (PPM)]]&gt;1, "High", IF(AllData[[#This Row],[Nitrate (PPM)]]&gt;0.5, "Some evidence", IF(AllData[[#This Row],[Nitrate (PPM)]]&gt;=0, "No evidence"))))</f>
        <v>Very high</v>
      </c>
      <c r="S986" s="4">
        <v>1.1000000000000001</v>
      </c>
      <c r="T986" s="7" t="str">
        <f>IF(AllData[[#This Row],[Phosphate (PPM)]]&gt;0.5, "Very high", IF(AllData[[#This Row],[Phosphate (PPM)]]&gt;0.1, "High", IF(AllData[[#This Row],[Phosphate (PPM)]]&gt;0.05, "Some evidence", IF(AllData[[#This Row],[Phosphate (PPM)]]&lt;=0.05, "No Evidence", ""))))</f>
        <v>Very high</v>
      </c>
      <c r="U986">
        <v>0.16</v>
      </c>
      <c r="V986" t="s">
        <v>1313</v>
      </c>
    </row>
    <row r="987" spans="1:22" x14ac:dyDescent="0.25">
      <c r="A987" t="s">
        <v>1311</v>
      </c>
      <c r="B987" s="2">
        <v>45472</v>
      </c>
      <c r="C987" s="2" t="str" cm="1">
        <f t="array" ref="C9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7">
        <f>YEAR(AllData[[#This Row],[Date]])</f>
        <v>2024</v>
      </c>
      <c r="E987" s="1">
        <v>0.43263888888888891</v>
      </c>
      <c r="F987" s="2" t="str">
        <f>IF(AND(AllData[[#This Row],[Time]]&lt;0.5, AllData[[#This Row],[Time]]&gt;0.17)=TRUE, "Morning", IF(AND(AllData[[#This Row],[Time]]&lt;0.75, AllData[[#This Row],[Time]]&gt;=0.5)=TRUE, "Afternoon", IF(AND(AllData[[#This Row],[Time]]&lt;1, AllData[[#This Row],[Time]]&gt;=0.75)=TRUE, "Evening", "Night")))</f>
        <v>Morning</v>
      </c>
      <c r="G987" t="str">
        <f>_xlfn.XLOOKUP(AllData[[#This Row],[Location Name]], Locations[Location Name],Locations[Group As])</f>
        <v>Pitch 16</v>
      </c>
      <c r="H987" t="e" vm="2">
        <f>_xlfn.XLOOKUP(AllData[[#This Row],[Site Name]],LocationsKey[Site Name],LocationsKey[District])</f>
        <v>#VALUE!</v>
      </c>
      <c r="I987" t="e" vm="7">
        <f>_xlfn.XLOOKUP(AllData[[#This Row],[Site Name]],LocationsKey[Site Name],LocationsKey[Town])</f>
        <v>#VALUE!</v>
      </c>
      <c r="J987" t="str">
        <f>_xlfn.XLOOKUP(AllData[[#This Row],[Site Name]],LocationsKey[Site Name], LocationsKey[Waterway])</f>
        <v>Avon</v>
      </c>
      <c r="K987" t="s">
        <v>69</v>
      </c>
      <c r="L987">
        <v>52.172500999999997</v>
      </c>
      <c r="M987">
        <v>-1.745303</v>
      </c>
      <c r="N987" t="s">
        <v>29</v>
      </c>
      <c r="O987">
        <v>1010</v>
      </c>
      <c r="P987">
        <v>20.5</v>
      </c>
      <c r="Q987">
        <v>8</v>
      </c>
      <c r="R987" s="7" t="str">
        <f>IF(AllData[[#This Row],[Nitrate (PPM)]]&gt;2, "Very high", IF(AllData[[#This Row],[Nitrate (PPM)]]&gt;1, "High", IF(AllData[[#This Row],[Nitrate (PPM)]]&gt;0.5, "Some evidence", IF(AllData[[#This Row],[Nitrate (PPM)]]&gt;=0, "No evidence"))))</f>
        <v>Very high</v>
      </c>
      <c r="S987" s="4">
        <v>0.57999999999999996</v>
      </c>
      <c r="T987" s="7" t="str">
        <f>IF(AllData[[#This Row],[Phosphate (PPM)]]&gt;0.5, "Very high", IF(AllData[[#This Row],[Phosphate (PPM)]]&gt;0.1, "High", IF(AllData[[#This Row],[Phosphate (PPM)]]&gt;0.05, "Some evidence", IF(AllData[[#This Row],[Phosphate (PPM)]]&lt;=0.05, "No Evidence", ""))))</f>
        <v>Very high</v>
      </c>
      <c r="U987">
        <v>0.6</v>
      </c>
    </row>
    <row r="988" spans="1:22" x14ac:dyDescent="0.25">
      <c r="A988" t="s">
        <v>1310</v>
      </c>
      <c r="B988" s="2">
        <v>45472</v>
      </c>
      <c r="C988" s="2" t="str" cm="1">
        <f t="array" ref="C9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8">
        <f>YEAR(AllData[[#This Row],[Date]])</f>
        <v>2024</v>
      </c>
      <c r="E988" s="1">
        <v>0.44930555555555557</v>
      </c>
      <c r="F988" s="2" t="str">
        <f>IF(AND(AllData[[#This Row],[Time]]&lt;0.5, AllData[[#This Row],[Time]]&gt;0.17)=TRUE, "Morning", IF(AND(AllData[[#This Row],[Time]]&lt;0.75, AllData[[#This Row],[Time]]&gt;=0.5)=TRUE, "Afternoon", IF(AND(AllData[[#This Row],[Time]]&lt;1, AllData[[#This Row],[Time]]&gt;=0.75)=TRUE, "Evening", "Night")))</f>
        <v>Morning</v>
      </c>
      <c r="G988" t="str">
        <f>_xlfn.XLOOKUP(AllData[[#This Row],[Location Name]], Locations[Location Name],Locations[Group As])</f>
        <v>Avonbank Drive</v>
      </c>
      <c r="H988" t="e" vm="2">
        <f>_xlfn.XLOOKUP(AllData[[#This Row],[Site Name]],LocationsKey[Site Name],LocationsKey[District])</f>
        <v>#VALUE!</v>
      </c>
      <c r="I988" t="e" vm="7">
        <f>_xlfn.XLOOKUP(AllData[[#This Row],[Site Name]],LocationsKey[Site Name],LocationsKey[Town])</f>
        <v>#VALUE!</v>
      </c>
      <c r="J988" t="str">
        <f>_xlfn.XLOOKUP(AllData[[#This Row],[Site Name]],LocationsKey[Site Name], LocationsKey[Waterway])</f>
        <v>Avon</v>
      </c>
      <c r="K988" t="s">
        <v>325</v>
      </c>
      <c r="L988">
        <v>52.177107999999997</v>
      </c>
      <c r="M988">
        <v>-1.7359720000000001</v>
      </c>
      <c r="N988" t="s">
        <v>66</v>
      </c>
      <c r="O988">
        <v>1010</v>
      </c>
      <c r="P988">
        <v>20.6</v>
      </c>
      <c r="Q988">
        <v>10</v>
      </c>
      <c r="R988" s="7" t="str">
        <f>IF(AllData[[#This Row],[Nitrate (PPM)]]&gt;2, "Very high", IF(AllData[[#This Row],[Nitrate (PPM)]]&gt;1, "High", IF(AllData[[#This Row],[Nitrate (PPM)]]&gt;0.5, "Some evidence", IF(AllData[[#This Row],[Nitrate (PPM)]]&gt;=0, "No evidence"))))</f>
        <v>Very high</v>
      </c>
      <c r="S988" s="4">
        <v>0.43</v>
      </c>
      <c r="T988" s="7" t="str">
        <f>IF(AllData[[#This Row],[Phosphate (PPM)]]&gt;0.5, "Very high", IF(AllData[[#This Row],[Phosphate (PPM)]]&gt;0.1, "High", IF(AllData[[#This Row],[Phosphate (PPM)]]&gt;0.05, "Some evidence", IF(AllData[[#This Row],[Phosphate (PPM)]]&lt;=0.05, "No Evidence", ""))))</f>
        <v>High</v>
      </c>
      <c r="U988">
        <v>0.6</v>
      </c>
    </row>
    <row r="989" spans="1:22" x14ac:dyDescent="0.25">
      <c r="A989" t="s">
        <v>1309</v>
      </c>
      <c r="B989" s="2">
        <v>45472</v>
      </c>
      <c r="C989" s="2" t="str" cm="1">
        <f t="array" ref="C9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89">
        <f>YEAR(AllData[[#This Row],[Date]])</f>
        <v>2024</v>
      </c>
      <c r="E989" s="1">
        <v>0.5</v>
      </c>
      <c r="F989" s="2" t="str">
        <f>IF(AND(AllData[[#This Row],[Time]]&lt;0.5, AllData[[#This Row],[Time]]&gt;0.17)=TRUE, "Morning", IF(AND(AllData[[#This Row],[Time]]&lt;0.75, AllData[[#This Row],[Time]]&gt;=0.5)=TRUE, "Afternoon", IF(AND(AllData[[#This Row],[Time]]&lt;1, AllData[[#This Row],[Time]]&gt;=0.75)=TRUE, "Evening", "Night")))</f>
        <v>Afternoon</v>
      </c>
      <c r="G989" t="str">
        <f>_xlfn.XLOOKUP(AllData[[#This Row],[Location Name]], Locations[Location Name],Locations[Group As])</f>
        <v>Carrant Bredon Rd</v>
      </c>
      <c r="H989" t="e" vm="1">
        <f>_xlfn.XLOOKUP(AllData[[#This Row],[Site Name]],LocationsKey[Site Name],LocationsKey[District])</f>
        <v>#VALUE!</v>
      </c>
      <c r="I989" t="e" vm="1">
        <f>_xlfn.XLOOKUP(AllData[[#This Row],[Site Name]],LocationsKey[Site Name],LocationsKey[Town])</f>
        <v>#VALUE!</v>
      </c>
      <c r="J989" t="str">
        <f>_xlfn.XLOOKUP(AllData[[#This Row],[Site Name]],LocationsKey[Site Name], LocationsKey[Waterway])</f>
        <v>Carrant</v>
      </c>
      <c r="K989" t="s">
        <v>600</v>
      </c>
      <c r="L989">
        <v>51.996307000000002</v>
      </c>
      <c r="M989">
        <v>-2.1562160000000001</v>
      </c>
      <c r="N989" t="s">
        <v>23</v>
      </c>
      <c r="O989">
        <v>732</v>
      </c>
      <c r="P989">
        <v>16.5</v>
      </c>
      <c r="Q989">
        <v>4</v>
      </c>
      <c r="R989" s="7" t="str">
        <f>IF(AllData[[#This Row],[Nitrate (PPM)]]&gt;2, "Very high", IF(AllData[[#This Row],[Nitrate (PPM)]]&gt;1, "High", IF(AllData[[#This Row],[Nitrate (PPM)]]&gt;0.5, "Some evidence", IF(AllData[[#This Row],[Nitrate (PPM)]]&gt;=0, "No evidence"))))</f>
        <v>Very high</v>
      </c>
      <c r="S989" s="4">
        <v>0.51</v>
      </c>
      <c r="T989" s="7" t="str">
        <f>IF(AllData[[#This Row],[Phosphate (PPM)]]&gt;0.5, "Very high", IF(AllData[[#This Row],[Phosphate (PPM)]]&gt;0.1, "High", IF(AllData[[#This Row],[Phosphate (PPM)]]&gt;0.05, "Some evidence", IF(AllData[[#This Row],[Phosphate (PPM)]]&lt;=0.05, "No Evidence", ""))))</f>
        <v>Very high</v>
      </c>
      <c r="U989">
        <v>0</v>
      </c>
    </row>
    <row r="990" spans="1:22" x14ac:dyDescent="0.25">
      <c r="A990" t="s">
        <v>1322</v>
      </c>
      <c r="B990" s="2">
        <v>45473</v>
      </c>
      <c r="C990" s="2" t="str" cm="1">
        <f t="array" ref="C9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0">
        <f>YEAR(AllData[[#This Row],[Date]])</f>
        <v>2024</v>
      </c>
      <c r="E990" s="1">
        <v>0.40625</v>
      </c>
      <c r="F990" s="2" t="str">
        <f>IF(AND(AllData[[#This Row],[Time]]&lt;0.5, AllData[[#This Row],[Time]]&gt;0.17)=TRUE, "Morning", IF(AND(AllData[[#This Row],[Time]]&lt;0.75, AllData[[#This Row],[Time]]&gt;=0.5)=TRUE, "Afternoon", IF(AND(AllData[[#This Row],[Time]]&lt;1, AllData[[#This Row],[Time]]&gt;=0.75)=TRUE, "Evening", "Night")))</f>
        <v>Morning</v>
      </c>
      <c r="G990" t="str">
        <f>_xlfn.XLOOKUP(AllData[[#This Row],[Location Name]], Locations[Location Name],Locations[Group As])</f>
        <v>Sherbourne Brook 1</v>
      </c>
      <c r="H990" t="e" vm="2">
        <f>_xlfn.XLOOKUP(AllData[[#This Row],[Site Name]],LocationsKey[Site Name],LocationsKey[District])</f>
        <v>#VALUE!</v>
      </c>
      <c r="I990" t="e" vm="16">
        <f>_xlfn.XLOOKUP(AllData[[#This Row],[Site Name]],LocationsKey[Site Name],LocationsKey[Town])</f>
        <v>#VALUE!</v>
      </c>
      <c r="J990" t="str">
        <f>_xlfn.XLOOKUP(AllData[[#This Row],[Site Name]],LocationsKey[Site Name], LocationsKey[Waterway])</f>
        <v>Sherbourne Brook</v>
      </c>
      <c r="K990" t="s">
        <v>570</v>
      </c>
      <c r="L990">
        <v>52.252499999999998</v>
      </c>
      <c r="M990">
        <v>-1.6685000000000001</v>
      </c>
      <c r="N990" t="s">
        <v>23</v>
      </c>
      <c r="O990">
        <v>1120</v>
      </c>
      <c r="P990">
        <v>13.9</v>
      </c>
      <c r="Q990">
        <v>8</v>
      </c>
      <c r="R990" s="7" t="str">
        <f>IF(AllData[[#This Row],[Nitrate (PPM)]]&gt;2, "Very high", IF(AllData[[#This Row],[Nitrate (PPM)]]&gt;1, "High", IF(AllData[[#This Row],[Nitrate (PPM)]]&gt;0.5, "Some evidence", IF(AllData[[#This Row],[Nitrate (PPM)]]&gt;=0, "No evidence"))))</f>
        <v>Very high</v>
      </c>
      <c r="S990" s="4">
        <v>0.4</v>
      </c>
      <c r="T990" s="7" t="str">
        <f>IF(AllData[[#This Row],[Phosphate (PPM)]]&gt;0.5, "Very high", IF(AllData[[#This Row],[Phosphate (PPM)]]&gt;0.1, "High", IF(AllData[[#This Row],[Phosphate (PPM)]]&gt;0.05, "Some evidence", IF(AllData[[#This Row],[Phosphate (PPM)]]&lt;=0.05, "No Evidence", ""))))</f>
        <v>High</v>
      </c>
      <c r="U990">
        <v>0.1</v>
      </c>
    </row>
    <row r="991" spans="1:22" x14ac:dyDescent="0.25">
      <c r="A991" t="s">
        <v>1321</v>
      </c>
      <c r="B991" s="2">
        <v>45473</v>
      </c>
      <c r="C991" s="2" t="str" cm="1">
        <f t="array" ref="C9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1">
        <f>YEAR(AllData[[#This Row],[Date]])</f>
        <v>2024</v>
      </c>
      <c r="E991" s="1">
        <v>0.41666666666666669</v>
      </c>
      <c r="F991" s="2" t="str">
        <f>IF(AND(AllData[[#This Row],[Time]]&lt;0.5, AllData[[#This Row],[Time]]&gt;0.17)=TRUE, "Morning", IF(AND(AllData[[#This Row],[Time]]&lt;0.75, AllData[[#This Row],[Time]]&gt;=0.5)=TRUE, "Afternoon", IF(AND(AllData[[#This Row],[Time]]&lt;1, AllData[[#This Row],[Time]]&gt;=0.75)=TRUE, "Evening", "Night")))</f>
        <v>Morning</v>
      </c>
      <c r="G991" t="str">
        <f>_xlfn.XLOOKUP(AllData[[#This Row],[Location Name]], Locations[Location Name],Locations[Group As])</f>
        <v>Bell Brook 1</v>
      </c>
      <c r="H991" t="e" vm="2">
        <f>_xlfn.XLOOKUP(AllData[[#This Row],[Site Name]],LocationsKey[Site Name],LocationsKey[District])</f>
        <v>#VALUE!</v>
      </c>
      <c r="I991" t="e" vm="15">
        <f>_xlfn.XLOOKUP(AllData[[#This Row],[Site Name]],LocationsKey[Site Name],LocationsKey[Town])</f>
        <v>#VALUE!</v>
      </c>
      <c r="J991" t="str">
        <f>_xlfn.XLOOKUP(AllData[[#This Row],[Site Name]],LocationsKey[Site Name], LocationsKey[Waterway])</f>
        <v>Bell Brook</v>
      </c>
      <c r="K991" t="s">
        <v>534</v>
      </c>
      <c r="L991">
        <v>52.244900000000001</v>
      </c>
      <c r="M991">
        <v>-1.6617</v>
      </c>
      <c r="N991" t="s">
        <v>23</v>
      </c>
      <c r="O991">
        <v>879</v>
      </c>
      <c r="P991">
        <v>15.4</v>
      </c>
      <c r="Q991">
        <v>12</v>
      </c>
      <c r="R991" s="7" t="str">
        <f>IF(AllData[[#This Row],[Nitrate (PPM)]]&gt;2, "Very high", IF(AllData[[#This Row],[Nitrate (PPM)]]&gt;1, "High", IF(AllData[[#This Row],[Nitrate (PPM)]]&gt;0.5, "Some evidence", IF(AllData[[#This Row],[Nitrate (PPM)]]&gt;=0, "No evidence"))))</f>
        <v>Very high</v>
      </c>
      <c r="S991" s="4">
        <v>0.62</v>
      </c>
      <c r="T991" s="7" t="str">
        <f>IF(AllData[[#This Row],[Phosphate (PPM)]]&gt;0.5, "Very high", IF(AllData[[#This Row],[Phosphate (PPM)]]&gt;0.1, "High", IF(AllData[[#This Row],[Phosphate (PPM)]]&gt;0.05, "Some evidence", IF(AllData[[#This Row],[Phosphate (PPM)]]&lt;=0.05, "No Evidence", ""))))</f>
        <v>Very high</v>
      </c>
      <c r="U991">
        <v>0.1</v>
      </c>
    </row>
    <row r="992" spans="1:22" x14ac:dyDescent="0.25">
      <c r="A992" t="s">
        <v>1316</v>
      </c>
      <c r="B992" s="2">
        <v>45473</v>
      </c>
      <c r="C992" s="2" t="str" cm="1">
        <f t="array" ref="C9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2">
        <f>YEAR(AllData[[#This Row],[Date]])</f>
        <v>2024</v>
      </c>
      <c r="E992" s="1">
        <v>0.52986111111111112</v>
      </c>
      <c r="F992" s="2" t="str">
        <f>IF(AND(AllData[[#This Row],[Time]]&lt;0.5, AllData[[#This Row],[Time]]&gt;0.17)=TRUE, "Morning", IF(AND(AllData[[#This Row],[Time]]&lt;0.75, AllData[[#This Row],[Time]]&gt;=0.5)=TRUE, "Afternoon", IF(AND(AllData[[#This Row],[Time]]&lt;1, AllData[[#This Row],[Time]]&gt;=0.75)=TRUE, "Evening", "Night")))</f>
        <v>Afternoon</v>
      </c>
      <c r="G992" t="str">
        <f>_xlfn.XLOOKUP(AllData[[#This Row],[Location Name]], Locations[Location Name],Locations[Group As])</f>
        <v>Fell Mill Footbridge</v>
      </c>
      <c r="H992" t="e" vm="2">
        <f>_xlfn.XLOOKUP(AllData[[#This Row],[Site Name]],LocationsKey[Site Name],LocationsKey[District])</f>
        <v>#VALUE!</v>
      </c>
      <c r="I992" t="e" vm="10">
        <f>_xlfn.XLOOKUP(AllData[[#This Row],[Site Name]],LocationsKey[Site Name],LocationsKey[Town])</f>
        <v>#VALUE!</v>
      </c>
      <c r="J992" t="str">
        <f>_xlfn.XLOOKUP(AllData[[#This Row],[Site Name]],LocationsKey[Site Name], LocationsKey[Waterway])</f>
        <v>Stour</v>
      </c>
      <c r="K992" t="s">
        <v>1317</v>
      </c>
      <c r="L992">
        <v>52.010086000000001</v>
      </c>
      <c r="M992">
        <v>-1.61145</v>
      </c>
      <c r="N992" t="s">
        <v>29</v>
      </c>
      <c r="O992" s="219">
        <v>635</v>
      </c>
      <c r="P992">
        <v>16.8</v>
      </c>
      <c r="Q992" s="219">
        <v>5</v>
      </c>
      <c r="R992" s="7" t="str">
        <f>IF(AllData[[#This Row],[Nitrate (PPM)]]&gt;2, "Very high", IF(AllData[[#This Row],[Nitrate (PPM)]]&gt;1, "High", IF(AllData[[#This Row],[Nitrate (PPM)]]&gt;0.5, "Some evidence", IF(AllData[[#This Row],[Nitrate (PPM)]]&gt;=0, "No evidence"))))</f>
        <v>Very high</v>
      </c>
      <c r="S992" s="221">
        <v>0.45</v>
      </c>
      <c r="T992" s="7" t="str">
        <f>IF(AllData[[#This Row],[Phosphate (PPM)]]&gt;0.5, "Very high", IF(AllData[[#This Row],[Phosphate (PPM)]]&gt;0.1, "High", IF(AllData[[#This Row],[Phosphate (PPM)]]&gt;0.05, "Some evidence", IF(AllData[[#This Row],[Phosphate (PPM)]]&lt;=0.05, "No Evidence", ""))))</f>
        <v>High</v>
      </c>
      <c r="U992">
        <v>2.2999999999999998</v>
      </c>
    </row>
    <row r="993" spans="1:22" x14ac:dyDescent="0.25">
      <c r="A993" t="s">
        <v>1320</v>
      </c>
      <c r="B993" s="2">
        <v>45473</v>
      </c>
      <c r="C993" s="2" t="str" cm="1">
        <f t="array" ref="C9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3">
        <f>YEAR(AllData[[#This Row],[Date]])</f>
        <v>2024</v>
      </c>
      <c r="E993" s="1">
        <v>0.68472222222222223</v>
      </c>
      <c r="F993" s="2" t="str">
        <f>IF(AND(AllData[[#This Row],[Time]]&lt;0.5, AllData[[#This Row],[Time]]&gt;0.17)=TRUE, "Morning", IF(AND(AllData[[#This Row],[Time]]&lt;0.75, AllData[[#This Row],[Time]]&gt;=0.5)=TRUE, "Afternoon", IF(AND(AllData[[#This Row],[Time]]&lt;1, AllData[[#This Row],[Time]]&gt;=0.75)=TRUE, "Evening", "Night")))</f>
        <v>Afternoon</v>
      </c>
      <c r="G993" t="str">
        <f>_xlfn.XLOOKUP(AllData[[#This Row],[Location Name]], Locations[Location Name],Locations[Group As])</f>
        <v>Black Bear</v>
      </c>
      <c r="H993" t="e" vm="1">
        <f>_xlfn.XLOOKUP(AllData[[#This Row],[Site Name]],LocationsKey[Site Name],LocationsKey[District])</f>
        <v>#VALUE!</v>
      </c>
      <c r="I993" t="e" vm="1">
        <f>_xlfn.XLOOKUP(AllData[[#This Row],[Site Name]],LocationsKey[Site Name],LocationsKey[Town])</f>
        <v>#VALUE!</v>
      </c>
      <c r="J993" t="str">
        <f>_xlfn.XLOOKUP(AllData[[#This Row],[Site Name]],LocationsKey[Site Name], LocationsKey[Waterway])</f>
        <v>Avon</v>
      </c>
      <c r="K993" t="s">
        <v>1045</v>
      </c>
      <c r="L993">
        <v>51.997250999999999</v>
      </c>
      <c r="M993">
        <v>-2.1561900000000001</v>
      </c>
      <c r="N993" t="s">
        <v>23</v>
      </c>
      <c r="O993">
        <v>980</v>
      </c>
      <c r="P993">
        <v>20.399999999999999</v>
      </c>
      <c r="Q993">
        <v>12</v>
      </c>
      <c r="R993" s="7" t="str">
        <f>IF(AllData[[#This Row],[Nitrate (PPM)]]&gt;2, "Very high", IF(AllData[[#This Row],[Nitrate (PPM)]]&gt;1, "High", IF(AllData[[#This Row],[Nitrate (PPM)]]&gt;0.5, "Some evidence", IF(AllData[[#This Row],[Nitrate (PPM)]]&gt;=0, "No evidence"))))</f>
        <v>Very high</v>
      </c>
      <c r="S993" s="4">
        <v>1.0900000000000001</v>
      </c>
      <c r="T993" s="7" t="str">
        <f>IF(AllData[[#This Row],[Phosphate (PPM)]]&gt;0.5, "Very high", IF(AllData[[#This Row],[Phosphate (PPM)]]&gt;0.1, "High", IF(AllData[[#This Row],[Phosphate (PPM)]]&gt;0.05, "Some evidence", IF(AllData[[#This Row],[Phosphate (PPM)]]&lt;=0.05, "No Evidence", ""))))</f>
        <v>Very high</v>
      </c>
      <c r="U993">
        <v>0</v>
      </c>
    </row>
    <row r="994" spans="1:22" x14ac:dyDescent="0.25">
      <c r="A994" t="s">
        <v>1319</v>
      </c>
      <c r="B994" s="2">
        <v>45473</v>
      </c>
      <c r="C994" s="2" t="str" cm="1">
        <f t="array" ref="C9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4">
        <f>YEAR(AllData[[#This Row],[Date]])</f>
        <v>2024</v>
      </c>
      <c r="E994" s="1">
        <v>0.70763888888888893</v>
      </c>
      <c r="F994" s="2" t="str">
        <f>IF(AND(AllData[[#This Row],[Time]]&lt;0.5, AllData[[#This Row],[Time]]&gt;0.17)=TRUE, "Morning", IF(AND(AllData[[#This Row],[Time]]&lt;0.75, AllData[[#This Row],[Time]]&gt;=0.5)=TRUE, "Afternoon", IF(AND(AllData[[#This Row],[Time]]&lt;1, AllData[[#This Row],[Time]]&gt;=0.75)=TRUE, "Evening", "Night")))</f>
        <v>Afternoon</v>
      </c>
      <c r="G994" t="str">
        <f>_xlfn.XLOOKUP(AllData[[#This Row],[Location Name]], Locations[Location Name],Locations[Group As])</f>
        <v>Stour Stretton-on-Fosse Village</v>
      </c>
      <c r="H994" t="e" vm="2">
        <f>_xlfn.XLOOKUP(AllData[[#This Row],[Site Name]],LocationsKey[Site Name],LocationsKey[District])</f>
        <v>#VALUE!</v>
      </c>
      <c r="I994" t="e" vm="14">
        <f>_xlfn.XLOOKUP(AllData[[#This Row],[Site Name]],LocationsKey[Site Name],LocationsKey[Town])</f>
        <v>#VALUE!</v>
      </c>
      <c r="J994" t="str">
        <f>_xlfn.XLOOKUP(AllData[[#This Row],[Site Name]],LocationsKey[Site Name], LocationsKey[Waterway])</f>
        <v>Stour</v>
      </c>
      <c r="K994" t="s">
        <v>544</v>
      </c>
      <c r="L994">
        <v>52.046447000000001</v>
      </c>
      <c r="M994">
        <v>-1.6734819999999999</v>
      </c>
      <c r="N994" t="s">
        <v>66</v>
      </c>
      <c r="O994">
        <v>717</v>
      </c>
      <c r="P994">
        <v>14.1</v>
      </c>
      <c r="Q994">
        <v>2</v>
      </c>
      <c r="R994" s="7" t="str">
        <f>IF(AllData[[#This Row],[Nitrate (PPM)]]&gt;2, "Very high", IF(AllData[[#This Row],[Nitrate (PPM)]]&gt;1, "High", IF(AllData[[#This Row],[Nitrate (PPM)]]&gt;0.5, "Some evidence", IF(AllData[[#This Row],[Nitrate (PPM)]]&gt;=0, "No evidence"))))</f>
        <v>High</v>
      </c>
      <c r="S994" s="4">
        <v>2.5</v>
      </c>
      <c r="T994" s="7" t="str">
        <f>IF(AllData[[#This Row],[Phosphate (PPM)]]&gt;0.5, "Very high", IF(AllData[[#This Row],[Phosphate (PPM)]]&gt;0.1, "High", IF(AllData[[#This Row],[Phosphate (PPM)]]&gt;0.05, "Some evidence", IF(AllData[[#This Row],[Phosphate (PPM)]]&lt;=0.05, "No Evidence", ""))))</f>
        <v>Very high</v>
      </c>
      <c r="U994">
        <v>0.2</v>
      </c>
      <c r="V994" t="s">
        <v>1177</v>
      </c>
    </row>
    <row r="995" spans="1:22" x14ac:dyDescent="0.25">
      <c r="A995" t="s">
        <v>1318</v>
      </c>
      <c r="B995" s="2">
        <v>45473</v>
      </c>
      <c r="C995" s="2" t="str" cm="1">
        <f t="array" ref="C9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5">
        <f>YEAR(AllData[[#This Row],[Date]])</f>
        <v>2024</v>
      </c>
      <c r="E995" s="1">
        <v>0.72847222222222219</v>
      </c>
      <c r="F995" s="2" t="str">
        <f>IF(AND(AllData[[#This Row],[Time]]&lt;0.5, AllData[[#This Row],[Time]]&gt;0.17)=TRUE, "Morning", IF(AND(AllData[[#This Row],[Time]]&lt;0.75, AllData[[#This Row],[Time]]&gt;=0.5)=TRUE, "Afternoon", IF(AND(AllData[[#This Row],[Time]]&lt;1, AllData[[#This Row],[Time]]&gt;=0.75)=TRUE, "Evening", "Night")))</f>
        <v>Afternoon</v>
      </c>
      <c r="G995" t="str">
        <f>_xlfn.XLOOKUP(AllData[[#This Row],[Location Name]], Locations[Location Name],Locations[Group As])</f>
        <v>Stour Stretton-on-Fosse Sewage Works</v>
      </c>
      <c r="H995" t="e" vm="2">
        <f>_xlfn.XLOOKUP(AllData[[#This Row],[Site Name]],LocationsKey[Site Name],LocationsKey[District])</f>
        <v>#VALUE!</v>
      </c>
      <c r="I995" t="e" vm="14">
        <f>_xlfn.XLOOKUP(AllData[[#This Row],[Site Name]],LocationsKey[Site Name],LocationsKey[Town])</f>
        <v>#VALUE!</v>
      </c>
      <c r="J995" t="str">
        <f>_xlfn.XLOOKUP(AllData[[#This Row],[Site Name]],LocationsKey[Site Name], LocationsKey[Waterway])</f>
        <v>Stour</v>
      </c>
      <c r="K995" t="s">
        <v>335</v>
      </c>
      <c r="L995">
        <v>52.045704999999998</v>
      </c>
      <c r="M995">
        <v>-1.67181</v>
      </c>
      <c r="N995" t="s">
        <v>29</v>
      </c>
      <c r="O995">
        <v>932</v>
      </c>
      <c r="P995">
        <v>16.399999999999999</v>
      </c>
      <c r="Q995">
        <v>5</v>
      </c>
      <c r="R995" s="7" t="str">
        <f>IF(AllData[[#This Row],[Nitrate (PPM)]]&gt;2, "Very high", IF(AllData[[#This Row],[Nitrate (PPM)]]&gt;1, "High", IF(AllData[[#This Row],[Nitrate (PPM)]]&gt;0.5, "Some evidence", IF(AllData[[#This Row],[Nitrate (PPM)]]&gt;=0, "No evidence"))))</f>
        <v>Very high</v>
      </c>
      <c r="S995" s="4">
        <v>2.5</v>
      </c>
      <c r="T995" s="7" t="str">
        <f>IF(AllData[[#This Row],[Phosphate (PPM)]]&gt;0.5, "Very high", IF(AllData[[#This Row],[Phosphate (PPM)]]&gt;0.1, "High", IF(AllData[[#This Row],[Phosphate (PPM)]]&gt;0.05, "Some evidence", IF(AllData[[#This Row],[Phosphate (PPM)]]&lt;=0.05, "No Evidence", ""))))</f>
        <v>Very high</v>
      </c>
      <c r="U995">
        <v>0.3</v>
      </c>
      <c r="V995" t="s">
        <v>1201</v>
      </c>
    </row>
    <row r="996" spans="1:22" x14ac:dyDescent="0.25">
      <c r="A996" t="s">
        <v>1791</v>
      </c>
      <c r="B996" s="2">
        <v>45473</v>
      </c>
      <c r="C996" s="2" t="str" cm="1">
        <f t="array" ref="C9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6">
        <f>YEAR(AllData[[#This Row],[Date]])</f>
        <v>2024</v>
      </c>
      <c r="F996" s="2" t="str">
        <f>IF(AND(AllData[[#This Row],[Time]]&lt;0.5, AllData[[#This Row],[Time]]&gt;0.17)=TRUE, "Morning", IF(AND(AllData[[#This Row],[Time]]&lt;0.75, AllData[[#This Row],[Time]]&gt;=0.5)=TRUE, "Afternoon", IF(AND(AllData[[#This Row],[Time]]&lt;1, AllData[[#This Row],[Time]]&gt;=0.75)=TRUE, "Evening", "Night")))</f>
        <v>Night</v>
      </c>
      <c r="G996" t="str">
        <f>_xlfn.XLOOKUP(AllData[[#This Row],[Location Name]], Locations[Location Name],Locations[Group As])</f>
        <v>Site 1  :  Middle Street</v>
      </c>
      <c r="H996" t="e" vm="2">
        <f>_xlfn.XLOOKUP(AllData[[#This Row],[Site Name]],LocationsKey[Site Name],LocationsKey[District])</f>
        <v>#VALUE!</v>
      </c>
      <c r="I996" t="e" vm="11">
        <f>_xlfn.XLOOKUP(AllData[[#This Row],[Site Name]],LocationsKey[Site Name],LocationsKey[Town])</f>
        <v>#VALUE!</v>
      </c>
      <c r="J996" t="str">
        <f>_xlfn.XLOOKUP(AllData[[#This Row],[Site Name]],LocationsKey[Site Name], LocationsKey[Waterway])</f>
        <v>Fosseway Brook</v>
      </c>
      <c r="K996" t="s">
        <v>1859</v>
      </c>
      <c r="N996" t="s">
        <v>66</v>
      </c>
      <c r="O996">
        <v>684</v>
      </c>
      <c r="P996">
        <v>17.399999999999999</v>
      </c>
      <c r="Q996">
        <v>2</v>
      </c>
      <c r="R996" s="7" t="str">
        <f>IF(AllData[[#This Row],[Nitrate (PPM)]]&gt;2, "Very high", IF(AllData[[#This Row],[Nitrate (PPM)]]&gt;1, "High", IF(AllData[[#This Row],[Nitrate (PPM)]]&gt;0.5, "Some evidence", IF(AllData[[#This Row],[Nitrate (PPM)]]&gt;=0, "No evidence"))))</f>
        <v>High</v>
      </c>
      <c r="S996" s="4">
        <v>0.76</v>
      </c>
      <c r="T996" s="7" t="str">
        <f>IF(AllData[[#This Row],[Phosphate (PPM)]]&gt;0.5, "Very high", IF(AllData[[#This Row],[Phosphate (PPM)]]&gt;0.1, "High", IF(AllData[[#This Row],[Phosphate (PPM)]]&gt;0.05, "Some evidence", IF(AllData[[#This Row],[Phosphate (PPM)]]&lt;=0.05, "No Evidence", ""))))</f>
        <v>Very high</v>
      </c>
      <c r="U996">
        <v>0</v>
      </c>
      <c r="V996" t="s">
        <v>1922</v>
      </c>
    </row>
    <row r="997" spans="1:22" x14ac:dyDescent="0.25">
      <c r="A997" t="s">
        <v>1396</v>
      </c>
      <c r="B997" s="2">
        <v>45473</v>
      </c>
      <c r="C997" s="2" t="str" cm="1">
        <f t="array" ref="C9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7">
        <f>YEAR(AllData[[#This Row],[Date]])</f>
        <v>2024</v>
      </c>
      <c r="E997" s="1"/>
      <c r="F997" s="2" t="str">
        <f>IF(AND(AllData[[#This Row],[Time]]&lt;0.5, AllData[[#This Row],[Time]]&gt;0.17)=TRUE, "Morning", IF(AND(AllData[[#This Row],[Time]]&lt;0.75, AllData[[#This Row],[Time]]&gt;=0.5)=TRUE, "Afternoon", IF(AND(AllData[[#This Row],[Time]]&lt;1, AllData[[#This Row],[Time]]&gt;=0.75)=TRUE, "Evening", "Night")))</f>
        <v>Night</v>
      </c>
      <c r="G997" t="str">
        <f>_xlfn.XLOOKUP(AllData[[#This Row],[Location Name]], Locations[Location Name],Locations[Group As])</f>
        <v>Site 1  :  Middle Street</v>
      </c>
      <c r="H997" t="e" vm="2">
        <f>_xlfn.XLOOKUP(AllData[[#This Row],[Site Name]],LocationsKey[Site Name],LocationsKey[District])</f>
        <v>#VALUE!</v>
      </c>
      <c r="I997" t="e" vm="11">
        <f>_xlfn.XLOOKUP(AllData[[#This Row],[Site Name]],LocationsKey[Site Name],LocationsKey[Town])</f>
        <v>#VALUE!</v>
      </c>
      <c r="J997" t="str">
        <f>_xlfn.XLOOKUP(AllData[[#This Row],[Site Name]],LocationsKey[Site Name], LocationsKey[Waterway])</f>
        <v>Fosseway Brook</v>
      </c>
      <c r="K997" t="s">
        <v>1373</v>
      </c>
      <c r="N997" t="s">
        <v>66</v>
      </c>
      <c r="O997">
        <v>684</v>
      </c>
      <c r="P997">
        <v>17.399999999999999</v>
      </c>
      <c r="Q997">
        <v>2</v>
      </c>
      <c r="R997" s="7" t="str">
        <f>IF(AllData[[#This Row],[Nitrate (PPM)]]&gt;2, "Very high", IF(AllData[[#This Row],[Nitrate (PPM)]]&gt;1, "High", IF(AllData[[#This Row],[Nitrate (PPM)]]&gt;0.5, "Some evidence", IF(AllData[[#This Row],[Nitrate (PPM)]]&gt;=0, "No evidence"))))</f>
        <v>High</v>
      </c>
      <c r="S997" s="4">
        <v>0.76</v>
      </c>
      <c r="T997" s="7" t="str">
        <f>IF(AllData[[#This Row],[Phosphate (PPM)]]&gt;0.5, "Very high", IF(AllData[[#This Row],[Phosphate (PPM)]]&gt;0.1, "High", IF(AllData[[#This Row],[Phosphate (PPM)]]&gt;0.05, "Some evidence", IF(AllData[[#This Row],[Phosphate (PPM)]]&lt;=0.05, "No Evidence", ""))))</f>
        <v>Very high</v>
      </c>
      <c r="V997" t="s">
        <v>1397</v>
      </c>
    </row>
    <row r="998" spans="1:22" x14ac:dyDescent="0.25">
      <c r="A998" t="s">
        <v>1792</v>
      </c>
      <c r="B998" s="2">
        <v>45473</v>
      </c>
      <c r="C998" s="2" t="str" cm="1">
        <f t="array" ref="C9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8">
        <f>YEAR(AllData[[#This Row],[Date]])</f>
        <v>2024</v>
      </c>
      <c r="F998" s="2" t="str">
        <f>IF(AND(AllData[[#This Row],[Time]]&lt;0.5, AllData[[#This Row],[Time]]&gt;0.17)=TRUE, "Morning", IF(AND(AllData[[#This Row],[Time]]&lt;0.75, AllData[[#This Row],[Time]]&gt;=0.5)=TRUE, "Afternoon", IF(AND(AllData[[#This Row],[Time]]&lt;1, AllData[[#This Row],[Time]]&gt;=0.75)=TRUE, "Evening", "Night")))</f>
        <v>Night</v>
      </c>
      <c r="G998" t="str">
        <f>_xlfn.XLOOKUP(AllData[[#This Row],[Location Name]], Locations[Location Name],Locations[Group As])</f>
        <v>Site 2  :  Cross Leys culvert</v>
      </c>
      <c r="H998" t="e" vm="2">
        <f>_xlfn.XLOOKUP(AllData[[#This Row],[Site Name]],LocationsKey[Site Name],LocationsKey[District])</f>
        <v>#VALUE!</v>
      </c>
      <c r="I998" t="e" vm="11">
        <f>_xlfn.XLOOKUP(AllData[[#This Row],[Site Name]],LocationsKey[Site Name],LocationsKey[Town])</f>
        <v>#VALUE!</v>
      </c>
      <c r="J998" t="str">
        <f>_xlfn.XLOOKUP(AllData[[#This Row],[Site Name]],LocationsKey[Site Name], LocationsKey[Waterway])</f>
        <v>Fosseway Brook</v>
      </c>
      <c r="K998" t="s">
        <v>1860</v>
      </c>
      <c r="N998" t="s">
        <v>66</v>
      </c>
      <c r="O998">
        <v>1100</v>
      </c>
      <c r="P998">
        <v>15.6</v>
      </c>
      <c r="Q998">
        <v>0</v>
      </c>
      <c r="R998" s="7" t="str">
        <f>IF(AllData[[#This Row],[Nitrate (PPM)]]&gt;2, "Very high", IF(AllData[[#This Row],[Nitrate (PPM)]]&gt;1, "High", IF(AllData[[#This Row],[Nitrate (PPM)]]&gt;0.5, "Some evidence", IF(AllData[[#This Row],[Nitrate (PPM)]]&gt;=0, "No evidence"))))</f>
        <v>No evidence</v>
      </c>
      <c r="S998" s="4">
        <v>2.5</v>
      </c>
      <c r="T998" s="7" t="str">
        <f>IF(AllData[[#This Row],[Phosphate (PPM)]]&gt;0.5, "Very high", IF(AllData[[#This Row],[Phosphate (PPM)]]&gt;0.1, "High", IF(AllData[[#This Row],[Phosphate (PPM)]]&gt;0.05, "Some evidence", IF(AllData[[#This Row],[Phosphate (PPM)]]&lt;=0.05, "No Evidence", ""))))</f>
        <v>Very high</v>
      </c>
      <c r="U998">
        <v>0</v>
      </c>
      <c r="V998" t="s">
        <v>1923</v>
      </c>
    </row>
    <row r="999" spans="1:22" x14ac:dyDescent="0.25">
      <c r="A999" t="s">
        <v>1394</v>
      </c>
      <c r="B999" s="2">
        <v>45473</v>
      </c>
      <c r="C999" s="2" t="str" cm="1">
        <f t="array" ref="C9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999">
        <f>YEAR(AllData[[#This Row],[Date]])</f>
        <v>2024</v>
      </c>
      <c r="E999" s="1"/>
      <c r="F999" s="2" t="str">
        <f>IF(AND(AllData[[#This Row],[Time]]&lt;0.5, AllData[[#This Row],[Time]]&gt;0.17)=TRUE, "Morning", IF(AND(AllData[[#This Row],[Time]]&lt;0.75, AllData[[#This Row],[Time]]&gt;=0.5)=TRUE, "Afternoon", IF(AND(AllData[[#This Row],[Time]]&lt;1, AllData[[#This Row],[Time]]&gt;=0.75)=TRUE, "Evening", "Night")))</f>
        <v>Night</v>
      </c>
      <c r="G999" t="str">
        <f>_xlfn.XLOOKUP(AllData[[#This Row],[Location Name]], Locations[Location Name],Locations[Group As])</f>
        <v>Site 2  :  Cross Leys culvert</v>
      </c>
      <c r="H999" t="e" vm="2">
        <f>_xlfn.XLOOKUP(AllData[[#This Row],[Site Name]],LocationsKey[Site Name],LocationsKey[District])</f>
        <v>#VALUE!</v>
      </c>
      <c r="I999" t="e" vm="11">
        <f>_xlfn.XLOOKUP(AllData[[#This Row],[Site Name]],LocationsKey[Site Name],LocationsKey[Town])</f>
        <v>#VALUE!</v>
      </c>
      <c r="J999" t="str">
        <f>_xlfn.XLOOKUP(AllData[[#This Row],[Site Name]],LocationsKey[Site Name], LocationsKey[Waterway])</f>
        <v>Fosseway Brook</v>
      </c>
      <c r="K999" t="s">
        <v>1371</v>
      </c>
      <c r="N999" t="s">
        <v>66</v>
      </c>
      <c r="O999">
        <v>1100</v>
      </c>
      <c r="P999">
        <v>15.6</v>
      </c>
      <c r="Q999">
        <v>0</v>
      </c>
      <c r="R999" s="7" t="str">
        <f>IF(AllData[[#This Row],[Nitrate (PPM)]]&gt;2, "Very high", IF(AllData[[#This Row],[Nitrate (PPM)]]&gt;1, "High", IF(AllData[[#This Row],[Nitrate (PPM)]]&gt;0.5, "Some evidence", IF(AllData[[#This Row],[Nitrate (PPM)]]&gt;=0, "No evidence"))))</f>
        <v>No evidence</v>
      </c>
      <c r="S999" s="4">
        <v>2.5</v>
      </c>
      <c r="T999" s="7" t="str">
        <f>IF(AllData[[#This Row],[Phosphate (PPM)]]&gt;0.5, "Very high", IF(AllData[[#This Row],[Phosphate (PPM)]]&gt;0.1, "High", IF(AllData[[#This Row],[Phosphate (PPM)]]&gt;0.05, "Some evidence", IF(AllData[[#This Row],[Phosphate (PPM)]]&lt;=0.05, "No Evidence", ""))))</f>
        <v>Very high</v>
      </c>
      <c r="V999" t="s">
        <v>1395</v>
      </c>
    </row>
    <row r="1000" spans="1:22" x14ac:dyDescent="0.25">
      <c r="A1000" t="s">
        <v>1793</v>
      </c>
      <c r="B1000" s="2">
        <v>45473</v>
      </c>
      <c r="C1000" s="2" t="str" cm="1">
        <f t="array" ref="C10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0">
        <f>YEAR(AllData[[#This Row],[Date]])</f>
        <v>2024</v>
      </c>
      <c r="F1000" s="2" t="str">
        <f>IF(AND(AllData[[#This Row],[Time]]&lt;0.5, AllData[[#This Row],[Time]]&gt;0.17)=TRUE, "Morning", IF(AND(AllData[[#This Row],[Time]]&lt;0.75, AllData[[#This Row],[Time]]&gt;=0.5)=TRUE, "Afternoon", IF(AND(AllData[[#This Row],[Time]]&lt;1, AllData[[#This Row],[Time]]&gt;=0.75)=TRUE, "Evening", "Night")))</f>
        <v>Night</v>
      </c>
      <c r="G1000" t="str">
        <f>_xlfn.XLOOKUP(AllData[[#This Row],[Location Name]], Locations[Location Name],Locations[Group As])</f>
        <v>Site 3  :  Severn Trent Water processing plant outflow</v>
      </c>
      <c r="H1000" t="e" vm="2">
        <f>_xlfn.XLOOKUP(AllData[[#This Row],[Site Name]],LocationsKey[Site Name],LocationsKey[District])</f>
        <v>#VALUE!</v>
      </c>
      <c r="I1000" t="e" vm="11">
        <f>_xlfn.XLOOKUP(AllData[[#This Row],[Site Name]],LocationsKey[Site Name],LocationsKey[Town])</f>
        <v>#VALUE!</v>
      </c>
      <c r="J1000" t="str">
        <f>_xlfn.XLOOKUP(AllData[[#This Row],[Site Name]],LocationsKey[Site Name], LocationsKey[Waterway])</f>
        <v>Fosseway Brook</v>
      </c>
      <c r="K1000" t="s">
        <v>1861</v>
      </c>
      <c r="N1000" t="s">
        <v>29</v>
      </c>
      <c r="O1000">
        <v>959</v>
      </c>
      <c r="P1000">
        <v>17.2</v>
      </c>
      <c r="Q1000">
        <v>10</v>
      </c>
      <c r="R1000" s="7" t="str">
        <f>IF(AllData[[#This Row],[Nitrate (PPM)]]&gt;2, "Very high", IF(AllData[[#This Row],[Nitrate (PPM)]]&gt;1, "High", IF(AllData[[#This Row],[Nitrate (PPM)]]&gt;0.5, "Some evidence", IF(AllData[[#This Row],[Nitrate (PPM)]]&gt;=0, "No evidence"))))</f>
        <v>Very high</v>
      </c>
      <c r="S1000" s="4">
        <v>2.5</v>
      </c>
      <c r="T1000" s="7" t="str">
        <f>IF(AllData[[#This Row],[Phosphate (PPM)]]&gt;0.5, "Very high", IF(AllData[[#This Row],[Phosphate (PPM)]]&gt;0.1, "High", IF(AllData[[#This Row],[Phosphate (PPM)]]&gt;0.05, "Some evidence", IF(AllData[[#This Row],[Phosphate (PPM)]]&lt;=0.05, "No Evidence", ""))))</f>
        <v>Very high</v>
      </c>
      <c r="U1000">
        <v>0</v>
      </c>
      <c r="V1000" t="s">
        <v>1924</v>
      </c>
    </row>
    <row r="1001" spans="1:22" x14ac:dyDescent="0.25">
      <c r="A1001" t="s">
        <v>1392</v>
      </c>
      <c r="B1001" s="2">
        <v>45473</v>
      </c>
      <c r="C1001" s="2" t="str" cm="1">
        <f t="array" ref="C10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1">
        <f>YEAR(AllData[[#This Row],[Date]])</f>
        <v>2024</v>
      </c>
      <c r="E1001" s="1"/>
      <c r="F1001" s="2" t="str">
        <f>IF(AND(AllData[[#This Row],[Time]]&lt;0.5, AllData[[#This Row],[Time]]&gt;0.17)=TRUE, "Morning", IF(AND(AllData[[#This Row],[Time]]&lt;0.75, AllData[[#This Row],[Time]]&gt;=0.5)=TRUE, "Afternoon", IF(AND(AllData[[#This Row],[Time]]&lt;1, AllData[[#This Row],[Time]]&gt;=0.75)=TRUE, "Evening", "Night")))</f>
        <v>Night</v>
      </c>
      <c r="G1001" t="str">
        <f>_xlfn.XLOOKUP(AllData[[#This Row],[Location Name]], Locations[Location Name],Locations[Group As])</f>
        <v>Site 3  :  Severn Trent Water processing plant outflow</v>
      </c>
      <c r="H1001" t="e" vm="2">
        <f>_xlfn.XLOOKUP(AllData[[#This Row],[Site Name]],LocationsKey[Site Name],LocationsKey[District])</f>
        <v>#VALUE!</v>
      </c>
      <c r="I1001" t="e" vm="11">
        <f>_xlfn.XLOOKUP(AllData[[#This Row],[Site Name]],LocationsKey[Site Name],LocationsKey[Town])</f>
        <v>#VALUE!</v>
      </c>
      <c r="J1001" t="str">
        <f>_xlfn.XLOOKUP(AllData[[#This Row],[Site Name]],LocationsKey[Site Name], LocationsKey[Waterway])</f>
        <v>Fosseway Brook</v>
      </c>
      <c r="K1001" t="s">
        <v>1368</v>
      </c>
      <c r="N1001" t="s">
        <v>29</v>
      </c>
      <c r="O1001">
        <v>959</v>
      </c>
      <c r="P1001">
        <v>17.2</v>
      </c>
      <c r="Q1001">
        <v>10</v>
      </c>
      <c r="R1001" s="7" t="str">
        <f>IF(AllData[[#This Row],[Nitrate (PPM)]]&gt;2, "Very high", IF(AllData[[#This Row],[Nitrate (PPM)]]&gt;1, "High", IF(AllData[[#This Row],[Nitrate (PPM)]]&gt;0.5, "Some evidence", IF(AllData[[#This Row],[Nitrate (PPM)]]&gt;=0, "No evidence"))))</f>
        <v>Very high</v>
      </c>
      <c r="S1001" s="4">
        <v>2.5</v>
      </c>
      <c r="T1001" s="7" t="str">
        <f>IF(AllData[[#This Row],[Phosphate (PPM)]]&gt;0.5, "Very high", IF(AllData[[#This Row],[Phosphate (PPM)]]&gt;0.1, "High", IF(AllData[[#This Row],[Phosphate (PPM)]]&gt;0.05, "Some evidence", IF(AllData[[#This Row],[Phosphate (PPM)]]&lt;=0.05, "No Evidence", ""))))</f>
        <v>Very high</v>
      </c>
      <c r="V1001" t="s">
        <v>1393</v>
      </c>
    </row>
    <row r="1002" spans="1:22" x14ac:dyDescent="0.25">
      <c r="A1002" t="s">
        <v>1497</v>
      </c>
      <c r="B1002" s="2">
        <v>45474</v>
      </c>
      <c r="C1002" s="2" t="str" cm="1">
        <f t="array" ref="C10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2">
        <f>YEAR(AllData[[#This Row],[Date]])</f>
        <v>2024</v>
      </c>
      <c r="E1002" s="1">
        <v>0.35416666666666669</v>
      </c>
      <c r="F1002" s="2" t="str">
        <f>IF(AND(AllData[[#This Row],[Time]]&lt;0.5, AllData[[#This Row],[Time]]&gt;0.17)=TRUE, "Morning", IF(AND(AllData[[#This Row],[Time]]&lt;0.75, AllData[[#This Row],[Time]]&gt;=0.5)=TRUE, "Afternoon", IF(AND(AllData[[#This Row],[Time]]&lt;1, AllData[[#This Row],[Time]]&gt;=0.75)=TRUE, "Evening", "Night")))</f>
        <v>Morning</v>
      </c>
      <c r="G1002" t="str">
        <f>_xlfn.XLOOKUP(AllData[[#This Row],[Location Name]], Locations[Location Name],Locations[Group As])</f>
        <v>Chipping Campden Sewage Works</v>
      </c>
      <c r="H1002" t="e" vm="23">
        <f>_xlfn.XLOOKUP(AllData[[#This Row],[Site Name]],LocationsKey[Site Name],LocationsKey[District])</f>
        <v>#VALUE!</v>
      </c>
      <c r="I1002" t="e" vm="24">
        <f>_xlfn.XLOOKUP(AllData[[#This Row],[Site Name]],LocationsKey[Site Name],LocationsKey[Town])</f>
        <v>#VALUE!</v>
      </c>
      <c r="J1002" t="str">
        <f>_xlfn.XLOOKUP(AllData[[#This Row],[Site Name]],LocationsKey[Site Name], LocationsKey[Waterway])</f>
        <v>Cam Brook</v>
      </c>
      <c r="K1002" t="s">
        <v>1474</v>
      </c>
      <c r="N1002" t="s">
        <v>29</v>
      </c>
      <c r="O1002">
        <v>690</v>
      </c>
      <c r="P1002">
        <v>15.3</v>
      </c>
      <c r="Q1002">
        <v>2</v>
      </c>
      <c r="R1002" s="7" t="str">
        <f>IF(AllData[[#This Row],[Nitrate (PPM)]]&gt;2, "Very high", IF(AllData[[#This Row],[Nitrate (PPM)]]&gt;1, "High", IF(AllData[[#This Row],[Nitrate (PPM)]]&gt;0.5, "Some evidence", IF(AllData[[#This Row],[Nitrate (PPM)]]&gt;=0, "No evidence"))))</f>
        <v>High</v>
      </c>
      <c r="S1002" s="4">
        <v>0.4</v>
      </c>
      <c r="T1002" s="7" t="str">
        <f>IF(AllData[[#This Row],[Phosphate (PPM)]]&gt;0.5, "Very high", IF(AllData[[#This Row],[Phosphate (PPM)]]&gt;0.1, "High", IF(AllData[[#This Row],[Phosphate (PPM)]]&gt;0.05, "Some evidence", IF(AllData[[#This Row],[Phosphate (PPM)]]&lt;=0.05, "No Evidence", ""))))</f>
        <v>High</v>
      </c>
      <c r="U1002">
        <v>0.13</v>
      </c>
      <c r="V1002" t="s">
        <v>1498</v>
      </c>
    </row>
    <row r="1003" spans="1:22" x14ac:dyDescent="0.25">
      <c r="A1003" t="s">
        <v>1514</v>
      </c>
      <c r="B1003" s="2">
        <v>45474</v>
      </c>
      <c r="C1003" s="2" t="str" cm="1">
        <f t="array" ref="C10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3">
        <f>YEAR(AllData[[#This Row],[Date]])</f>
        <v>2024</v>
      </c>
      <c r="E1003" s="1">
        <v>0.46875</v>
      </c>
      <c r="F1003" s="2" t="str">
        <f>IF(AND(AllData[[#This Row],[Time]]&lt;0.5, AllData[[#This Row],[Time]]&gt;0.17)=TRUE, "Morning", IF(AND(AllData[[#This Row],[Time]]&lt;0.75, AllData[[#This Row],[Time]]&gt;=0.5)=TRUE, "Afternoon", IF(AND(AllData[[#This Row],[Time]]&lt;1, AllData[[#This Row],[Time]]&gt;=0.75)=TRUE, "Evening", "Night")))</f>
        <v>Morning</v>
      </c>
      <c r="G1003" t="str">
        <f>_xlfn.XLOOKUP(AllData[[#This Row],[Location Name]], Locations[Location Name],Locations[Group As])</f>
        <v>Chipping Campden Lady J Gateway</v>
      </c>
      <c r="H1003" t="e" vm="23">
        <f>_xlfn.XLOOKUP(AllData[[#This Row],[Site Name]],LocationsKey[Site Name],LocationsKey[District])</f>
        <v>#VALUE!</v>
      </c>
      <c r="I1003" t="e" vm="24">
        <f>_xlfn.XLOOKUP(AllData[[#This Row],[Site Name]],LocationsKey[Site Name],LocationsKey[Town])</f>
        <v>#VALUE!</v>
      </c>
      <c r="J1003" t="str">
        <f>_xlfn.XLOOKUP(AllData[[#This Row],[Site Name]],LocationsKey[Site Name], LocationsKey[Waterway])</f>
        <v>Cam Brook</v>
      </c>
      <c r="K1003" t="s">
        <v>1476</v>
      </c>
      <c r="N1003" t="s">
        <v>66</v>
      </c>
      <c r="O1003">
        <v>515</v>
      </c>
      <c r="P1003">
        <v>17.899999999999999</v>
      </c>
      <c r="Q1003">
        <v>5</v>
      </c>
      <c r="R1003" s="7" t="str">
        <f>IF(AllData[[#This Row],[Nitrate (PPM)]]&gt;2, "Very high", IF(AllData[[#This Row],[Nitrate (PPM)]]&gt;1, "High", IF(AllData[[#This Row],[Nitrate (PPM)]]&gt;0.5, "Some evidence", IF(AllData[[#This Row],[Nitrate (PPM)]]&gt;=0, "No evidence"))))</f>
        <v>Very high</v>
      </c>
      <c r="S1003" s="4">
        <v>0.32</v>
      </c>
      <c r="T1003" s="7" t="str">
        <f>IF(AllData[[#This Row],[Phosphate (PPM)]]&gt;0.5, "Very high", IF(AllData[[#This Row],[Phosphate (PPM)]]&gt;0.1, "High", IF(AllData[[#This Row],[Phosphate (PPM)]]&gt;0.05, "Some evidence", IF(AllData[[#This Row],[Phosphate (PPM)]]&lt;=0.05, "No Evidence", ""))))</f>
        <v>High</v>
      </c>
      <c r="U1003">
        <v>7.0000000000000007E-2</v>
      </c>
    </row>
    <row r="1004" spans="1:22" x14ac:dyDescent="0.25">
      <c r="A1004" t="s">
        <v>1323</v>
      </c>
      <c r="B1004" s="2">
        <v>45474</v>
      </c>
      <c r="C1004" s="2" t="str" cm="1">
        <f t="array" ref="C10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4">
        <f>YEAR(AllData[[#This Row],[Date]])</f>
        <v>2024</v>
      </c>
      <c r="E1004" s="1">
        <v>0.60833333333333328</v>
      </c>
      <c r="F1004" s="2" t="str">
        <f>IF(AND(AllData[[#This Row],[Time]]&lt;0.5, AllData[[#This Row],[Time]]&gt;0.17)=TRUE, "Morning", IF(AND(AllData[[#This Row],[Time]]&lt;0.75, AllData[[#This Row],[Time]]&gt;=0.5)=TRUE, "Afternoon", IF(AND(AllData[[#This Row],[Time]]&lt;1, AllData[[#This Row],[Time]]&gt;=0.75)=TRUE, "Evening", "Night")))</f>
        <v>Afternoon</v>
      </c>
      <c r="G1004" t="str">
        <f>_xlfn.XLOOKUP(AllData[[#This Row],[Location Name]], Locations[Location Name],Locations[Group As])</f>
        <v>Abbey Mill</v>
      </c>
      <c r="H1004" t="e" vm="1">
        <f>_xlfn.XLOOKUP(AllData[[#This Row],[Site Name]],LocationsKey[Site Name],LocationsKey[District])</f>
        <v>#VALUE!</v>
      </c>
      <c r="I1004" t="e" vm="1">
        <f>_xlfn.XLOOKUP(AllData[[#This Row],[Site Name]],LocationsKey[Site Name],LocationsKey[Town])</f>
        <v>#VALUE!</v>
      </c>
      <c r="J1004" t="str">
        <f>_xlfn.XLOOKUP(AllData[[#This Row],[Site Name]],LocationsKey[Site Name], LocationsKey[Waterway])</f>
        <v>Avon</v>
      </c>
      <c r="K1004" t="s">
        <v>25</v>
      </c>
      <c r="L1004">
        <v>51.991247000000001</v>
      </c>
      <c r="M1004">
        <v>-2.1627100000000001</v>
      </c>
      <c r="N1004" t="s">
        <v>23</v>
      </c>
      <c r="O1004">
        <v>1020</v>
      </c>
      <c r="P1004">
        <v>20.6</v>
      </c>
      <c r="Q1004">
        <v>10</v>
      </c>
      <c r="R1004" s="7" t="str">
        <f>IF(AllData[[#This Row],[Nitrate (PPM)]]&gt;2, "Very high", IF(AllData[[#This Row],[Nitrate (PPM)]]&gt;1, "High", IF(AllData[[#This Row],[Nitrate (PPM)]]&gt;0.5, "Some evidence", IF(AllData[[#This Row],[Nitrate (PPM)]]&gt;=0, "No evidence"))))</f>
        <v>Very high</v>
      </c>
      <c r="S1004" s="4">
        <v>0.75</v>
      </c>
      <c r="T1004" s="7" t="str">
        <f>IF(AllData[[#This Row],[Phosphate (PPM)]]&gt;0.5, "Very high", IF(AllData[[#This Row],[Phosphate (PPM)]]&gt;0.1, "High", IF(AllData[[#This Row],[Phosphate (PPM)]]&gt;0.05, "Some evidence", IF(AllData[[#This Row],[Phosphate (PPM)]]&lt;=0.05, "No Evidence", ""))))</f>
        <v>Very high</v>
      </c>
      <c r="U1004">
        <v>0.4</v>
      </c>
    </row>
    <row r="1005" spans="1:22" x14ac:dyDescent="0.25">
      <c r="A1005" t="s">
        <v>1324</v>
      </c>
      <c r="B1005" s="2">
        <v>45474</v>
      </c>
      <c r="C1005" s="2" t="str" cm="1">
        <f t="array" ref="C10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5">
        <f>YEAR(AllData[[#This Row],[Date]])</f>
        <v>2024</v>
      </c>
      <c r="E1005" s="1">
        <v>0.79583333333333328</v>
      </c>
      <c r="F1005" s="2" t="str">
        <f>IF(AND(AllData[[#This Row],[Time]]&lt;0.5, AllData[[#This Row],[Time]]&gt;0.17)=TRUE, "Morning", IF(AND(AllData[[#This Row],[Time]]&lt;0.75, AllData[[#This Row],[Time]]&gt;=0.5)=TRUE, "Afternoon", IF(AND(AllData[[#This Row],[Time]]&lt;1, AllData[[#This Row],[Time]]&gt;=0.75)=TRUE, "Evening", "Night")))</f>
        <v>Evening</v>
      </c>
      <c r="G1005" t="str">
        <f>_xlfn.XLOOKUP(AllData[[#This Row],[Location Name]], Locations[Location Name],Locations[Group As])</f>
        <v>The Ford, Langley</v>
      </c>
      <c r="H1005" t="e" vm="2">
        <f>_xlfn.XLOOKUP(AllData[[#This Row],[Site Name]],LocationsKey[Site Name],LocationsKey[District])</f>
        <v>#VALUE!</v>
      </c>
      <c r="I1005" t="str">
        <f>_xlfn.XLOOKUP(AllData[[#This Row],[Site Name]],LocationsKey[Site Name],LocationsKey[Town])</f>
        <v>Langley</v>
      </c>
      <c r="J1005" t="str">
        <f>_xlfn.XLOOKUP(AllData[[#This Row],[Site Name]],LocationsKey[Site Name], LocationsKey[Waterway])</f>
        <v>Langley Ford</v>
      </c>
      <c r="K1005" t="s">
        <v>557</v>
      </c>
      <c r="L1005">
        <v>52.259816000000001</v>
      </c>
      <c r="M1005">
        <v>-1.7185330000000001</v>
      </c>
      <c r="N1005" t="s">
        <v>29</v>
      </c>
      <c r="O1005">
        <v>846</v>
      </c>
      <c r="P1005">
        <v>14.5</v>
      </c>
      <c r="Q1005">
        <v>5</v>
      </c>
      <c r="R1005" s="7" t="str">
        <f>IF(AllData[[#This Row],[Nitrate (PPM)]]&gt;2, "Very high", IF(AllData[[#This Row],[Nitrate (PPM)]]&gt;1, "High", IF(AllData[[#This Row],[Nitrate (PPM)]]&gt;0.5, "Some evidence", IF(AllData[[#This Row],[Nitrate (PPM)]]&gt;=0, "No evidence"))))</f>
        <v>Very high</v>
      </c>
      <c r="S1005" s="4">
        <v>0.93</v>
      </c>
      <c r="T1005" s="7" t="str">
        <f>IF(AllData[[#This Row],[Phosphate (PPM)]]&gt;0.5, "Very high", IF(AllData[[#This Row],[Phosphate (PPM)]]&gt;0.1, "High", IF(AllData[[#This Row],[Phosphate (PPM)]]&gt;0.05, "Some evidence", IF(AllData[[#This Row],[Phosphate (PPM)]]&lt;=0.05, "No Evidence", ""))))</f>
        <v>Very high</v>
      </c>
      <c r="U1005">
        <v>0.1</v>
      </c>
    </row>
    <row r="1006" spans="1:22" x14ac:dyDescent="0.25">
      <c r="A1006" t="s">
        <v>1326</v>
      </c>
      <c r="B1006" s="2">
        <v>45475</v>
      </c>
      <c r="C1006" s="2" t="str" cm="1">
        <f t="array" ref="C10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6">
        <f>YEAR(AllData[[#This Row],[Date]])</f>
        <v>2024</v>
      </c>
      <c r="E1006" s="1">
        <v>0.3840277777777778</v>
      </c>
      <c r="F1006" s="2" t="str">
        <f>IF(AND(AllData[[#This Row],[Time]]&lt;0.5, AllData[[#This Row],[Time]]&gt;0.17)=TRUE, "Morning", IF(AND(AllData[[#This Row],[Time]]&lt;0.75, AllData[[#This Row],[Time]]&gt;=0.5)=TRUE, "Afternoon", IF(AND(AllData[[#This Row],[Time]]&lt;1, AllData[[#This Row],[Time]]&gt;=0.75)=TRUE, "Evening", "Night")))</f>
        <v>Morning</v>
      </c>
      <c r="G1006" t="str">
        <f>_xlfn.XLOOKUP(AllData[[#This Row],[Location Name]], Locations[Location Name],Locations[Group As])</f>
        <v>Carrant Mitton Path</v>
      </c>
      <c r="H1006" t="e" vm="1">
        <f>_xlfn.XLOOKUP(AllData[[#This Row],[Site Name]],LocationsKey[Site Name],LocationsKey[District])</f>
        <v>#VALUE!</v>
      </c>
      <c r="I1006" t="e" vm="1">
        <f>_xlfn.XLOOKUP(AllData[[#This Row],[Site Name]],LocationsKey[Site Name],LocationsKey[Town])</f>
        <v>#VALUE!</v>
      </c>
      <c r="J1006" t="str">
        <f>_xlfn.XLOOKUP(AllData[[#This Row],[Site Name]],LocationsKey[Site Name], LocationsKey[Waterway])</f>
        <v>Carrant</v>
      </c>
      <c r="K1006" t="s">
        <v>958</v>
      </c>
      <c r="L1006">
        <v>51.9998</v>
      </c>
      <c r="M1006">
        <v>-2.1412719999999998</v>
      </c>
      <c r="N1006" t="s">
        <v>23</v>
      </c>
      <c r="O1006">
        <v>695</v>
      </c>
      <c r="P1006">
        <v>15.4</v>
      </c>
      <c r="Q1006">
        <v>5</v>
      </c>
      <c r="R1006" s="7" t="str">
        <f>IF(AllData[[#This Row],[Nitrate (PPM)]]&gt;2, "Very high", IF(AllData[[#This Row],[Nitrate (PPM)]]&gt;1, "High", IF(AllData[[#This Row],[Nitrate (PPM)]]&gt;0.5, "Some evidence", IF(AllData[[#This Row],[Nitrate (PPM)]]&gt;=0, "No evidence"))))</f>
        <v>Very high</v>
      </c>
      <c r="S1006" s="4">
        <v>0.22</v>
      </c>
      <c r="T1006" s="7" t="str">
        <f>IF(AllData[[#This Row],[Phosphate (PPM)]]&gt;0.5, "Very high", IF(AllData[[#This Row],[Phosphate (PPM)]]&gt;0.1, "High", IF(AllData[[#This Row],[Phosphate (PPM)]]&gt;0.05, "Some evidence", IF(AllData[[#This Row],[Phosphate (PPM)]]&lt;=0.05, "No Evidence", ""))))</f>
        <v>High</v>
      </c>
      <c r="U1006">
        <v>0</v>
      </c>
    </row>
    <row r="1007" spans="1:22" x14ac:dyDescent="0.25">
      <c r="A1007" t="s">
        <v>1325</v>
      </c>
      <c r="B1007" s="2">
        <v>45475</v>
      </c>
      <c r="C1007" s="2" t="str" cm="1">
        <f t="array" ref="C10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7">
        <f>YEAR(AllData[[#This Row],[Date]])</f>
        <v>2024</v>
      </c>
      <c r="E1007" s="1">
        <v>0.56736111111111109</v>
      </c>
      <c r="F1007" s="2" t="str">
        <f>IF(AND(AllData[[#This Row],[Time]]&lt;0.5, AllData[[#This Row],[Time]]&gt;0.17)=TRUE, "Morning", IF(AND(AllData[[#This Row],[Time]]&lt;0.75, AllData[[#This Row],[Time]]&gt;=0.5)=TRUE, "Afternoon", IF(AND(AllData[[#This Row],[Time]]&lt;1, AllData[[#This Row],[Time]]&gt;=0.75)=TRUE, "Evening", "Night")))</f>
        <v>Afternoon</v>
      </c>
      <c r="G1007" t="str">
        <f>_xlfn.XLOOKUP(AllData[[#This Row],[Location Name]], Locations[Location Name],Locations[Group As])</f>
        <v>Carrant M5 Bridge</v>
      </c>
      <c r="H1007" t="e" vm="1">
        <f>_xlfn.XLOOKUP(AllData[[#This Row],[Site Name]],LocationsKey[Site Name],LocationsKey[District])</f>
        <v>#VALUE!</v>
      </c>
      <c r="I1007" t="e" vm="1">
        <f>_xlfn.XLOOKUP(AllData[[#This Row],[Site Name]],LocationsKey[Site Name],LocationsKey[Town])</f>
        <v>#VALUE!</v>
      </c>
      <c r="J1007" t="str">
        <f>_xlfn.XLOOKUP(AllData[[#This Row],[Site Name]],LocationsKey[Site Name], LocationsKey[Waterway])</f>
        <v>Carrant</v>
      </c>
      <c r="K1007" t="s">
        <v>1015</v>
      </c>
      <c r="L1007">
        <v>52.016700999999998</v>
      </c>
      <c r="M1007">
        <v>-2.1296439999999999</v>
      </c>
      <c r="N1007" t="s">
        <v>23</v>
      </c>
      <c r="O1007" s="219">
        <v>768</v>
      </c>
      <c r="P1007">
        <v>16.100000000000001</v>
      </c>
      <c r="Q1007" s="219">
        <v>5</v>
      </c>
      <c r="R1007" s="7" t="str">
        <f>IF(AllData[[#This Row],[Nitrate (PPM)]]&gt;2, "Very high", IF(AllData[[#This Row],[Nitrate (PPM)]]&gt;1, "High", IF(AllData[[#This Row],[Nitrate (PPM)]]&gt;0.5, "Some evidence", IF(AllData[[#This Row],[Nitrate (PPM)]]&gt;=0, "No evidence"))))</f>
        <v>Very high</v>
      </c>
      <c r="S1007" s="221">
        <v>0.48</v>
      </c>
      <c r="T1007" s="7" t="str">
        <f>IF(AllData[[#This Row],[Phosphate (PPM)]]&gt;0.5, "Very high", IF(AllData[[#This Row],[Phosphate (PPM)]]&gt;0.1, "High", IF(AllData[[#This Row],[Phosphate (PPM)]]&gt;0.05, "Some evidence", IF(AllData[[#This Row],[Phosphate (PPM)]]&lt;=0.05, "No Evidence", ""))))</f>
        <v>High</v>
      </c>
      <c r="U1007">
        <v>0</v>
      </c>
    </row>
    <row r="1008" spans="1:22" x14ac:dyDescent="0.25">
      <c r="A1008" t="s">
        <v>1503</v>
      </c>
      <c r="B1008" s="2">
        <v>45477</v>
      </c>
      <c r="C1008" s="2" t="str" cm="1">
        <f t="array" ref="C10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8">
        <f>YEAR(AllData[[#This Row],[Date]])</f>
        <v>2024</v>
      </c>
      <c r="E1008" s="1">
        <v>0.4375</v>
      </c>
      <c r="F1008" s="2" t="str">
        <f>IF(AND(AllData[[#This Row],[Time]]&lt;0.5, AllData[[#This Row],[Time]]&gt;0.17)=TRUE, "Morning", IF(AND(AllData[[#This Row],[Time]]&lt;0.75, AllData[[#This Row],[Time]]&gt;=0.5)=TRUE, "Afternoon", IF(AND(AllData[[#This Row],[Time]]&lt;1, AllData[[#This Row],[Time]]&gt;=0.75)=TRUE, "Evening", "Night")))</f>
        <v>Morning</v>
      </c>
      <c r="G1008" t="str">
        <f>_xlfn.XLOOKUP(AllData[[#This Row],[Location Name]], Locations[Location Name],Locations[Group As])</f>
        <v>Stour Willington</v>
      </c>
      <c r="H1008" t="e" vm="2">
        <f>_xlfn.XLOOKUP(AllData[[#This Row],[Site Name]],LocationsKey[Site Name],LocationsKey[District])</f>
        <v>#VALUE!</v>
      </c>
      <c r="I1008" t="str">
        <f>_xlfn.XLOOKUP(AllData[[#This Row],[Site Name]],LocationsKey[Site Name],LocationsKey[Town])</f>
        <v>Willington</v>
      </c>
      <c r="J1008" t="str">
        <f>_xlfn.XLOOKUP(AllData[[#This Row],[Site Name]],LocationsKey[Site Name], LocationsKey[Waterway])</f>
        <v>Stour</v>
      </c>
      <c r="K1008" t="s">
        <v>517</v>
      </c>
      <c r="L1008">
        <v>52.053542</v>
      </c>
      <c r="M1008">
        <v>-1.6201399999999999</v>
      </c>
      <c r="N1008" t="s">
        <v>23</v>
      </c>
      <c r="O1008">
        <v>615</v>
      </c>
      <c r="P1008">
        <v>15.2</v>
      </c>
      <c r="Q1008">
        <v>2</v>
      </c>
      <c r="R1008" s="7" t="str">
        <f>IF(AllData[[#This Row],[Nitrate (PPM)]]&gt;2, "Very high", IF(AllData[[#This Row],[Nitrate (PPM)]]&gt;1, "High", IF(AllData[[#This Row],[Nitrate (PPM)]]&gt;0.5, "Some evidence", IF(AllData[[#This Row],[Nitrate (PPM)]]&gt;=0, "No evidence"))))</f>
        <v>High</v>
      </c>
      <c r="S1008" s="4">
        <v>0.41</v>
      </c>
      <c r="T1008" s="7" t="str">
        <f>IF(AllData[[#This Row],[Phosphate (PPM)]]&gt;0.5, "Very high", IF(AllData[[#This Row],[Phosphate (PPM)]]&gt;0.1, "High", IF(AllData[[#This Row],[Phosphate (PPM)]]&gt;0.05, "Some evidence", IF(AllData[[#This Row],[Phosphate (PPM)]]&lt;=0.05, "No Evidence", ""))))</f>
        <v>High</v>
      </c>
      <c r="U1008">
        <v>0.5</v>
      </c>
    </row>
    <row r="1009" spans="1:22" x14ac:dyDescent="0.25">
      <c r="A1009" t="s">
        <v>1327</v>
      </c>
      <c r="B1009" s="2">
        <v>45477</v>
      </c>
      <c r="C1009" s="2" t="str" cm="1">
        <f t="array" ref="C10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09">
        <f>YEAR(AllData[[#This Row],[Date]])</f>
        <v>2024</v>
      </c>
      <c r="E1009" s="1">
        <v>0.44444444444444442</v>
      </c>
      <c r="F1009" s="2" t="str">
        <f>IF(AND(AllData[[#This Row],[Time]]&lt;0.5, AllData[[#This Row],[Time]]&gt;0.17)=TRUE, "Morning", IF(AND(AllData[[#This Row],[Time]]&lt;0.75, AllData[[#This Row],[Time]]&gt;=0.5)=TRUE, "Afternoon", IF(AND(AllData[[#This Row],[Time]]&lt;1, AllData[[#This Row],[Time]]&gt;=0.75)=TRUE, "Evening", "Night")))</f>
        <v>Morning</v>
      </c>
      <c r="G1009" t="str">
        <f>_xlfn.XLOOKUP(AllData[[#This Row],[Location Name]], Locations[Location Name],Locations[Group As])</f>
        <v>Swilgate</v>
      </c>
      <c r="H1009" t="e" vm="1">
        <f>_xlfn.XLOOKUP(AllData[[#This Row],[Site Name]],LocationsKey[Site Name],LocationsKey[District])</f>
        <v>#VALUE!</v>
      </c>
      <c r="I1009" t="e" vm="1">
        <f>_xlfn.XLOOKUP(AllData[[#This Row],[Site Name]],LocationsKey[Site Name],LocationsKey[Town])</f>
        <v>#VALUE!</v>
      </c>
      <c r="J1009" t="str">
        <f>_xlfn.XLOOKUP(AllData[[#This Row],[Site Name]],LocationsKey[Site Name], LocationsKey[Waterway])</f>
        <v>Swilgate</v>
      </c>
      <c r="K1009" t="s">
        <v>84</v>
      </c>
      <c r="N1009" t="s">
        <v>23</v>
      </c>
      <c r="O1009">
        <v>1050</v>
      </c>
      <c r="P1009">
        <v>16</v>
      </c>
      <c r="Q1009">
        <v>4</v>
      </c>
      <c r="R1009" s="7" t="str">
        <f>IF(AllData[[#This Row],[Nitrate (PPM)]]&gt;2, "Very high", IF(AllData[[#This Row],[Nitrate (PPM)]]&gt;1, "High", IF(AllData[[#This Row],[Nitrate (PPM)]]&gt;0.5, "Some evidence", IF(AllData[[#This Row],[Nitrate (PPM)]]&gt;=0, "No evidence"))))</f>
        <v>Very high</v>
      </c>
      <c r="S1009" s="4">
        <v>0.68</v>
      </c>
      <c r="T1009" s="7" t="str">
        <f>IF(AllData[[#This Row],[Phosphate (PPM)]]&gt;0.5, "Very high", IF(AllData[[#This Row],[Phosphate (PPM)]]&gt;0.1, "High", IF(AllData[[#This Row],[Phosphate (PPM)]]&gt;0.05, "Some evidence", IF(AllData[[#This Row],[Phosphate (PPM)]]&lt;=0.05, "No Evidence", ""))))</f>
        <v>Very high</v>
      </c>
      <c r="U1009">
        <v>0</v>
      </c>
      <c r="V1009" t="s">
        <v>1328</v>
      </c>
    </row>
    <row r="1010" spans="1:22" x14ac:dyDescent="0.25">
      <c r="A1010" t="s">
        <v>1331</v>
      </c>
      <c r="B1010" s="2">
        <v>45477</v>
      </c>
      <c r="C1010" s="2" t="str" cm="1">
        <f t="array" ref="C10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0">
        <f>YEAR(AllData[[#This Row],[Date]])</f>
        <v>2024</v>
      </c>
      <c r="E1010" s="1">
        <v>0.60416666666666663</v>
      </c>
      <c r="F1010" s="2" t="str">
        <f>IF(AND(AllData[[#This Row],[Time]]&lt;0.5, AllData[[#This Row],[Time]]&gt;0.17)=TRUE, "Morning", IF(AND(AllData[[#This Row],[Time]]&lt;0.75, AllData[[#This Row],[Time]]&gt;=0.5)=TRUE, "Afternoon", IF(AND(AllData[[#This Row],[Time]]&lt;1, AllData[[#This Row],[Time]]&gt;=0.75)=TRUE, "Evening", "Night")))</f>
        <v>Afternoon</v>
      </c>
      <c r="G1010" t="str">
        <f>_xlfn.XLOOKUP(AllData[[#This Row],[Location Name]], Locations[Location Name],Locations[Group As])</f>
        <v>Swiffen Bank</v>
      </c>
      <c r="H1010" t="e" vm="2">
        <f>_xlfn.XLOOKUP(AllData[[#This Row],[Site Name]],LocationsKey[Site Name],LocationsKey[District])</f>
        <v>#VALUE!</v>
      </c>
      <c r="I1010" t="e" vm="13">
        <f>_xlfn.XLOOKUP(AllData[[#This Row],[Site Name]],LocationsKey[Site Name],LocationsKey[Town])</f>
        <v>#VALUE!</v>
      </c>
      <c r="J1010" t="str">
        <f>_xlfn.XLOOKUP(AllData[[#This Row],[Site Name]],LocationsKey[Site Name], LocationsKey[Waterway])</f>
        <v>Avon</v>
      </c>
      <c r="K1010" t="s">
        <v>284</v>
      </c>
      <c r="L1010">
        <v>52.206477999999997</v>
      </c>
      <c r="M1010">
        <v>-1.653894</v>
      </c>
      <c r="N1010" t="s">
        <v>29</v>
      </c>
      <c r="O1010" s="219">
        <v>776</v>
      </c>
      <c r="P1010">
        <v>18.5</v>
      </c>
      <c r="Q1010" s="219">
        <v>10</v>
      </c>
      <c r="R1010" s="7" t="str">
        <f>IF(AllData[[#This Row],[Nitrate (PPM)]]&gt;2, "Very high", IF(AllData[[#This Row],[Nitrate (PPM)]]&gt;1, "High", IF(AllData[[#This Row],[Nitrate (PPM)]]&gt;0.5, "Some evidence", IF(AllData[[#This Row],[Nitrate (PPM)]]&gt;=0, "No evidence"))))</f>
        <v>Very high</v>
      </c>
      <c r="S1010" s="221">
        <v>0.56999999999999995</v>
      </c>
      <c r="T1010" s="7" t="str">
        <f>IF(AllData[[#This Row],[Phosphate (PPM)]]&gt;0.5, "Very high", IF(AllData[[#This Row],[Phosphate (PPM)]]&gt;0.1, "High", IF(AllData[[#This Row],[Phosphate (PPM)]]&gt;0.05, "Some evidence", IF(AllData[[#This Row],[Phosphate (PPM)]]&lt;=0.05, "No Evidence", ""))))</f>
        <v>Very high</v>
      </c>
      <c r="U1010">
        <v>0</v>
      </c>
    </row>
    <row r="1011" spans="1:22" x14ac:dyDescent="0.25">
      <c r="A1011" t="s">
        <v>1557</v>
      </c>
      <c r="B1011" s="2">
        <v>45477</v>
      </c>
      <c r="C1011" s="2" t="str" cm="1">
        <f t="array" ref="C10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1">
        <f>YEAR(AllData[[#This Row],[Date]])</f>
        <v>2024</v>
      </c>
      <c r="E1011" s="1">
        <v>0.61875000000000002</v>
      </c>
      <c r="F1011" s="2" t="str">
        <f>IF(AND(AllData[[#This Row],[Time]]&lt;0.5, AllData[[#This Row],[Time]]&gt;0.17)=TRUE, "Morning", IF(AND(AllData[[#This Row],[Time]]&lt;0.75, AllData[[#This Row],[Time]]&gt;=0.5)=TRUE, "Afternoon", IF(AND(AllData[[#This Row],[Time]]&lt;1, AllData[[#This Row],[Time]]&gt;=0.75)=TRUE, "Evening", "Night")))</f>
        <v>Afternoon</v>
      </c>
      <c r="G1011" t="str">
        <f>_xlfn.XLOOKUP(AllData[[#This Row],[Location Name]], Locations[Location Name],Locations[Group As])</f>
        <v>Alveston Weir</v>
      </c>
      <c r="H1011" t="e" vm="2">
        <f>_xlfn.XLOOKUP(AllData[[#This Row],[Site Name]],LocationsKey[Site Name],LocationsKey[District])</f>
        <v>#VALUE!</v>
      </c>
      <c r="I1011" t="e" vm="13">
        <f>_xlfn.XLOOKUP(AllData[[#This Row],[Site Name]],LocationsKey[Site Name],LocationsKey[Town])</f>
        <v>#VALUE!</v>
      </c>
      <c r="J1011" t="str">
        <f>_xlfn.XLOOKUP(AllData[[#This Row],[Site Name]],LocationsKey[Site Name], LocationsKey[Waterway])</f>
        <v>Avon</v>
      </c>
      <c r="K1011" t="s">
        <v>286</v>
      </c>
      <c r="L1011">
        <v>52.212288999999998</v>
      </c>
      <c r="M1011">
        <v>-1.660452</v>
      </c>
      <c r="N1011" t="s">
        <v>29</v>
      </c>
      <c r="O1011">
        <v>767</v>
      </c>
      <c r="P1011">
        <v>17.600000000000001</v>
      </c>
      <c r="Q1011">
        <v>5</v>
      </c>
      <c r="R1011" s="7" t="str">
        <f>IF(AllData[[#This Row],[Nitrate (PPM)]]&gt;2, "Very high", IF(AllData[[#This Row],[Nitrate (PPM)]]&gt;1, "High", IF(AllData[[#This Row],[Nitrate (PPM)]]&gt;0.5, "Some evidence", IF(AllData[[#This Row],[Nitrate (PPM)]]&gt;=0, "No evidence"))))</f>
        <v>Very high</v>
      </c>
      <c r="S1011" s="4">
        <v>0.5</v>
      </c>
      <c r="T1011" s="7" t="str">
        <f>IF(AllData[[#This Row],[Phosphate (PPM)]]&gt;0.5, "Very high", IF(AllData[[#This Row],[Phosphate (PPM)]]&gt;0.1, "High", IF(AllData[[#This Row],[Phosphate (PPM)]]&gt;0.05, "Some evidence", IF(AllData[[#This Row],[Phosphate (PPM)]]&lt;=0.05, "No Evidence", ""))))</f>
        <v>High</v>
      </c>
      <c r="U1011">
        <v>0</v>
      </c>
    </row>
    <row r="1012" spans="1:22" x14ac:dyDescent="0.25">
      <c r="A1012" t="s">
        <v>1329</v>
      </c>
      <c r="B1012" s="2">
        <v>45477</v>
      </c>
      <c r="C1012" s="2" t="str" cm="1">
        <f t="array" ref="C10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2">
        <f>YEAR(AllData[[#This Row],[Date]])</f>
        <v>2024</v>
      </c>
      <c r="E1012" s="1">
        <v>0.70833333333333337</v>
      </c>
      <c r="F1012" s="2" t="str">
        <f>IF(AND(AllData[[#This Row],[Time]]&lt;0.5, AllData[[#This Row],[Time]]&gt;0.17)=TRUE, "Morning", IF(AND(AllData[[#This Row],[Time]]&lt;0.75, AllData[[#This Row],[Time]]&gt;=0.5)=TRUE, "Afternoon", IF(AND(AllData[[#This Row],[Time]]&lt;1, AllData[[#This Row],[Time]]&gt;=0.75)=TRUE, "Evening", "Night")))</f>
        <v>Afternoon</v>
      </c>
      <c r="G1012" t="str">
        <f>_xlfn.XLOOKUP(AllData[[#This Row],[Location Name]], Locations[Location Name],Locations[Group As])</f>
        <v>Stour Newbold Mill</v>
      </c>
      <c r="H1012" t="e" vm="2">
        <f>_xlfn.XLOOKUP(AllData[[#This Row],[Site Name]],LocationsKey[Site Name],LocationsKey[District])</f>
        <v>#VALUE!</v>
      </c>
      <c r="I1012" t="e" vm="8">
        <f>_xlfn.XLOOKUP(AllData[[#This Row],[Site Name]],LocationsKey[Site Name],LocationsKey[Town])</f>
        <v>#VALUE!</v>
      </c>
      <c r="J1012" t="str">
        <f>_xlfn.XLOOKUP(AllData[[#This Row],[Site Name]],LocationsKey[Site Name], LocationsKey[Waterway])</f>
        <v>Stour</v>
      </c>
      <c r="K1012" t="s">
        <v>140</v>
      </c>
      <c r="N1012" t="s">
        <v>29</v>
      </c>
      <c r="O1012">
        <v>656</v>
      </c>
      <c r="P1012">
        <v>16.100000000000001</v>
      </c>
      <c r="Q1012">
        <v>2</v>
      </c>
      <c r="R1012" s="7" t="str">
        <f>IF(AllData[[#This Row],[Nitrate (PPM)]]&gt;2, "Very high", IF(AllData[[#This Row],[Nitrate (PPM)]]&gt;1, "High", IF(AllData[[#This Row],[Nitrate (PPM)]]&gt;0.5, "Some evidence", IF(AllData[[#This Row],[Nitrate (PPM)]]&gt;=0, "No evidence"))))</f>
        <v>High</v>
      </c>
      <c r="S1012" s="4">
        <v>0.42</v>
      </c>
      <c r="T1012" s="7" t="str">
        <f>IF(AllData[[#This Row],[Phosphate (PPM)]]&gt;0.5, "Very high", IF(AllData[[#This Row],[Phosphate (PPM)]]&gt;0.1, "High", IF(AllData[[#This Row],[Phosphate (PPM)]]&gt;0.05, "Some evidence", IF(AllData[[#This Row],[Phosphate (PPM)]]&lt;=0.05, "No Evidence", ""))))</f>
        <v>High</v>
      </c>
      <c r="U1012">
        <v>2</v>
      </c>
      <c r="V1012" t="s">
        <v>1330</v>
      </c>
    </row>
    <row r="1013" spans="1:22" x14ac:dyDescent="0.25">
      <c r="A1013" t="s">
        <v>1332</v>
      </c>
      <c r="B1013" s="2">
        <v>45477</v>
      </c>
      <c r="C1013" s="2" t="str" cm="1">
        <f t="array" ref="C10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3">
        <f>YEAR(AllData[[#This Row],[Date]])</f>
        <v>2024</v>
      </c>
      <c r="E1013" s="1">
        <v>0.78749999999999998</v>
      </c>
      <c r="F1013" s="2" t="str">
        <f>IF(AND(AllData[[#This Row],[Time]]&lt;0.5, AllData[[#This Row],[Time]]&gt;0.17)=TRUE, "Morning", IF(AND(AllData[[#This Row],[Time]]&lt;0.75, AllData[[#This Row],[Time]]&gt;=0.5)=TRUE, "Afternoon", IF(AND(AllData[[#This Row],[Time]]&lt;1, AllData[[#This Row],[Time]]&gt;=0.75)=TRUE, "Evening", "Night")))</f>
        <v>Evening</v>
      </c>
      <c r="G1013" t="str">
        <f>_xlfn.XLOOKUP(AllData[[#This Row],[Location Name]], Locations[Location Name],Locations[Group As])</f>
        <v>Preston-on-Stour River Bridge</v>
      </c>
      <c r="H1013" t="e" vm="2">
        <f>_xlfn.XLOOKUP(AllData[[#This Row],[Site Name]],LocationsKey[Site Name],LocationsKey[District])</f>
        <v>#VALUE!</v>
      </c>
      <c r="I1013" t="e" vm="9">
        <f>_xlfn.XLOOKUP(AllData[[#This Row],[Site Name]],LocationsKey[Site Name],LocationsKey[Town])</f>
        <v>#VALUE!</v>
      </c>
      <c r="J1013" t="str">
        <f>_xlfn.XLOOKUP(AllData[[#This Row],[Site Name]],LocationsKey[Site Name], LocationsKey[Waterway])</f>
        <v>Stour</v>
      </c>
      <c r="K1013" t="s">
        <v>163</v>
      </c>
      <c r="L1013">
        <v>52.146512000000001</v>
      </c>
      <c r="M1013">
        <v>-1.6999010000000001</v>
      </c>
      <c r="N1013" t="s">
        <v>29</v>
      </c>
      <c r="O1013">
        <v>664</v>
      </c>
      <c r="P1013">
        <v>15.9</v>
      </c>
      <c r="Q1013">
        <v>8</v>
      </c>
      <c r="R1013" s="7" t="str">
        <f>IF(AllData[[#This Row],[Nitrate (PPM)]]&gt;2, "Very high", IF(AllData[[#This Row],[Nitrate (PPM)]]&gt;1, "High", IF(AllData[[#This Row],[Nitrate (PPM)]]&gt;0.5, "Some evidence", IF(AllData[[#This Row],[Nitrate (PPM)]]&gt;=0, "No evidence"))))</f>
        <v>Very high</v>
      </c>
      <c r="S1013" s="4">
        <v>0.42</v>
      </c>
      <c r="T1013" s="7" t="str">
        <f>IF(AllData[[#This Row],[Phosphate (PPM)]]&gt;0.5, "Very high", IF(AllData[[#This Row],[Phosphate (PPM)]]&gt;0.1, "High", IF(AllData[[#This Row],[Phosphate (PPM)]]&gt;0.05, "Some evidence", IF(AllData[[#This Row],[Phosphate (PPM)]]&lt;=0.05, "No Evidence", ""))))</f>
        <v>High</v>
      </c>
      <c r="U1013">
        <v>2.5</v>
      </c>
      <c r="V1013" t="s">
        <v>1333</v>
      </c>
    </row>
    <row r="1014" spans="1:22" x14ac:dyDescent="0.25">
      <c r="A1014" t="s">
        <v>1334</v>
      </c>
      <c r="B1014" s="2">
        <v>45478</v>
      </c>
      <c r="C1014" s="2" t="str" cm="1">
        <f t="array" ref="C10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4">
        <f>YEAR(AllData[[#This Row],[Date]])</f>
        <v>2024</v>
      </c>
      <c r="E1014" s="1">
        <v>0.45833333333333331</v>
      </c>
      <c r="F1014" s="2" t="str">
        <f>IF(AND(AllData[[#This Row],[Time]]&lt;0.5, AllData[[#This Row],[Time]]&gt;0.17)=TRUE, "Morning", IF(AND(AllData[[#This Row],[Time]]&lt;0.75, AllData[[#This Row],[Time]]&gt;=0.5)=TRUE, "Afternoon", IF(AND(AllData[[#This Row],[Time]]&lt;1, AllData[[#This Row],[Time]]&gt;=0.75)=TRUE, "Evening", "Night")))</f>
        <v>Morning</v>
      </c>
      <c r="G1014" t="str">
        <f>_xlfn.XLOOKUP(AllData[[#This Row],[Location Name]], Locations[Location Name],Locations[Group As])</f>
        <v>Carrant Back Lane Beckford</v>
      </c>
      <c r="H1014" t="e" vm="1">
        <f>_xlfn.XLOOKUP(AllData[[#This Row],[Site Name]],LocationsKey[Site Name],LocationsKey[District])</f>
        <v>#VALUE!</v>
      </c>
      <c r="I1014" t="str">
        <f>_xlfn.XLOOKUP(AllData[[#This Row],[Site Name]],LocationsKey[Site Name],LocationsKey[Town])</f>
        <v>Beckford</v>
      </c>
      <c r="J1014" t="str">
        <f>_xlfn.XLOOKUP(AllData[[#This Row],[Site Name]],LocationsKey[Site Name], LocationsKey[Waterway])</f>
        <v>Carrant</v>
      </c>
      <c r="K1014" t="s">
        <v>1307</v>
      </c>
      <c r="L1014">
        <v>52.018484000000001</v>
      </c>
      <c r="M1014">
        <v>-2.0387339999999998</v>
      </c>
      <c r="N1014" t="s">
        <v>66</v>
      </c>
      <c r="O1014">
        <v>770</v>
      </c>
      <c r="P1014">
        <v>16.899999999999999</v>
      </c>
      <c r="Q1014">
        <v>8</v>
      </c>
      <c r="R1014" s="7" t="str">
        <f>IF(AllData[[#This Row],[Nitrate (PPM)]]&gt;2, "Very high", IF(AllData[[#This Row],[Nitrate (PPM)]]&gt;1, "High", IF(AllData[[#This Row],[Nitrate (PPM)]]&gt;0.5, "Some evidence", IF(AllData[[#This Row],[Nitrate (PPM)]]&gt;=0, "No evidence"))))</f>
        <v>Very high</v>
      </c>
      <c r="S1014" s="4">
        <v>0.62</v>
      </c>
      <c r="T1014" s="7" t="str">
        <f>IF(AllData[[#This Row],[Phosphate (PPM)]]&gt;0.5, "Very high", IF(AllData[[#This Row],[Phosphate (PPM)]]&gt;0.1, "High", IF(AllData[[#This Row],[Phosphate (PPM)]]&gt;0.05, "Some evidence", IF(AllData[[#This Row],[Phosphate (PPM)]]&lt;=0.05, "No Evidence", ""))))</f>
        <v>Very high</v>
      </c>
      <c r="U1014">
        <v>0.03</v>
      </c>
      <c r="V1014" t="s">
        <v>1335</v>
      </c>
    </row>
    <row r="1015" spans="1:22" x14ac:dyDescent="0.25">
      <c r="A1015" t="s">
        <v>1340</v>
      </c>
      <c r="B1015" s="2">
        <v>45479</v>
      </c>
      <c r="C1015" s="2" t="str" cm="1">
        <f t="array" ref="C10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5">
        <f>YEAR(AllData[[#This Row],[Date]])</f>
        <v>2024</v>
      </c>
      <c r="E1015" s="1">
        <v>0.41666666666666669</v>
      </c>
      <c r="F1015" s="2" t="str">
        <f>IF(AND(AllData[[#This Row],[Time]]&lt;0.5, AllData[[#This Row],[Time]]&gt;0.17)=TRUE, "Morning", IF(AND(AllData[[#This Row],[Time]]&lt;0.75, AllData[[#This Row],[Time]]&gt;=0.5)=TRUE, "Afternoon", IF(AND(AllData[[#This Row],[Time]]&lt;1, AllData[[#This Row],[Time]]&gt;=0.75)=TRUE, "Evening", "Night")))</f>
        <v>Morning</v>
      </c>
      <c r="G1015" t="str">
        <f>_xlfn.XLOOKUP(AllData[[#This Row],[Location Name]], Locations[Location Name],Locations[Group As])</f>
        <v>Avon Smiths Meadow Wyre Piddle</v>
      </c>
      <c r="H1015" t="e" vm="17">
        <f>_xlfn.XLOOKUP(AllData[[#This Row],[Site Name]],LocationsKey[Site Name],LocationsKey[District])</f>
        <v>#VALUE!</v>
      </c>
      <c r="I1015" t="e" vm="20">
        <f>_xlfn.XLOOKUP(AllData[[#This Row],[Site Name]],LocationsKey[Site Name],LocationsKey[Town])</f>
        <v>#VALUE!</v>
      </c>
      <c r="J1015" t="str">
        <f>_xlfn.XLOOKUP(AllData[[#This Row],[Site Name]],LocationsKey[Site Name], LocationsKey[Waterway])</f>
        <v>Avon</v>
      </c>
      <c r="K1015" t="s">
        <v>741</v>
      </c>
      <c r="L1015">
        <v>52.122858999999998</v>
      </c>
      <c r="M1015">
        <v>-2.0575389999999998</v>
      </c>
      <c r="N1015" t="s">
        <v>23</v>
      </c>
      <c r="O1015">
        <v>1060</v>
      </c>
      <c r="P1015">
        <v>19.2</v>
      </c>
      <c r="Q1015">
        <v>5</v>
      </c>
      <c r="R1015" s="7" t="str">
        <f>IF(AllData[[#This Row],[Nitrate (PPM)]]&gt;2, "Very high", IF(AllData[[#This Row],[Nitrate (PPM)]]&gt;1, "High", IF(AllData[[#This Row],[Nitrate (PPM)]]&gt;0.5, "Some evidence", IF(AllData[[#This Row],[Nitrate (PPM)]]&gt;=0, "No evidence"))))</f>
        <v>Very high</v>
      </c>
      <c r="S1015" s="4">
        <v>0.87</v>
      </c>
      <c r="T1015" s="7" t="str">
        <f>IF(AllData[[#This Row],[Phosphate (PPM)]]&gt;0.5, "Very high", IF(AllData[[#This Row],[Phosphate (PPM)]]&gt;0.1, "High", IF(AllData[[#This Row],[Phosphate (PPM)]]&gt;0.05, "Some evidence", IF(AllData[[#This Row],[Phosphate (PPM)]]&lt;=0.05, "No Evidence", ""))))</f>
        <v>Very high</v>
      </c>
      <c r="U1015">
        <v>0.6</v>
      </c>
      <c r="V1015" t="s">
        <v>1341</v>
      </c>
    </row>
    <row r="1016" spans="1:22" x14ac:dyDescent="0.25">
      <c r="A1016" t="s">
        <v>1338</v>
      </c>
      <c r="B1016" s="2">
        <v>45479</v>
      </c>
      <c r="C1016" s="2" t="str" cm="1">
        <f t="array" ref="C10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6">
        <f>YEAR(AllData[[#This Row],[Date]])</f>
        <v>2024</v>
      </c>
      <c r="E1016" s="1">
        <v>0.4375</v>
      </c>
      <c r="F1016" s="2" t="str">
        <f>IF(AND(AllData[[#This Row],[Time]]&lt;0.5, AllData[[#This Row],[Time]]&gt;0.17)=TRUE, "Morning", IF(AND(AllData[[#This Row],[Time]]&lt;0.75, AllData[[#This Row],[Time]]&gt;=0.5)=TRUE, "Afternoon", IF(AND(AllData[[#This Row],[Time]]&lt;1, AllData[[#This Row],[Time]]&gt;=0.75)=TRUE, "Evening", "Night")))</f>
        <v>Morning</v>
      </c>
      <c r="G1016" t="str">
        <f>_xlfn.XLOOKUP(AllData[[#This Row],[Location Name]], Locations[Location Name],Locations[Group As])</f>
        <v>Piddle Brook Wyre Piddle Bridge</v>
      </c>
      <c r="H1016" t="e" vm="17">
        <f>_xlfn.XLOOKUP(AllData[[#This Row],[Site Name]],LocationsKey[Site Name],LocationsKey[District])</f>
        <v>#VALUE!</v>
      </c>
      <c r="I1016" t="e" vm="20">
        <f>_xlfn.XLOOKUP(AllData[[#This Row],[Site Name]],LocationsKey[Site Name],LocationsKey[Town])</f>
        <v>#VALUE!</v>
      </c>
      <c r="J1016" t="str">
        <f>_xlfn.XLOOKUP(AllData[[#This Row],[Site Name]],LocationsKey[Site Name], LocationsKey[Waterway])</f>
        <v>Piddle Brook</v>
      </c>
      <c r="K1016" t="s">
        <v>744</v>
      </c>
      <c r="L1016">
        <v>52.126404000000001</v>
      </c>
      <c r="M1016">
        <v>-2.0565410000000002</v>
      </c>
      <c r="N1016" t="s">
        <v>23</v>
      </c>
      <c r="O1016">
        <v>1650</v>
      </c>
      <c r="P1016">
        <v>14</v>
      </c>
      <c r="Q1016">
        <v>10</v>
      </c>
      <c r="R1016" s="7" t="str">
        <f>IF(AllData[[#This Row],[Nitrate (PPM)]]&gt;2, "Very high", IF(AllData[[#This Row],[Nitrate (PPM)]]&gt;1, "High", IF(AllData[[#This Row],[Nitrate (PPM)]]&gt;0.5, "Some evidence", IF(AllData[[#This Row],[Nitrate (PPM)]]&gt;=0, "No evidence"))))</f>
        <v>Very high</v>
      </c>
      <c r="S1016" s="4">
        <v>1.1299999999999999</v>
      </c>
      <c r="T1016" s="7" t="str">
        <f>IF(AllData[[#This Row],[Phosphate (PPM)]]&gt;0.5, "Very high", IF(AllData[[#This Row],[Phosphate (PPM)]]&gt;0.1, "High", IF(AllData[[#This Row],[Phosphate (PPM)]]&gt;0.05, "Some evidence", IF(AllData[[#This Row],[Phosphate (PPM)]]&lt;=0.05, "No Evidence", ""))))</f>
        <v>Very high</v>
      </c>
      <c r="U1016">
        <v>0.19</v>
      </c>
      <c r="V1016" t="s">
        <v>1339</v>
      </c>
    </row>
    <row r="1017" spans="1:22" x14ac:dyDescent="0.25">
      <c r="A1017" t="s">
        <v>1336</v>
      </c>
      <c r="B1017" s="2">
        <v>45479</v>
      </c>
      <c r="C1017" s="2" t="str" cm="1">
        <f t="array" ref="C10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7">
        <f>YEAR(AllData[[#This Row],[Date]])</f>
        <v>2024</v>
      </c>
      <c r="E1017" s="1">
        <v>0.52083333333333337</v>
      </c>
      <c r="F1017" s="2" t="str">
        <f>IF(AND(AllData[[#This Row],[Time]]&lt;0.5, AllData[[#This Row],[Time]]&gt;0.17)=TRUE, "Morning", IF(AND(AllData[[#This Row],[Time]]&lt;0.75, AllData[[#This Row],[Time]]&gt;=0.5)=TRUE, "Afternoon", IF(AND(AllData[[#This Row],[Time]]&lt;1, AllData[[#This Row],[Time]]&gt;=0.75)=TRUE, "Evening", "Night")))</f>
        <v>Afternoon</v>
      </c>
      <c r="G1017" t="str">
        <f>_xlfn.XLOOKUP(AllData[[#This Row],[Location Name]], Locations[Location Name],Locations[Group As])</f>
        <v>Carrant Bredon Rd</v>
      </c>
      <c r="H1017" t="e" vm="1">
        <f>_xlfn.XLOOKUP(AllData[[#This Row],[Site Name]],LocationsKey[Site Name],LocationsKey[District])</f>
        <v>#VALUE!</v>
      </c>
      <c r="I1017" t="e" vm="1">
        <f>_xlfn.XLOOKUP(AllData[[#This Row],[Site Name]],LocationsKey[Site Name],LocationsKey[Town])</f>
        <v>#VALUE!</v>
      </c>
      <c r="J1017" t="str">
        <f>_xlfn.XLOOKUP(AllData[[#This Row],[Site Name]],LocationsKey[Site Name], LocationsKey[Waterway])</f>
        <v>Carrant</v>
      </c>
      <c r="K1017" t="s">
        <v>600</v>
      </c>
      <c r="L1017">
        <v>51.996139999999997</v>
      </c>
      <c r="M1017">
        <v>-2.1558609999999998</v>
      </c>
      <c r="N1017" t="s">
        <v>23</v>
      </c>
      <c r="O1017" s="219">
        <v>414</v>
      </c>
      <c r="P1017">
        <v>15.3</v>
      </c>
      <c r="Q1017" s="219">
        <v>4</v>
      </c>
      <c r="R1017" s="7" t="str">
        <f>IF(AllData[[#This Row],[Nitrate (PPM)]]&gt;2, "Very high", IF(AllData[[#This Row],[Nitrate (PPM)]]&gt;1, "High", IF(AllData[[#This Row],[Nitrate (PPM)]]&gt;0.5, "Some evidence", IF(AllData[[#This Row],[Nitrate (PPM)]]&gt;=0, "No evidence"))))</f>
        <v>Very high</v>
      </c>
      <c r="S1017" s="221">
        <v>0.67</v>
      </c>
      <c r="T1017" s="7" t="str">
        <f>IF(AllData[[#This Row],[Phosphate (PPM)]]&gt;0.5, "Very high", IF(AllData[[#This Row],[Phosphate (PPM)]]&gt;0.1, "High", IF(AllData[[#This Row],[Phosphate (PPM)]]&gt;0.05, "Some evidence", IF(AllData[[#This Row],[Phosphate (PPM)]]&lt;=0.05, "No Evidence", ""))))</f>
        <v>Very high</v>
      </c>
      <c r="U1017">
        <v>0.1</v>
      </c>
      <c r="V1017" t="s">
        <v>1337</v>
      </c>
    </row>
    <row r="1018" spans="1:22" x14ac:dyDescent="0.25">
      <c r="A1018" t="s">
        <v>1346</v>
      </c>
      <c r="B1018" s="2">
        <v>45480</v>
      </c>
      <c r="C1018" s="2" t="str" cm="1">
        <f t="array" ref="C10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8">
        <f>YEAR(AllData[[#This Row],[Date]])</f>
        <v>2024</v>
      </c>
      <c r="E1018" s="1">
        <v>0.42708333333333331</v>
      </c>
      <c r="F1018" s="2" t="str">
        <f>IF(AND(AllData[[#This Row],[Time]]&lt;0.5, AllData[[#This Row],[Time]]&gt;0.17)=TRUE, "Morning", IF(AND(AllData[[#This Row],[Time]]&lt;0.75, AllData[[#This Row],[Time]]&gt;=0.5)=TRUE, "Afternoon", IF(AND(AllData[[#This Row],[Time]]&lt;1, AllData[[#This Row],[Time]]&gt;=0.75)=TRUE, "Evening", "Night")))</f>
        <v>Morning</v>
      </c>
      <c r="G1018" t="str">
        <f>_xlfn.XLOOKUP(AllData[[#This Row],[Location Name]], Locations[Location Name],Locations[Group As])</f>
        <v>Sherbourne Brook 1</v>
      </c>
      <c r="H1018" t="e" vm="2">
        <f>_xlfn.XLOOKUP(AllData[[#This Row],[Site Name]],LocationsKey[Site Name],LocationsKey[District])</f>
        <v>#VALUE!</v>
      </c>
      <c r="I1018" t="e" vm="16">
        <f>_xlfn.XLOOKUP(AllData[[#This Row],[Site Name]],LocationsKey[Site Name],LocationsKey[Town])</f>
        <v>#VALUE!</v>
      </c>
      <c r="J1018" t="str">
        <f>_xlfn.XLOOKUP(AllData[[#This Row],[Site Name]],LocationsKey[Site Name], LocationsKey[Waterway])</f>
        <v>Sherbourne Brook</v>
      </c>
      <c r="K1018" t="s">
        <v>570</v>
      </c>
      <c r="L1018">
        <v>52.252499999999998</v>
      </c>
      <c r="M1018">
        <v>-1.6685000000000001</v>
      </c>
      <c r="N1018" t="s">
        <v>23</v>
      </c>
      <c r="O1018">
        <v>1120</v>
      </c>
      <c r="P1018">
        <v>14.1</v>
      </c>
      <c r="Q1018">
        <v>10</v>
      </c>
      <c r="R1018" s="7" t="str">
        <f>IF(AllData[[#This Row],[Nitrate (PPM)]]&gt;2, "Very high", IF(AllData[[#This Row],[Nitrate (PPM)]]&gt;1, "High", IF(AllData[[#This Row],[Nitrate (PPM)]]&gt;0.5, "Some evidence", IF(AllData[[#This Row],[Nitrate (PPM)]]&gt;=0, "No evidence"))))</f>
        <v>Very high</v>
      </c>
      <c r="S1018" s="4">
        <v>0.52</v>
      </c>
      <c r="T1018" s="7" t="str">
        <f>IF(AllData[[#This Row],[Phosphate (PPM)]]&gt;0.5, "Very high", IF(AllData[[#This Row],[Phosphate (PPM)]]&gt;0.1, "High", IF(AllData[[#This Row],[Phosphate (PPM)]]&gt;0.05, "Some evidence", IF(AllData[[#This Row],[Phosphate (PPM)]]&lt;=0.05, "No Evidence", ""))))</f>
        <v>Very high</v>
      </c>
      <c r="U1018">
        <v>0.1</v>
      </c>
    </row>
    <row r="1019" spans="1:22" x14ac:dyDescent="0.25">
      <c r="A1019" t="s">
        <v>1345</v>
      </c>
      <c r="B1019" s="2">
        <v>45480</v>
      </c>
      <c r="C1019" s="2" t="str" cm="1">
        <f t="array" ref="C10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19">
        <f>YEAR(AllData[[#This Row],[Date]])</f>
        <v>2024</v>
      </c>
      <c r="E1019" s="1">
        <v>0.4375</v>
      </c>
      <c r="F1019" s="2" t="str">
        <f>IF(AND(AllData[[#This Row],[Time]]&lt;0.5, AllData[[#This Row],[Time]]&gt;0.17)=TRUE, "Morning", IF(AND(AllData[[#This Row],[Time]]&lt;0.75, AllData[[#This Row],[Time]]&gt;=0.5)=TRUE, "Afternoon", IF(AND(AllData[[#This Row],[Time]]&lt;1, AllData[[#This Row],[Time]]&gt;=0.75)=TRUE, "Evening", "Night")))</f>
        <v>Morning</v>
      </c>
      <c r="G1019" t="str">
        <f>_xlfn.XLOOKUP(AllData[[#This Row],[Location Name]], Locations[Location Name],Locations[Group As])</f>
        <v>Bell Brook 1</v>
      </c>
      <c r="H1019" t="e" vm="2">
        <f>_xlfn.XLOOKUP(AllData[[#This Row],[Site Name]],LocationsKey[Site Name],LocationsKey[District])</f>
        <v>#VALUE!</v>
      </c>
      <c r="I1019" t="e" vm="15">
        <f>_xlfn.XLOOKUP(AllData[[#This Row],[Site Name]],LocationsKey[Site Name],LocationsKey[Town])</f>
        <v>#VALUE!</v>
      </c>
      <c r="J1019" t="str">
        <f>_xlfn.XLOOKUP(AllData[[#This Row],[Site Name]],LocationsKey[Site Name], LocationsKey[Waterway])</f>
        <v>Bell Brook</v>
      </c>
      <c r="K1019" t="s">
        <v>534</v>
      </c>
      <c r="L1019">
        <v>52.244900000000001</v>
      </c>
      <c r="M1019">
        <v>-1.6617</v>
      </c>
      <c r="N1019" t="s">
        <v>23</v>
      </c>
      <c r="O1019">
        <v>708</v>
      </c>
      <c r="P1019">
        <v>15.1</v>
      </c>
      <c r="Q1019">
        <v>4</v>
      </c>
      <c r="R1019" s="7" t="str">
        <f>IF(AllData[[#This Row],[Nitrate (PPM)]]&gt;2, "Very high", IF(AllData[[#This Row],[Nitrate (PPM)]]&gt;1, "High", IF(AllData[[#This Row],[Nitrate (PPM)]]&gt;0.5, "Some evidence", IF(AllData[[#This Row],[Nitrate (PPM)]]&gt;=0, "No evidence"))))</f>
        <v>Very high</v>
      </c>
      <c r="S1019" s="4">
        <v>0.56000000000000005</v>
      </c>
      <c r="T1019" s="7" t="str">
        <f>IF(AllData[[#This Row],[Phosphate (PPM)]]&gt;0.5, "Very high", IF(AllData[[#This Row],[Phosphate (PPM)]]&gt;0.1, "High", IF(AllData[[#This Row],[Phosphate (PPM)]]&gt;0.05, "Some evidence", IF(AllData[[#This Row],[Phosphate (PPM)]]&lt;=0.05, "No Evidence", ""))))</f>
        <v>Very high</v>
      </c>
      <c r="U1019">
        <v>0.1</v>
      </c>
    </row>
    <row r="1020" spans="1:22" x14ac:dyDescent="0.25">
      <c r="A1020" t="s">
        <v>1344</v>
      </c>
      <c r="B1020" s="2">
        <v>45480</v>
      </c>
      <c r="C1020" s="2" t="str" cm="1">
        <f t="array" ref="C10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0">
        <f>YEAR(AllData[[#This Row],[Date]])</f>
        <v>2024</v>
      </c>
      <c r="E1020" s="1">
        <v>0.47291666666666665</v>
      </c>
      <c r="F1020" s="2" t="str">
        <f>IF(AND(AllData[[#This Row],[Time]]&lt;0.5, AllData[[#This Row],[Time]]&gt;0.17)=TRUE, "Morning", IF(AND(AllData[[#This Row],[Time]]&lt;0.75, AllData[[#This Row],[Time]]&gt;=0.5)=TRUE, "Afternoon", IF(AND(AllData[[#This Row],[Time]]&lt;1, AllData[[#This Row],[Time]]&gt;=0.75)=TRUE, "Evening", "Night")))</f>
        <v>Morning</v>
      </c>
      <c r="G1020" t="str">
        <f>_xlfn.XLOOKUP(AllData[[#This Row],[Location Name]], Locations[Location Name],Locations[Group As])</f>
        <v>Lower Lode</v>
      </c>
      <c r="H1020" t="e" vm="1">
        <f>_xlfn.XLOOKUP(AllData[[#This Row],[Site Name]],LocationsKey[Site Name],LocationsKey[District])</f>
        <v>#VALUE!</v>
      </c>
      <c r="I1020" t="e" vm="1">
        <f>_xlfn.XLOOKUP(AllData[[#This Row],[Site Name]],LocationsKey[Site Name],LocationsKey[Town])</f>
        <v>#VALUE!</v>
      </c>
      <c r="J1020" t="str">
        <f>_xlfn.XLOOKUP(AllData[[#This Row],[Site Name]],LocationsKey[Site Name], LocationsKey[Waterway])</f>
        <v>Avon</v>
      </c>
      <c r="K1020" t="s">
        <v>592</v>
      </c>
      <c r="L1020">
        <v>51.985075999999999</v>
      </c>
      <c r="M1020">
        <v>-2.1742900000000001</v>
      </c>
      <c r="N1020" t="s">
        <v>29</v>
      </c>
      <c r="O1020">
        <v>9270</v>
      </c>
      <c r="P1020">
        <v>17.3</v>
      </c>
      <c r="Q1020">
        <v>10</v>
      </c>
      <c r="R1020" s="7" t="str">
        <f>IF(AllData[[#This Row],[Nitrate (PPM)]]&gt;2, "Very high", IF(AllData[[#This Row],[Nitrate (PPM)]]&gt;1, "High", IF(AllData[[#This Row],[Nitrate (PPM)]]&gt;0.5, "Some evidence", IF(AllData[[#This Row],[Nitrate (PPM)]]&gt;=0, "No evidence"))))</f>
        <v>Very high</v>
      </c>
      <c r="S1020" s="4">
        <v>0.7</v>
      </c>
      <c r="T1020" s="7" t="str">
        <f>IF(AllData[[#This Row],[Phosphate (PPM)]]&gt;0.5, "Very high", IF(AllData[[#This Row],[Phosphate (PPM)]]&gt;0.1, "High", IF(AllData[[#This Row],[Phosphate (PPM)]]&gt;0.05, "Some evidence", IF(AllData[[#This Row],[Phosphate (PPM)]]&lt;=0.05, "No Evidence", ""))))</f>
        <v>Very high</v>
      </c>
      <c r="U1020">
        <v>0</v>
      </c>
    </row>
    <row r="1021" spans="1:22" x14ac:dyDescent="0.25">
      <c r="A1021" t="s">
        <v>1342</v>
      </c>
      <c r="B1021" s="2">
        <v>45480</v>
      </c>
      <c r="C1021" s="2" t="str" cm="1">
        <f t="array" ref="C10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1">
        <f>YEAR(AllData[[#This Row],[Date]])</f>
        <v>2024</v>
      </c>
      <c r="E1021" s="1">
        <v>0.64583333333333337</v>
      </c>
      <c r="F1021" s="2" t="str">
        <f>IF(AND(AllData[[#This Row],[Time]]&lt;0.5, AllData[[#This Row],[Time]]&gt;0.17)=TRUE, "Morning", IF(AND(AllData[[#This Row],[Time]]&lt;0.75, AllData[[#This Row],[Time]]&gt;=0.5)=TRUE, "Afternoon", IF(AND(AllData[[#This Row],[Time]]&lt;1, AllData[[#This Row],[Time]]&gt;=0.75)=TRUE, "Evening", "Night")))</f>
        <v>Afternoon</v>
      </c>
      <c r="G1021" t="str">
        <f>_xlfn.XLOOKUP(AllData[[#This Row],[Location Name]], Locations[Location Name],Locations[Group As])</f>
        <v>Fell Mill Footbridge</v>
      </c>
      <c r="H1021" t="e" vm="2">
        <f>_xlfn.XLOOKUP(AllData[[#This Row],[Site Name]],LocationsKey[Site Name],LocationsKey[District])</f>
        <v>#VALUE!</v>
      </c>
      <c r="I1021" t="e" vm="10">
        <f>_xlfn.XLOOKUP(AllData[[#This Row],[Site Name]],LocationsKey[Site Name],LocationsKey[Town])</f>
        <v>#VALUE!</v>
      </c>
      <c r="J1021" t="str">
        <f>_xlfn.XLOOKUP(AllData[[#This Row],[Site Name]],LocationsKey[Site Name], LocationsKey[Waterway])</f>
        <v>Stour</v>
      </c>
      <c r="K1021" t="s">
        <v>818</v>
      </c>
      <c r="L1021">
        <v>52.070086000000003</v>
      </c>
      <c r="M1021">
        <v>-1.61145</v>
      </c>
      <c r="N1021" t="s">
        <v>29</v>
      </c>
      <c r="O1021">
        <v>578</v>
      </c>
      <c r="P1021">
        <v>16.399999999999999</v>
      </c>
      <c r="Q1021">
        <v>5</v>
      </c>
      <c r="R1021" s="7" t="str">
        <f>IF(AllData[[#This Row],[Nitrate (PPM)]]&gt;2, "Very high", IF(AllData[[#This Row],[Nitrate (PPM)]]&gt;1, "High", IF(AllData[[#This Row],[Nitrate (PPM)]]&gt;0.5, "Some evidence", IF(AllData[[#This Row],[Nitrate (PPM)]]&gt;=0, "No evidence"))))</f>
        <v>Very high</v>
      </c>
      <c r="S1021" s="4">
        <v>0.79</v>
      </c>
      <c r="T1021" s="7" t="str">
        <f>IF(AllData[[#This Row],[Phosphate (PPM)]]&gt;0.5, "Very high", IF(AllData[[#This Row],[Phosphate (PPM)]]&gt;0.1, "High", IF(AllData[[#This Row],[Phosphate (PPM)]]&gt;0.05, "Some evidence", IF(AllData[[#This Row],[Phosphate (PPM)]]&lt;=0.05, "No Evidence", ""))))</f>
        <v>Very high</v>
      </c>
      <c r="U1021">
        <v>1.4</v>
      </c>
    </row>
    <row r="1022" spans="1:22" x14ac:dyDescent="0.25">
      <c r="A1022" t="s">
        <v>1343</v>
      </c>
      <c r="B1022" s="2">
        <v>45480</v>
      </c>
      <c r="C1022" s="2" t="str" cm="1">
        <f t="array" ref="C10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2">
        <f>YEAR(AllData[[#This Row],[Date]])</f>
        <v>2024</v>
      </c>
      <c r="E1022" s="1">
        <v>0.77361111111111114</v>
      </c>
      <c r="F1022" s="2" t="str">
        <f>IF(AND(AllData[[#This Row],[Time]]&lt;0.5, AllData[[#This Row],[Time]]&gt;0.17)=TRUE, "Morning", IF(AND(AllData[[#This Row],[Time]]&lt;0.75, AllData[[#This Row],[Time]]&gt;=0.5)=TRUE, "Afternoon", IF(AND(AllData[[#This Row],[Time]]&lt;1, AllData[[#This Row],[Time]]&gt;=0.75)=TRUE, "Evening", "Night")))</f>
        <v>Evening</v>
      </c>
      <c r="G1022" t="str">
        <f>_xlfn.XLOOKUP(AllData[[#This Row],[Location Name]], Locations[Location Name],Locations[Group As])</f>
        <v>Black Bear</v>
      </c>
      <c r="H1022" t="e" vm="1">
        <f>_xlfn.XLOOKUP(AllData[[#This Row],[Site Name]],LocationsKey[Site Name],LocationsKey[District])</f>
        <v>#VALUE!</v>
      </c>
      <c r="I1022" t="e" vm="1">
        <f>_xlfn.XLOOKUP(AllData[[#This Row],[Site Name]],LocationsKey[Site Name],LocationsKey[Town])</f>
        <v>#VALUE!</v>
      </c>
      <c r="J1022" t="str">
        <f>_xlfn.XLOOKUP(AllData[[#This Row],[Site Name]],LocationsKey[Site Name], LocationsKey[Waterway])</f>
        <v>Avon</v>
      </c>
      <c r="K1022" t="s">
        <v>1045</v>
      </c>
      <c r="L1022">
        <v>51.997504999999997</v>
      </c>
      <c r="M1022">
        <v>-2.1559569999999999</v>
      </c>
      <c r="N1022" t="s">
        <v>23</v>
      </c>
      <c r="O1022">
        <v>976</v>
      </c>
      <c r="P1022">
        <v>20.5</v>
      </c>
      <c r="Q1022">
        <v>8</v>
      </c>
      <c r="R1022" s="7" t="str">
        <f>IF(AllData[[#This Row],[Nitrate (PPM)]]&gt;2, "Very high", IF(AllData[[#This Row],[Nitrate (PPM)]]&gt;1, "High", IF(AllData[[#This Row],[Nitrate (PPM)]]&gt;0.5, "Some evidence", IF(AllData[[#This Row],[Nitrate (PPM)]]&gt;=0, "No evidence"))))</f>
        <v>Very high</v>
      </c>
      <c r="S1022" s="4">
        <v>0.78</v>
      </c>
      <c r="T1022" s="7" t="str">
        <f>IF(AllData[[#This Row],[Phosphate (PPM)]]&gt;0.5, "Very high", IF(AllData[[#This Row],[Phosphate (PPM)]]&gt;0.1, "High", IF(AllData[[#This Row],[Phosphate (PPM)]]&gt;0.05, "Some evidence", IF(AllData[[#This Row],[Phosphate (PPM)]]&lt;=0.05, "No Evidence", ""))))</f>
        <v>Very high</v>
      </c>
      <c r="U1022">
        <v>0</v>
      </c>
    </row>
    <row r="1023" spans="1:22" x14ac:dyDescent="0.25">
      <c r="A1023" t="s">
        <v>1809</v>
      </c>
      <c r="B1023" s="2">
        <v>45480</v>
      </c>
      <c r="C1023" s="2" t="str" cm="1">
        <f t="array" ref="C10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3">
        <f>YEAR(AllData[[#This Row],[Date]])</f>
        <v>2024</v>
      </c>
      <c r="F1023" s="2" t="str">
        <f>IF(AND(AllData[[#This Row],[Time]]&lt;0.5, AllData[[#This Row],[Time]]&gt;0.17)=TRUE, "Morning", IF(AND(AllData[[#This Row],[Time]]&lt;0.75, AllData[[#This Row],[Time]]&gt;=0.5)=TRUE, "Afternoon", IF(AND(AllData[[#This Row],[Time]]&lt;1, AllData[[#This Row],[Time]]&gt;=0.75)=TRUE, "Evening", "Night")))</f>
        <v>Night</v>
      </c>
      <c r="G1023" t="str">
        <f>_xlfn.XLOOKUP(AllData[[#This Row],[Location Name]], Locations[Location Name],Locations[Group As])</f>
        <v>Site 1  :  Middle Street</v>
      </c>
      <c r="H1023" t="e" vm="2">
        <f>_xlfn.XLOOKUP(AllData[[#This Row],[Site Name]],LocationsKey[Site Name],LocationsKey[District])</f>
        <v>#VALUE!</v>
      </c>
      <c r="I1023" t="e" vm="11">
        <f>_xlfn.XLOOKUP(AllData[[#This Row],[Site Name]],LocationsKey[Site Name],LocationsKey[Town])</f>
        <v>#VALUE!</v>
      </c>
      <c r="J1023" t="str">
        <f>_xlfn.XLOOKUP(AllData[[#This Row],[Site Name]],LocationsKey[Site Name], LocationsKey[Waterway])</f>
        <v>Fosseway Brook</v>
      </c>
      <c r="K1023" t="s">
        <v>1859</v>
      </c>
      <c r="L1023">
        <v>52.090085000000002</v>
      </c>
      <c r="M1023">
        <v>-1.692593</v>
      </c>
      <c r="N1023" t="s">
        <v>66</v>
      </c>
      <c r="O1023">
        <v>620</v>
      </c>
      <c r="P1023">
        <v>16.5</v>
      </c>
      <c r="Q1023">
        <v>2</v>
      </c>
      <c r="R1023" s="7" t="str">
        <f>IF(AllData[[#This Row],[Nitrate (PPM)]]&gt;2, "Very high", IF(AllData[[#This Row],[Nitrate (PPM)]]&gt;1, "High", IF(AllData[[#This Row],[Nitrate (PPM)]]&gt;0.5, "Some evidence", IF(AllData[[#This Row],[Nitrate (PPM)]]&gt;=0, "No evidence"))))</f>
        <v>High</v>
      </c>
      <c r="S1023" s="4">
        <v>0.15</v>
      </c>
      <c r="T1023" s="7" t="str">
        <f>IF(AllData[[#This Row],[Phosphate (PPM)]]&gt;0.5, "Very high", IF(AllData[[#This Row],[Phosphate (PPM)]]&gt;0.1, "High", IF(AllData[[#This Row],[Phosphate (PPM)]]&gt;0.05, "Some evidence", IF(AllData[[#This Row],[Phosphate (PPM)]]&lt;=0.05, "No Evidence", ""))))</f>
        <v>High</v>
      </c>
      <c r="U1023">
        <v>0</v>
      </c>
      <c r="V1023" t="s">
        <v>1927</v>
      </c>
    </row>
    <row r="1024" spans="1:22" x14ac:dyDescent="0.25">
      <c r="A1024" t="s">
        <v>1372</v>
      </c>
      <c r="B1024" s="2">
        <v>45480</v>
      </c>
      <c r="C1024" s="2" t="str" cm="1">
        <f t="array" ref="C10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4">
        <f>YEAR(AllData[[#This Row],[Date]])</f>
        <v>2024</v>
      </c>
      <c r="E1024" s="1"/>
      <c r="F1024" s="2" t="str">
        <f>IF(AND(AllData[[#This Row],[Time]]&lt;0.5, AllData[[#This Row],[Time]]&gt;0.17)=TRUE, "Morning", IF(AND(AllData[[#This Row],[Time]]&lt;0.75, AllData[[#This Row],[Time]]&gt;=0.5)=TRUE, "Afternoon", IF(AND(AllData[[#This Row],[Time]]&lt;1, AllData[[#This Row],[Time]]&gt;=0.75)=TRUE, "Evening", "Night")))</f>
        <v>Night</v>
      </c>
      <c r="G1024" t="str">
        <f>_xlfn.XLOOKUP(AllData[[#This Row],[Location Name]], Locations[Location Name],Locations[Group As])</f>
        <v>Site 1  :  Middle Street</v>
      </c>
      <c r="H1024" t="e" vm="2">
        <f>_xlfn.XLOOKUP(AllData[[#This Row],[Site Name]],LocationsKey[Site Name],LocationsKey[District])</f>
        <v>#VALUE!</v>
      </c>
      <c r="I1024" t="e" vm="11">
        <f>_xlfn.XLOOKUP(AllData[[#This Row],[Site Name]],LocationsKey[Site Name],LocationsKey[Town])</f>
        <v>#VALUE!</v>
      </c>
      <c r="J1024" t="str">
        <f>_xlfn.XLOOKUP(AllData[[#This Row],[Site Name]],LocationsKey[Site Name], LocationsKey[Waterway])</f>
        <v>Fosseway Brook</v>
      </c>
      <c r="K1024" t="s">
        <v>1373</v>
      </c>
      <c r="L1024">
        <v>52.090085000000002</v>
      </c>
      <c r="M1024">
        <v>-1.692593</v>
      </c>
      <c r="N1024" t="s">
        <v>66</v>
      </c>
      <c r="O1024">
        <v>620</v>
      </c>
      <c r="P1024">
        <v>16.5</v>
      </c>
      <c r="Q1024">
        <v>2</v>
      </c>
      <c r="R1024" s="7" t="str">
        <f>IF(AllData[[#This Row],[Nitrate (PPM)]]&gt;2, "Very high", IF(AllData[[#This Row],[Nitrate (PPM)]]&gt;1, "High", IF(AllData[[#This Row],[Nitrate (PPM)]]&gt;0.5, "Some evidence", IF(AllData[[#This Row],[Nitrate (PPM)]]&gt;=0, "No evidence"))))</f>
        <v>High</v>
      </c>
      <c r="S1024" s="4">
        <v>0.15</v>
      </c>
      <c r="T1024" s="7" t="str">
        <f>IF(AllData[[#This Row],[Phosphate (PPM)]]&gt;0.5, "Very high", IF(AllData[[#This Row],[Phosphate (PPM)]]&gt;0.1, "High", IF(AllData[[#This Row],[Phosphate (PPM)]]&gt;0.05, "Some evidence", IF(AllData[[#This Row],[Phosphate (PPM)]]&lt;=0.05, "No Evidence", ""))))</f>
        <v>High</v>
      </c>
      <c r="V1024" t="s">
        <v>1374</v>
      </c>
    </row>
    <row r="1025" spans="1:22" x14ac:dyDescent="0.25">
      <c r="A1025" t="s">
        <v>1810</v>
      </c>
      <c r="B1025" s="2">
        <v>45480</v>
      </c>
      <c r="C1025" s="2" t="str" cm="1">
        <f t="array" ref="C10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5">
        <f>YEAR(AllData[[#This Row],[Date]])</f>
        <v>2024</v>
      </c>
      <c r="F1025" s="2" t="str">
        <f>IF(AND(AllData[[#This Row],[Time]]&lt;0.5, AllData[[#This Row],[Time]]&gt;0.17)=TRUE, "Morning", IF(AND(AllData[[#This Row],[Time]]&lt;0.75, AllData[[#This Row],[Time]]&gt;=0.5)=TRUE, "Afternoon", IF(AND(AllData[[#This Row],[Time]]&lt;1, AllData[[#This Row],[Time]]&gt;=0.75)=TRUE, "Evening", "Night")))</f>
        <v>Night</v>
      </c>
      <c r="G1025" t="str">
        <f>_xlfn.XLOOKUP(AllData[[#This Row],[Location Name]], Locations[Location Name],Locations[Group As])</f>
        <v>Site 2  :  Cross Leys culvert</v>
      </c>
      <c r="H1025" t="e" vm="2">
        <f>_xlfn.XLOOKUP(AllData[[#This Row],[Site Name]],LocationsKey[Site Name],LocationsKey[District])</f>
        <v>#VALUE!</v>
      </c>
      <c r="I1025" t="e" vm="11">
        <f>_xlfn.XLOOKUP(AllData[[#This Row],[Site Name]],LocationsKey[Site Name],LocationsKey[Town])</f>
        <v>#VALUE!</v>
      </c>
      <c r="J1025" t="str">
        <f>_xlfn.XLOOKUP(AllData[[#This Row],[Site Name]],LocationsKey[Site Name], LocationsKey[Waterway])</f>
        <v>Fosseway Brook</v>
      </c>
      <c r="K1025" t="s">
        <v>1860</v>
      </c>
      <c r="L1025">
        <v>52.092967999999999</v>
      </c>
      <c r="M1025">
        <v>-1.6862710000000001</v>
      </c>
      <c r="N1025" t="s">
        <v>66</v>
      </c>
      <c r="O1025">
        <v>705</v>
      </c>
      <c r="P1025">
        <v>15.5</v>
      </c>
      <c r="Q1025">
        <v>2</v>
      </c>
      <c r="R1025" s="7" t="str">
        <f>IF(AllData[[#This Row],[Nitrate (PPM)]]&gt;2, "Very high", IF(AllData[[#This Row],[Nitrate (PPM)]]&gt;1, "High", IF(AllData[[#This Row],[Nitrate (PPM)]]&gt;0.5, "Some evidence", IF(AllData[[#This Row],[Nitrate (PPM)]]&gt;=0, "No evidence"))))</f>
        <v>High</v>
      </c>
      <c r="S1025" s="4">
        <v>0.34</v>
      </c>
      <c r="T1025" s="7" t="str">
        <f>IF(AllData[[#This Row],[Phosphate (PPM)]]&gt;0.5, "Very high", IF(AllData[[#This Row],[Phosphate (PPM)]]&gt;0.1, "High", IF(AllData[[#This Row],[Phosphate (PPM)]]&gt;0.05, "Some evidence", IF(AllData[[#This Row],[Phosphate (PPM)]]&lt;=0.05, "No Evidence", ""))))</f>
        <v>High</v>
      </c>
      <c r="U1025">
        <v>0</v>
      </c>
      <c r="V1025" t="s">
        <v>1909</v>
      </c>
    </row>
    <row r="1026" spans="1:22" x14ac:dyDescent="0.25">
      <c r="A1026" t="s">
        <v>1370</v>
      </c>
      <c r="B1026" s="2">
        <v>45480</v>
      </c>
      <c r="C1026" s="2" t="str" cm="1">
        <f t="array" ref="C10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6">
        <f>YEAR(AllData[[#This Row],[Date]])</f>
        <v>2024</v>
      </c>
      <c r="E1026" s="1"/>
      <c r="F1026" s="2" t="str">
        <f>IF(AND(AllData[[#This Row],[Time]]&lt;0.5, AllData[[#This Row],[Time]]&gt;0.17)=TRUE, "Morning", IF(AND(AllData[[#This Row],[Time]]&lt;0.75, AllData[[#This Row],[Time]]&gt;=0.5)=TRUE, "Afternoon", IF(AND(AllData[[#This Row],[Time]]&lt;1, AllData[[#This Row],[Time]]&gt;=0.75)=TRUE, "Evening", "Night")))</f>
        <v>Night</v>
      </c>
      <c r="G1026" t="str">
        <f>_xlfn.XLOOKUP(AllData[[#This Row],[Location Name]], Locations[Location Name],Locations[Group As])</f>
        <v>Site 2  :  Cross Leys culvert</v>
      </c>
      <c r="H1026" t="e" vm="2">
        <f>_xlfn.XLOOKUP(AllData[[#This Row],[Site Name]],LocationsKey[Site Name],LocationsKey[District])</f>
        <v>#VALUE!</v>
      </c>
      <c r="I1026" t="e" vm="11">
        <f>_xlfn.XLOOKUP(AllData[[#This Row],[Site Name]],LocationsKey[Site Name],LocationsKey[Town])</f>
        <v>#VALUE!</v>
      </c>
      <c r="J1026" t="str">
        <f>_xlfn.XLOOKUP(AllData[[#This Row],[Site Name]],LocationsKey[Site Name], LocationsKey[Waterway])</f>
        <v>Fosseway Brook</v>
      </c>
      <c r="K1026" t="s">
        <v>1371</v>
      </c>
      <c r="L1026">
        <v>52.092967999999999</v>
      </c>
      <c r="M1026">
        <v>-1.6862710000000001</v>
      </c>
      <c r="N1026" t="s">
        <v>66</v>
      </c>
      <c r="O1026">
        <v>705</v>
      </c>
      <c r="P1026">
        <v>15.5</v>
      </c>
      <c r="Q1026">
        <v>2</v>
      </c>
      <c r="R1026" s="7" t="str">
        <f>IF(AllData[[#This Row],[Nitrate (PPM)]]&gt;2, "Very high", IF(AllData[[#This Row],[Nitrate (PPM)]]&gt;1, "High", IF(AllData[[#This Row],[Nitrate (PPM)]]&gt;0.5, "Some evidence", IF(AllData[[#This Row],[Nitrate (PPM)]]&gt;=0, "No evidence"))))</f>
        <v>High</v>
      </c>
      <c r="S1026" s="4">
        <v>0.34</v>
      </c>
      <c r="T1026" s="7" t="str">
        <f>IF(AllData[[#This Row],[Phosphate (PPM)]]&gt;0.5, "Very high", IF(AllData[[#This Row],[Phosphate (PPM)]]&gt;0.1, "High", IF(AllData[[#This Row],[Phosphate (PPM)]]&gt;0.05, "Some evidence", IF(AllData[[#This Row],[Phosphate (PPM)]]&lt;=0.05, "No Evidence", ""))))</f>
        <v>High</v>
      </c>
    </row>
    <row r="1027" spans="1:22" x14ac:dyDescent="0.25">
      <c r="A1027" t="s">
        <v>1811</v>
      </c>
      <c r="B1027" s="2">
        <v>45480</v>
      </c>
      <c r="C1027" s="2" t="str" cm="1">
        <f t="array" ref="C10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7">
        <f>YEAR(AllData[[#This Row],[Date]])</f>
        <v>2024</v>
      </c>
      <c r="F1027" s="2" t="str">
        <f>IF(AND(AllData[[#This Row],[Time]]&lt;0.5, AllData[[#This Row],[Time]]&gt;0.17)=TRUE, "Morning", IF(AND(AllData[[#This Row],[Time]]&lt;0.75, AllData[[#This Row],[Time]]&gt;=0.5)=TRUE, "Afternoon", IF(AND(AllData[[#This Row],[Time]]&lt;1, AllData[[#This Row],[Time]]&gt;=0.75)=TRUE, "Evening", "Night")))</f>
        <v>Night</v>
      </c>
      <c r="G1027" t="str">
        <f>_xlfn.XLOOKUP(AllData[[#This Row],[Location Name]], Locations[Location Name],Locations[Group As])</f>
        <v>Site 3  :  Severn Trent Water processing plant outflow</v>
      </c>
      <c r="H1027" t="e" vm="2">
        <f>_xlfn.XLOOKUP(AllData[[#This Row],[Site Name]],LocationsKey[Site Name],LocationsKey[District])</f>
        <v>#VALUE!</v>
      </c>
      <c r="I1027" t="e" vm="11">
        <f>_xlfn.XLOOKUP(AllData[[#This Row],[Site Name]],LocationsKey[Site Name],LocationsKey[Town])</f>
        <v>#VALUE!</v>
      </c>
      <c r="J1027" t="str">
        <f>_xlfn.XLOOKUP(AllData[[#This Row],[Site Name]],LocationsKey[Site Name], LocationsKey[Waterway])</f>
        <v>Fosseway Brook</v>
      </c>
      <c r="K1027" t="s">
        <v>1861</v>
      </c>
      <c r="L1027">
        <v>52.094423999999997</v>
      </c>
      <c r="M1027">
        <v>-1.6759090000000001</v>
      </c>
      <c r="N1027" t="s">
        <v>29</v>
      </c>
      <c r="O1027">
        <v>799</v>
      </c>
      <c r="P1027">
        <v>16.899999999999999</v>
      </c>
      <c r="Q1027">
        <v>10</v>
      </c>
      <c r="R1027" s="7" t="str">
        <f>IF(AllData[[#This Row],[Nitrate (PPM)]]&gt;2, "Very high", IF(AllData[[#This Row],[Nitrate (PPM)]]&gt;1, "High", IF(AllData[[#This Row],[Nitrate (PPM)]]&gt;0.5, "Some evidence", IF(AllData[[#This Row],[Nitrate (PPM)]]&gt;=0, "No evidence"))))</f>
        <v>Very high</v>
      </c>
      <c r="S1027" s="4">
        <v>1.06</v>
      </c>
      <c r="T1027" s="7" t="str">
        <f>IF(AllData[[#This Row],[Phosphate (PPM)]]&gt;0.5, "Very high", IF(AllData[[#This Row],[Phosphate (PPM)]]&gt;0.1, "High", IF(AllData[[#This Row],[Phosphate (PPM)]]&gt;0.05, "Some evidence", IF(AllData[[#This Row],[Phosphate (PPM)]]&lt;=0.05, "No Evidence", ""))))</f>
        <v>Very high</v>
      </c>
      <c r="U1027">
        <v>0</v>
      </c>
      <c r="V1027" t="s">
        <v>1901</v>
      </c>
    </row>
    <row r="1028" spans="1:22" x14ac:dyDescent="0.25">
      <c r="A1028" t="s">
        <v>1367</v>
      </c>
      <c r="B1028" s="2">
        <v>45480</v>
      </c>
      <c r="C1028" s="2" t="str" cm="1">
        <f t="array" ref="C10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8">
        <f>YEAR(AllData[[#This Row],[Date]])</f>
        <v>2024</v>
      </c>
      <c r="E1028" s="1"/>
      <c r="F1028" s="2" t="str">
        <f>IF(AND(AllData[[#This Row],[Time]]&lt;0.5, AllData[[#This Row],[Time]]&gt;0.17)=TRUE, "Morning", IF(AND(AllData[[#This Row],[Time]]&lt;0.75, AllData[[#This Row],[Time]]&gt;=0.5)=TRUE, "Afternoon", IF(AND(AllData[[#This Row],[Time]]&lt;1, AllData[[#This Row],[Time]]&gt;=0.75)=TRUE, "Evening", "Night")))</f>
        <v>Night</v>
      </c>
      <c r="G1028" t="str">
        <f>_xlfn.XLOOKUP(AllData[[#This Row],[Location Name]], Locations[Location Name],Locations[Group As])</f>
        <v>Site 3  :  Severn Trent Water processing plant outflow</v>
      </c>
      <c r="H1028" t="e" vm="2">
        <f>_xlfn.XLOOKUP(AllData[[#This Row],[Site Name]],LocationsKey[Site Name],LocationsKey[District])</f>
        <v>#VALUE!</v>
      </c>
      <c r="I1028" t="e" vm="11">
        <f>_xlfn.XLOOKUP(AllData[[#This Row],[Site Name]],LocationsKey[Site Name],LocationsKey[Town])</f>
        <v>#VALUE!</v>
      </c>
      <c r="J1028" t="str">
        <f>_xlfn.XLOOKUP(AllData[[#This Row],[Site Name]],LocationsKey[Site Name], LocationsKey[Waterway])</f>
        <v>Fosseway Brook</v>
      </c>
      <c r="K1028" t="s">
        <v>1368</v>
      </c>
      <c r="L1028">
        <v>52.094423999999997</v>
      </c>
      <c r="M1028">
        <v>-1.6759090000000001</v>
      </c>
      <c r="N1028" t="s">
        <v>29</v>
      </c>
      <c r="O1028">
        <v>799</v>
      </c>
      <c r="P1028">
        <v>16.899999999999999</v>
      </c>
      <c r="Q1028">
        <v>10</v>
      </c>
      <c r="R1028" s="7" t="str">
        <f>IF(AllData[[#This Row],[Nitrate (PPM)]]&gt;2, "Very high", IF(AllData[[#This Row],[Nitrate (PPM)]]&gt;1, "High", IF(AllData[[#This Row],[Nitrate (PPM)]]&gt;0.5, "Some evidence", IF(AllData[[#This Row],[Nitrate (PPM)]]&gt;=0, "No evidence"))))</f>
        <v>Very high</v>
      </c>
      <c r="S1028" s="4">
        <v>1.06</v>
      </c>
      <c r="T1028" s="7" t="str">
        <f>IF(AllData[[#This Row],[Phosphate (PPM)]]&gt;0.5, "Very high", IF(AllData[[#This Row],[Phosphate (PPM)]]&gt;0.1, "High", IF(AllData[[#This Row],[Phosphate (PPM)]]&gt;0.05, "Some evidence", IF(AllData[[#This Row],[Phosphate (PPM)]]&lt;=0.05, "No Evidence", ""))))</f>
        <v>Very high</v>
      </c>
      <c r="V1028" t="s">
        <v>1369</v>
      </c>
    </row>
    <row r="1029" spans="1:22" x14ac:dyDescent="0.25">
      <c r="A1029" t="s">
        <v>1349</v>
      </c>
      <c r="B1029" s="2">
        <v>45481</v>
      </c>
      <c r="C1029" s="2" t="str" cm="1">
        <f t="array" ref="C10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29">
        <f>YEAR(AllData[[#This Row],[Date]])</f>
        <v>2024</v>
      </c>
      <c r="E1029" s="1">
        <v>0.37777777777777777</v>
      </c>
      <c r="F1029" s="2" t="str">
        <f>IF(AND(AllData[[#This Row],[Time]]&lt;0.5, AllData[[#This Row],[Time]]&gt;0.17)=TRUE, "Morning", IF(AND(AllData[[#This Row],[Time]]&lt;0.75, AllData[[#This Row],[Time]]&gt;=0.5)=TRUE, "Afternoon", IF(AND(AllData[[#This Row],[Time]]&lt;1, AllData[[#This Row],[Time]]&gt;=0.75)=TRUE, "Evening", "Night")))</f>
        <v>Morning</v>
      </c>
      <c r="G1029" t="str">
        <f>_xlfn.XLOOKUP(AllData[[#This Row],[Location Name]], Locations[Location Name],Locations[Group As])</f>
        <v>Stour Stretton-on-Fosse Village</v>
      </c>
      <c r="H1029" t="e" vm="2">
        <f>_xlfn.XLOOKUP(AllData[[#This Row],[Site Name]],LocationsKey[Site Name],LocationsKey[District])</f>
        <v>#VALUE!</v>
      </c>
      <c r="I1029" t="e" vm="14">
        <f>_xlfn.XLOOKUP(AllData[[#This Row],[Site Name]],LocationsKey[Site Name],LocationsKey[Town])</f>
        <v>#VALUE!</v>
      </c>
      <c r="J1029" t="str">
        <f>_xlfn.XLOOKUP(AllData[[#This Row],[Site Name]],LocationsKey[Site Name], LocationsKey[Waterway])</f>
        <v>Stour</v>
      </c>
      <c r="K1029" t="s">
        <v>544</v>
      </c>
      <c r="L1029">
        <v>52.046517999999999</v>
      </c>
      <c r="M1029">
        <v>-1.6734610000000001</v>
      </c>
      <c r="N1029" t="s">
        <v>66</v>
      </c>
      <c r="O1029">
        <v>684</v>
      </c>
      <c r="P1029">
        <v>13.1</v>
      </c>
      <c r="Q1029">
        <v>0.5</v>
      </c>
      <c r="R1029" s="7" t="str">
        <f>IF(AllData[[#This Row],[Nitrate (PPM)]]&gt;2, "Very high", IF(AllData[[#This Row],[Nitrate (PPM)]]&gt;1, "High", IF(AllData[[#This Row],[Nitrate (PPM)]]&gt;0.5, "Some evidence", IF(AllData[[#This Row],[Nitrate (PPM)]]&gt;=0, "No evidence"))))</f>
        <v>No evidence</v>
      </c>
      <c r="S1029" s="4">
        <v>2.5</v>
      </c>
      <c r="T1029" s="7" t="str">
        <f>IF(AllData[[#This Row],[Phosphate (PPM)]]&gt;0.5, "Very high", IF(AllData[[#This Row],[Phosphate (PPM)]]&gt;0.1, "High", IF(AllData[[#This Row],[Phosphate (PPM)]]&gt;0.05, "Some evidence", IF(AllData[[#This Row],[Phosphate (PPM)]]&lt;=0.05, "No Evidence", ""))))</f>
        <v>Very high</v>
      </c>
      <c r="U1029">
        <v>0.2</v>
      </c>
      <c r="V1029" t="s">
        <v>1177</v>
      </c>
    </row>
    <row r="1030" spans="1:22" x14ac:dyDescent="0.25">
      <c r="A1030" t="s">
        <v>1348</v>
      </c>
      <c r="B1030" s="2">
        <v>45481</v>
      </c>
      <c r="C1030" s="2" t="str" cm="1">
        <f t="array" ref="C10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0">
        <f>YEAR(AllData[[#This Row],[Date]])</f>
        <v>2024</v>
      </c>
      <c r="E1030" s="1">
        <v>0.38472222222222224</v>
      </c>
      <c r="F1030" s="2" t="str">
        <f>IF(AND(AllData[[#This Row],[Time]]&lt;0.5, AllData[[#This Row],[Time]]&gt;0.17)=TRUE, "Morning", IF(AND(AllData[[#This Row],[Time]]&lt;0.75, AllData[[#This Row],[Time]]&gt;=0.5)=TRUE, "Afternoon", IF(AND(AllData[[#This Row],[Time]]&lt;1, AllData[[#This Row],[Time]]&gt;=0.75)=TRUE, "Evening", "Night")))</f>
        <v>Morning</v>
      </c>
      <c r="G1030" t="str">
        <f>_xlfn.XLOOKUP(AllData[[#This Row],[Location Name]], Locations[Location Name],Locations[Group As])</f>
        <v>Stour Stretton-on-Fosse Sewage Works</v>
      </c>
      <c r="H1030" t="e" vm="2">
        <f>_xlfn.XLOOKUP(AllData[[#This Row],[Site Name]],LocationsKey[Site Name],LocationsKey[District])</f>
        <v>#VALUE!</v>
      </c>
      <c r="I1030" t="e" vm="14">
        <f>_xlfn.XLOOKUP(AllData[[#This Row],[Site Name]],LocationsKey[Site Name],LocationsKey[Town])</f>
        <v>#VALUE!</v>
      </c>
      <c r="J1030" t="str">
        <f>_xlfn.XLOOKUP(AllData[[#This Row],[Site Name]],LocationsKey[Site Name], LocationsKey[Waterway])</f>
        <v>Stour</v>
      </c>
      <c r="K1030" t="s">
        <v>335</v>
      </c>
      <c r="L1030">
        <v>52.045647000000002</v>
      </c>
      <c r="M1030">
        <v>-1.6718839999999999</v>
      </c>
      <c r="N1030" t="s">
        <v>29</v>
      </c>
      <c r="O1030">
        <v>739</v>
      </c>
      <c r="P1030">
        <v>13.7</v>
      </c>
      <c r="Q1030">
        <v>0.5</v>
      </c>
      <c r="R1030" s="7" t="str">
        <f>IF(AllData[[#This Row],[Nitrate (PPM)]]&gt;2, "Very high", IF(AllData[[#This Row],[Nitrate (PPM)]]&gt;1, "High", IF(AllData[[#This Row],[Nitrate (PPM)]]&gt;0.5, "Some evidence", IF(AllData[[#This Row],[Nitrate (PPM)]]&gt;=0, "No evidence"))))</f>
        <v>No evidence</v>
      </c>
      <c r="S1030" s="4">
        <v>2.5</v>
      </c>
      <c r="T1030" s="7" t="str">
        <f>IF(AllData[[#This Row],[Phosphate (PPM)]]&gt;0.5, "Very high", IF(AllData[[#This Row],[Phosphate (PPM)]]&gt;0.1, "High", IF(AllData[[#This Row],[Phosphate (PPM)]]&gt;0.05, "Some evidence", IF(AllData[[#This Row],[Phosphate (PPM)]]&lt;=0.05, "No Evidence", ""))))</f>
        <v>Very high</v>
      </c>
      <c r="U1030">
        <v>0.3</v>
      </c>
      <c r="V1030" t="s">
        <v>1177</v>
      </c>
    </row>
    <row r="1031" spans="1:22" x14ac:dyDescent="0.25">
      <c r="A1031" t="s">
        <v>1513</v>
      </c>
      <c r="B1031" s="2">
        <v>45481</v>
      </c>
      <c r="C1031" s="2" t="str" cm="1">
        <f t="array" ref="C10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1">
        <f>YEAR(AllData[[#This Row],[Date]])</f>
        <v>2024</v>
      </c>
      <c r="E1031" s="1">
        <v>0.4826388888888889</v>
      </c>
      <c r="F1031" s="2" t="str">
        <f>IF(AND(AllData[[#This Row],[Time]]&lt;0.5, AllData[[#This Row],[Time]]&gt;0.17)=TRUE, "Morning", IF(AND(AllData[[#This Row],[Time]]&lt;0.75, AllData[[#This Row],[Time]]&gt;=0.5)=TRUE, "Afternoon", IF(AND(AllData[[#This Row],[Time]]&lt;1, AllData[[#This Row],[Time]]&gt;=0.75)=TRUE, "Evening", "Night")))</f>
        <v>Morning</v>
      </c>
      <c r="G1031" t="str">
        <f>_xlfn.XLOOKUP(AllData[[#This Row],[Location Name]], Locations[Location Name],Locations[Group As])</f>
        <v>Chipping Campden Lady J Gateway</v>
      </c>
      <c r="H1031" t="e" vm="23">
        <f>_xlfn.XLOOKUP(AllData[[#This Row],[Site Name]],LocationsKey[Site Name],LocationsKey[District])</f>
        <v>#VALUE!</v>
      </c>
      <c r="I1031" t="e" vm="24">
        <f>_xlfn.XLOOKUP(AllData[[#This Row],[Site Name]],LocationsKey[Site Name],LocationsKey[Town])</f>
        <v>#VALUE!</v>
      </c>
      <c r="J1031" t="str">
        <f>_xlfn.XLOOKUP(AllData[[#This Row],[Site Name]],LocationsKey[Site Name], LocationsKey[Waterway])</f>
        <v>Cam Brook</v>
      </c>
      <c r="K1031" t="s">
        <v>1476</v>
      </c>
      <c r="N1031" t="s">
        <v>66</v>
      </c>
      <c r="O1031">
        <v>494</v>
      </c>
      <c r="P1031">
        <v>16.399999999999999</v>
      </c>
      <c r="Q1031">
        <v>5</v>
      </c>
      <c r="R1031" s="7" t="str">
        <f>IF(AllData[[#This Row],[Nitrate (PPM)]]&gt;2, "Very high", IF(AllData[[#This Row],[Nitrate (PPM)]]&gt;1, "High", IF(AllData[[#This Row],[Nitrate (PPM)]]&gt;0.5, "Some evidence", IF(AllData[[#This Row],[Nitrate (PPM)]]&gt;=0, "No evidence"))))</f>
        <v>Very high</v>
      </c>
      <c r="S1031" s="4">
        <v>0.18</v>
      </c>
      <c r="T1031" s="7" t="str">
        <f>IF(AllData[[#This Row],[Phosphate (PPM)]]&gt;0.5, "Very high", IF(AllData[[#This Row],[Phosphate (PPM)]]&gt;0.1, "High", IF(AllData[[#This Row],[Phosphate (PPM)]]&gt;0.05, "Some evidence", IF(AllData[[#This Row],[Phosphate (PPM)]]&lt;=0.05, "No Evidence", ""))))</f>
        <v>High</v>
      </c>
      <c r="U1031">
        <v>0.11</v>
      </c>
    </row>
    <row r="1032" spans="1:22" x14ac:dyDescent="0.25">
      <c r="A1032" t="s">
        <v>1496</v>
      </c>
      <c r="B1032" s="2">
        <v>45481</v>
      </c>
      <c r="C1032" s="2" t="str" cm="1">
        <f t="array" ref="C10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2">
        <f>YEAR(AllData[[#This Row],[Date]])</f>
        <v>2024</v>
      </c>
      <c r="E1032" s="1">
        <v>0.5131944444444444</v>
      </c>
      <c r="F1032" s="2" t="str">
        <f>IF(AND(AllData[[#This Row],[Time]]&lt;0.5, AllData[[#This Row],[Time]]&gt;0.17)=TRUE, "Morning", IF(AND(AllData[[#This Row],[Time]]&lt;0.75, AllData[[#This Row],[Time]]&gt;=0.5)=TRUE, "Afternoon", IF(AND(AllData[[#This Row],[Time]]&lt;1, AllData[[#This Row],[Time]]&gt;=0.75)=TRUE, "Evening", "Night")))</f>
        <v>Afternoon</v>
      </c>
      <c r="G1032" t="str">
        <f>_xlfn.XLOOKUP(AllData[[#This Row],[Location Name]], Locations[Location Name],Locations[Group As])</f>
        <v>Chipping Campden Sewage Works</v>
      </c>
      <c r="H1032" t="e" vm="23">
        <f>_xlfn.XLOOKUP(AllData[[#This Row],[Site Name]],LocationsKey[Site Name],LocationsKey[District])</f>
        <v>#VALUE!</v>
      </c>
      <c r="I1032" t="e" vm="24">
        <f>_xlfn.XLOOKUP(AllData[[#This Row],[Site Name]],LocationsKey[Site Name],LocationsKey[Town])</f>
        <v>#VALUE!</v>
      </c>
      <c r="J1032" t="str">
        <f>_xlfn.XLOOKUP(AllData[[#This Row],[Site Name]],LocationsKey[Site Name], LocationsKey[Waterway])</f>
        <v>Cam Brook</v>
      </c>
      <c r="K1032" t="s">
        <v>1474</v>
      </c>
      <c r="N1032" t="s">
        <v>29</v>
      </c>
      <c r="O1032">
        <v>643</v>
      </c>
      <c r="P1032">
        <v>15.6</v>
      </c>
      <c r="Q1032">
        <v>2</v>
      </c>
      <c r="R1032" s="7" t="str">
        <f>IF(AllData[[#This Row],[Nitrate (PPM)]]&gt;2, "Very high", IF(AllData[[#This Row],[Nitrate (PPM)]]&gt;1, "High", IF(AllData[[#This Row],[Nitrate (PPM)]]&gt;0.5, "Some evidence", IF(AllData[[#This Row],[Nitrate (PPM)]]&gt;=0, "No evidence"))))</f>
        <v>High</v>
      </c>
      <c r="S1032" s="4">
        <v>0.53</v>
      </c>
      <c r="T1032" s="7" t="str">
        <f>IF(AllData[[#This Row],[Phosphate (PPM)]]&gt;0.5, "Very high", IF(AllData[[#This Row],[Phosphate (PPM)]]&gt;0.1, "High", IF(AllData[[#This Row],[Phosphate (PPM)]]&gt;0.05, "Some evidence", IF(AllData[[#This Row],[Phosphate (PPM)]]&lt;=0.05, "No Evidence", ""))))</f>
        <v>Very high</v>
      </c>
      <c r="U1032">
        <v>0.14000000000000001</v>
      </c>
    </row>
    <row r="1033" spans="1:22" x14ac:dyDescent="0.25">
      <c r="A1033" t="s">
        <v>1347</v>
      </c>
      <c r="B1033" s="2">
        <v>45481</v>
      </c>
      <c r="C1033" s="2" t="str" cm="1">
        <f t="array" ref="C10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3">
        <f>YEAR(AllData[[#This Row],[Date]])</f>
        <v>2024</v>
      </c>
      <c r="E1033" s="1">
        <v>0.6118055555555556</v>
      </c>
      <c r="F1033" s="2" t="str">
        <f>IF(AND(AllData[[#This Row],[Time]]&lt;0.5, AllData[[#This Row],[Time]]&gt;0.17)=TRUE, "Morning", IF(AND(AllData[[#This Row],[Time]]&lt;0.75, AllData[[#This Row],[Time]]&gt;=0.5)=TRUE, "Afternoon", IF(AND(AllData[[#This Row],[Time]]&lt;1, AllData[[#This Row],[Time]]&gt;=0.75)=TRUE, "Evening", "Night")))</f>
        <v>Afternoon</v>
      </c>
      <c r="G1033" t="str">
        <f>_xlfn.XLOOKUP(AllData[[#This Row],[Location Name]], Locations[Location Name],Locations[Group As])</f>
        <v>Abbey Mill</v>
      </c>
      <c r="H1033" t="e" vm="1">
        <f>_xlfn.XLOOKUP(AllData[[#This Row],[Site Name]],LocationsKey[Site Name],LocationsKey[District])</f>
        <v>#VALUE!</v>
      </c>
      <c r="I1033" t="e" vm="1">
        <f>_xlfn.XLOOKUP(AllData[[#This Row],[Site Name]],LocationsKey[Site Name],LocationsKey[Town])</f>
        <v>#VALUE!</v>
      </c>
      <c r="J1033" t="str">
        <f>_xlfn.XLOOKUP(AllData[[#This Row],[Site Name]],LocationsKey[Site Name], LocationsKey[Waterway])</f>
        <v>Avon</v>
      </c>
      <c r="K1033" t="s">
        <v>25</v>
      </c>
      <c r="L1033">
        <v>51.991315999999998</v>
      </c>
      <c r="M1033">
        <v>-2.1627710000000002</v>
      </c>
      <c r="N1033" t="s">
        <v>23</v>
      </c>
      <c r="O1033">
        <v>1020</v>
      </c>
      <c r="P1033">
        <v>18.600000000000001</v>
      </c>
      <c r="Q1033">
        <v>10</v>
      </c>
      <c r="R1033" s="7" t="str">
        <f>IF(AllData[[#This Row],[Nitrate (PPM)]]&gt;2, "Very high", IF(AllData[[#This Row],[Nitrate (PPM)]]&gt;1, "High", IF(AllData[[#This Row],[Nitrate (PPM)]]&gt;0.5, "Some evidence", IF(AllData[[#This Row],[Nitrate (PPM)]]&gt;=0, "No evidence"))))</f>
        <v>Very high</v>
      </c>
      <c r="S1033" s="4">
        <v>0.95</v>
      </c>
      <c r="T1033" s="7" t="str">
        <f>IF(AllData[[#This Row],[Phosphate (PPM)]]&gt;0.5, "Very high", IF(AllData[[#This Row],[Phosphate (PPM)]]&gt;0.1, "High", IF(AllData[[#This Row],[Phosphate (PPM)]]&gt;0.05, "Some evidence", IF(AllData[[#This Row],[Phosphate (PPM)]]&lt;=0.05, "No Evidence", ""))))</f>
        <v>Very high</v>
      </c>
      <c r="U1033">
        <v>0.5</v>
      </c>
    </row>
    <row r="1034" spans="1:22" x14ac:dyDescent="0.25">
      <c r="A1034" t="s">
        <v>1354</v>
      </c>
      <c r="B1034" s="2">
        <v>45483</v>
      </c>
      <c r="C1034" s="2" t="str" cm="1">
        <f t="array" ref="C10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4">
        <f>YEAR(AllData[[#This Row],[Date]])</f>
        <v>2024</v>
      </c>
      <c r="E1034" s="1">
        <v>0.45069444444444445</v>
      </c>
      <c r="F1034" s="2" t="str">
        <f>IF(AND(AllData[[#This Row],[Time]]&lt;0.5, AllData[[#This Row],[Time]]&gt;0.17)=TRUE, "Morning", IF(AND(AllData[[#This Row],[Time]]&lt;0.75, AllData[[#This Row],[Time]]&gt;=0.5)=TRUE, "Afternoon", IF(AND(AllData[[#This Row],[Time]]&lt;1, AllData[[#This Row],[Time]]&gt;=0.75)=TRUE, "Evening", "Night")))</f>
        <v>Morning</v>
      </c>
      <c r="G1034" t="str">
        <f>_xlfn.XLOOKUP(AllData[[#This Row],[Location Name]], Locations[Location Name],Locations[Group As])</f>
        <v>Bredon Dock Lane</v>
      </c>
      <c r="H1034" t="e" vm="1">
        <f>_xlfn.XLOOKUP(AllData[[#This Row],[Site Name]],LocationsKey[Site Name],LocationsKey[District])</f>
        <v>#VALUE!</v>
      </c>
      <c r="I1034" t="e" vm="25">
        <f>_xlfn.XLOOKUP(AllData[[#This Row],[Site Name]],LocationsKey[Site Name],LocationsKey[Town])</f>
        <v>#VALUE!</v>
      </c>
      <c r="J1034" t="str">
        <f>_xlfn.XLOOKUP(AllData[[#This Row],[Site Name]],LocationsKey[Site Name], LocationsKey[Waterway])</f>
        <v>Avon</v>
      </c>
      <c r="K1034" t="s">
        <v>1355</v>
      </c>
      <c r="L1034">
        <v>52.033540000000002</v>
      </c>
      <c r="M1034">
        <v>-2.116123</v>
      </c>
      <c r="N1034" t="s">
        <v>23</v>
      </c>
      <c r="O1034">
        <v>964</v>
      </c>
      <c r="P1034">
        <v>19.100000000000001</v>
      </c>
      <c r="Q1034">
        <v>10</v>
      </c>
      <c r="R1034" s="7" t="str">
        <f>IF(AllData[[#This Row],[Nitrate (PPM)]]&gt;2, "Very high", IF(AllData[[#This Row],[Nitrate (PPM)]]&gt;1, "High", IF(AllData[[#This Row],[Nitrate (PPM)]]&gt;0.5, "Some evidence", IF(AllData[[#This Row],[Nitrate (PPM)]]&gt;=0, "No evidence"))))</f>
        <v>Very high</v>
      </c>
      <c r="S1034" s="4">
        <v>0.88</v>
      </c>
      <c r="T1034" s="7" t="str">
        <f>IF(AllData[[#This Row],[Phosphate (PPM)]]&gt;0.5, "Very high", IF(AllData[[#This Row],[Phosphate (PPM)]]&gt;0.1, "High", IF(AllData[[#This Row],[Phosphate (PPM)]]&gt;0.05, "Some evidence", IF(AllData[[#This Row],[Phosphate (PPM)]]&lt;=0.05, "No Evidence", ""))))</f>
        <v>Very high</v>
      </c>
      <c r="U1034">
        <v>0</v>
      </c>
    </row>
    <row r="1035" spans="1:22" x14ac:dyDescent="0.25">
      <c r="A1035" t="s">
        <v>1353</v>
      </c>
      <c r="B1035" s="2">
        <v>45483</v>
      </c>
      <c r="C1035" s="2" t="str" cm="1">
        <f t="array" ref="C10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5">
        <f>YEAR(AllData[[#This Row],[Date]])</f>
        <v>2024</v>
      </c>
      <c r="E1035" s="1">
        <v>0.4861111111111111</v>
      </c>
      <c r="F1035" s="2" t="str">
        <f>IF(AND(AllData[[#This Row],[Time]]&lt;0.5, AllData[[#This Row],[Time]]&gt;0.17)=TRUE, "Morning", IF(AND(AllData[[#This Row],[Time]]&lt;0.75, AllData[[#This Row],[Time]]&gt;=0.5)=TRUE, "Afternoon", IF(AND(AllData[[#This Row],[Time]]&lt;1, AllData[[#This Row],[Time]]&gt;=0.75)=TRUE, "Evening", "Night")))</f>
        <v>Morning</v>
      </c>
      <c r="G1035" t="str">
        <f>_xlfn.XLOOKUP(AllData[[#This Row],[Location Name]], Locations[Location Name],Locations[Group As])</f>
        <v>Carrant M5 Bridge</v>
      </c>
      <c r="H1035" t="e" vm="1">
        <f>_xlfn.XLOOKUP(AllData[[#This Row],[Site Name]],LocationsKey[Site Name],LocationsKey[District])</f>
        <v>#VALUE!</v>
      </c>
      <c r="I1035" t="e" vm="1">
        <f>_xlfn.XLOOKUP(AllData[[#This Row],[Site Name]],LocationsKey[Site Name],LocationsKey[Town])</f>
        <v>#VALUE!</v>
      </c>
      <c r="J1035" t="str">
        <f>_xlfn.XLOOKUP(AllData[[#This Row],[Site Name]],LocationsKey[Site Name], LocationsKey[Waterway])</f>
        <v>Carrant</v>
      </c>
      <c r="K1035" t="s">
        <v>960</v>
      </c>
      <c r="L1035">
        <v>52.013286999999998</v>
      </c>
      <c r="M1035">
        <v>-2.1231710000000001</v>
      </c>
      <c r="N1035" t="s">
        <v>23</v>
      </c>
      <c r="O1035">
        <v>670</v>
      </c>
      <c r="P1035">
        <v>17.5</v>
      </c>
      <c r="Q1035">
        <v>4</v>
      </c>
      <c r="R1035" s="7" t="str">
        <f>IF(AllData[[#This Row],[Nitrate (PPM)]]&gt;2, "Very high", IF(AllData[[#This Row],[Nitrate (PPM)]]&gt;1, "High", IF(AllData[[#This Row],[Nitrate (PPM)]]&gt;0.5, "Some evidence", IF(AllData[[#This Row],[Nitrate (PPM)]]&gt;=0, "No evidence"))))</f>
        <v>Very high</v>
      </c>
      <c r="S1035" s="4">
        <v>0.71</v>
      </c>
      <c r="T1035" s="7" t="str">
        <f>IF(AllData[[#This Row],[Phosphate (PPM)]]&gt;0.5, "Very high", IF(AllData[[#This Row],[Phosphate (PPM)]]&gt;0.1, "High", IF(AllData[[#This Row],[Phosphate (PPM)]]&gt;0.05, "Some evidence", IF(AllData[[#This Row],[Phosphate (PPM)]]&lt;=0.05, "No Evidence", ""))))</f>
        <v>Very high</v>
      </c>
      <c r="U1035">
        <v>0</v>
      </c>
    </row>
    <row r="1036" spans="1:22" x14ac:dyDescent="0.25">
      <c r="A1036" t="s">
        <v>1352</v>
      </c>
      <c r="B1036" s="2">
        <v>45483</v>
      </c>
      <c r="C1036" s="2" t="str" cm="1">
        <f t="array" ref="C10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6">
        <f>YEAR(AllData[[#This Row],[Date]])</f>
        <v>2024</v>
      </c>
      <c r="E1036" s="1">
        <v>0.49861111111111112</v>
      </c>
      <c r="F1036" s="2" t="str">
        <f>IF(AND(AllData[[#This Row],[Time]]&lt;0.5, AllData[[#This Row],[Time]]&gt;0.17)=TRUE, "Morning", IF(AND(AllData[[#This Row],[Time]]&lt;0.75, AllData[[#This Row],[Time]]&gt;=0.5)=TRUE, "Afternoon", IF(AND(AllData[[#This Row],[Time]]&lt;1, AllData[[#This Row],[Time]]&gt;=0.75)=TRUE, "Evening", "Night")))</f>
        <v>Morning</v>
      </c>
      <c r="G1036" t="str">
        <f>_xlfn.XLOOKUP(AllData[[#This Row],[Location Name]], Locations[Location Name],Locations[Group As])</f>
        <v>Carrant Mitton Path</v>
      </c>
      <c r="H1036" t="e" vm="1">
        <f>_xlfn.XLOOKUP(AllData[[#This Row],[Site Name]],LocationsKey[Site Name],LocationsKey[District])</f>
        <v>#VALUE!</v>
      </c>
      <c r="I1036" t="e" vm="1">
        <f>_xlfn.XLOOKUP(AllData[[#This Row],[Site Name]],LocationsKey[Site Name],LocationsKey[Town])</f>
        <v>#VALUE!</v>
      </c>
      <c r="J1036" t="str">
        <f>_xlfn.XLOOKUP(AllData[[#This Row],[Site Name]],LocationsKey[Site Name], LocationsKey[Waterway])</f>
        <v>Carrant</v>
      </c>
      <c r="K1036" t="s">
        <v>958</v>
      </c>
      <c r="L1036">
        <v>51.999834</v>
      </c>
      <c r="M1036">
        <v>-2.141086</v>
      </c>
      <c r="N1036" t="s">
        <v>23</v>
      </c>
      <c r="O1036">
        <v>635</v>
      </c>
      <c r="P1036">
        <v>17.5</v>
      </c>
      <c r="Q1036">
        <v>5</v>
      </c>
      <c r="R1036" s="7" t="str">
        <f>IF(AllData[[#This Row],[Nitrate (PPM)]]&gt;2, "Very high", IF(AllData[[#This Row],[Nitrate (PPM)]]&gt;1, "High", IF(AllData[[#This Row],[Nitrate (PPM)]]&gt;0.5, "Some evidence", IF(AllData[[#This Row],[Nitrate (PPM)]]&gt;=0, "No evidence"))))</f>
        <v>Very high</v>
      </c>
      <c r="S1036" s="4">
        <v>0.13</v>
      </c>
      <c r="T1036" s="7" t="str">
        <f>IF(AllData[[#This Row],[Phosphate (PPM)]]&gt;0.5, "Very high", IF(AllData[[#This Row],[Phosphate (PPM)]]&gt;0.1, "High", IF(AllData[[#This Row],[Phosphate (PPM)]]&gt;0.05, "Some evidence", IF(AllData[[#This Row],[Phosphate (PPM)]]&lt;=0.05, "No Evidence", ""))))</f>
        <v>High</v>
      </c>
      <c r="U1036">
        <v>0</v>
      </c>
    </row>
    <row r="1037" spans="1:22" x14ac:dyDescent="0.25">
      <c r="A1037" t="s">
        <v>1350</v>
      </c>
      <c r="B1037" s="2">
        <v>45483</v>
      </c>
      <c r="C1037" s="2" t="str" cm="1">
        <f t="array" ref="C10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7">
        <f>YEAR(AllData[[#This Row],[Date]])</f>
        <v>2024</v>
      </c>
      <c r="E1037" s="1">
        <v>0.59375</v>
      </c>
      <c r="F1037" s="2" t="str">
        <f>IF(AND(AllData[[#This Row],[Time]]&lt;0.5, AllData[[#This Row],[Time]]&gt;0.17)=TRUE, "Morning", IF(AND(AllData[[#This Row],[Time]]&lt;0.75, AllData[[#This Row],[Time]]&gt;=0.5)=TRUE, "Afternoon", IF(AND(AllData[[#This Row],[Time]]&lt;1, AllData[[#This Row],[Time]]&gt;=0.75)=TRUE, "Evening", "Night")))</f>
        <v>Afternoon</v>
      </c>
      <c r="G1037" t="str">
        <f>_xlfn.XLOOKUP(AllData[[#This Row],[Location Name]], Locations[Location Name],Locations[Group As])</f>
        <v>Alveston Weir</v>
      </c>
      <c r="H1037" t="e" vm="2">
        <f>_xlfn.XLOOKUP(AllData[[#This Row],[Site Name]],LocationsKey[Site Name],LocationsKey[District])</f>
        <v>#VALUE!</v>
      </c>
      <c r="I1037" t="e" vm="13">
        <f>_xlfn.XLOOKUP(AllData[[#This Row],[Site Name]],LocationsKey[Site Name],LocationsKey[Town])</f>
        <v>#VALUE!</v>
      </c>
      <c r="J1037" t="str">
        <f>_xlfn.XLOOKUP(AllData[[#This Row],[Site Name]],LocationsKey[Site Name], LocationsKey[Waterway])</f>
        <v>Avon</v>
      </c>
      <c r="K1037" t="s">
        <v>286</v>
      </c>
      <c r="L1037">
        <v>52.212288999999998</v>
      </c>
      <c r="M1037">
        <v>-1.660045</v>
      </c>
      <c r="N1037" t="s">
        <v>29</v>
      </c>
      <c r="O1037" s="219">
        <v>654</v>
      </c>
      <c r="P1037">
        <v>18.600000000000001</v>
      </c>
      <c r="Q1037" s="219">
        <v>10</v>
      </c>
      <c r="R1037" s="7" t="str">
        <f>IF(AllData[[#This Row],[Nitrate (PPM)]]&gt;2, "Very high", IF(AllData[[#This Row],[Nitrate (PPM)]]&gt;1, "High", IF(AllData[[#This Row],[Nitrate (PPM)]]&gt;0.5, "Some evidence", IF(AllData[[#This Row],[Nitrate (PPM)]]&gt;=0, "No evidence"))))</f>
        <v>Very high</v>
      </c>
      <c r="S1037" s="221">
        <v>0.45</v>
      </c>
      <c r="T1037" s="7" t="str">
        <f>IF(AllData[[#This Row],[Phosphate (PPM)]]&gt;0.5, "Very high", IF(AllData[[#This Row],[Phosphate (PPM)]]&gt;0.1, "High", IF(AllData[[#This Row],[Phosphate (PPM)]]&gt;0.05, "Some evidence", IF(AllData[[#This Row],[Phosphate (PPM)]]&lt;=0.05, "No Evidence", ""))))</f>
        <v>High</v>
      </c>
      <c r="U1037">
        <v>0.5</v>
      </c>
      <c r="V1037" t="s">
        <v>1290</v>
      </c>
    </row>
    <row r="1038" spans="1:22" x14ac:dyDescent="0.25">
      <c r="A1038" t="s">
        <v>1351</v>
      </c>
      <c r="B1038" s="2">
        <v>45483</v>
      </c>
      <c r="C1038" s="2" t="str" cm="1">
        <f t="array" ref="C10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8">
        <f>YEAR(AllData[[#This Row],[Date]])</f>
        <v>2024</v>
      </c>
      <c r="E1038" s="1">
        <v>0.60416666666666663</v>
      </c>
      <c r="F1038" s="2" t="str">
        <f>IF(AND(AllData[[#This Row],[Time]]&lt;0.5, AllData[[#This Row],[Time]]&gt;0.17)=TRUE, "Morning", IF(AND(AllData[[#This Row],[Time]]&lt;0.75, AllData[[#This Row],[Time]]&gt;=0.5)=TRUE, "Afternoon", IF(AND(AllData[[#This Row],[Time]]&lt;1, AllData[[#This Row],[Time]]&gt;=0.75)=TRUE, "Evening", "Night")))</f>
        <v>Afternoon</v>
      </c>
      <c r="G1038" t="str">
        <f>_xlfn.XLOOKUP(AllData[[#This Row],[Location Name]], Locations[Location Name],Locations[Group As])</f>
        <v>Swiffen Bank</v>
      </c>
      <c r="H1038" t="e" vm="2">
        <f>_xlfn.XLOOKUP(AllData[[#This Row],[Site Name]],LocationsKey[Site Name],LocationsKey[District])</f>
        <v>#VALUE!</v>
      </c>
      <c r="I1038" t="e" vm="13">
        <f>_xlfn.XLOOKUP(AllData[[#This Row],[Site Name]],LocationsKey[Site Name],LocationsKey[Town])</f>
        <v>#VALUE!</v>
      </c>
      <c r="J1038" t="str">
        <f>_xlfn.XLOOKUP(AllData[[#This Row],[Site Name]],LocationsKey[Site Name], LocationsKey[Waterway])</f>
        <v>Avon</v>
      </c>
      <c r="K1038" t="s">
        <v>443</v>
      </c>
      <c r="L1038">
        <v>52.206477999999997</v>
      </c>
      <c r="M1038">
        <v>-1.653894</v>
      </c>
      <c r="N1038" t="s">
        <v>29</v>
      </c>
      <c r="O1038">
        <v>653</v>
      </c>
      <c r="P1038">
        <v>19.3</v>
      </c>
      <c r="Q1038">
        <v>10</v>
      </c>
      <c r="R1038" s="7" t="str">
        <f>IF(AllData[[#This Row],[Nitrate (PPM)]]&gt;2, "Very high", IF(AllData[[#This Row],[Nitrate (PPM)]]&gt;1, "High", IF(AllData[[#This Row],[Nitrate (PPM)]]&gt;0.5, "Some evidence", IF(AllData[[#This Row],[Nitrate (PPM)]]&gt;=0, "No evidence"))))</f>
        <v>Very high</v>
      </c>
      <c r="S1038" s="4">
        <v>0.51</v>
      </c>
      <c r="T1038" s="7" t="str">
        <f>IF(AllData[[#This Row],[Phosphate (PPM)]]&gt;0.5, "Very high", IF(AllData[[#This Row],[Phosphate (PPM)]]&gt;0.1, "High", IF(AllData[[#This Row],[Phosphate (PPM)]]&gt;0.05, "Some evidence", IF(AllData[[#This Row],[Phosphate (PPM)]]&lt;=0.05, "No Evidence", ""))))</f>
        <v>Very high</v>
      </c>
      <c r="U1038">
        <v>0.5</v>
      </c>
    </row>
    <row r="1039" spans="1:22" x14ac:dyDescent="0.25">
      <c r="A1039" t="s">
        <v>1553</v>
      </c>
      <c r="B1039" s="2">
        <v>45483</v>
      </c>
      <c r="C1039" s="2" t="str" cm="1">
        <f t="array" ref="C10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9">
        <f>YEAR(AllData[[#This Row],[Date]])</f>
        <v>2024</v>
      </c>
      <c r="E1039" s="1">
        <v>0.75</v>
      </c>
      <c r="F1039" s="2" t="str">
        <f>IF(AND(AllData[[#This Row],[Time]]&lt;0.5, AllData[[#This Row],[Time]]&gt;0.17)=TRUE, "Morning", IF(AND(AllData[[#This Row],[Time]]&lt;0.75, AllData[[#This Row],[Time]]&gt;=0.5)=TRUE, "Afternoon", IF(AND(AllData[[#This Row],[Time]]&lt;1, AllData[[#This Row],[Time]]&gt;=0.75)=TRUE, "Evening", "Night")))</f>
        <v>Evening</v>
      </c>
      <c r="G1039" t="str">
        <f>_xlfn.XLOOKUP(AllData[[#This Row],[Location Name]], Locations[Location Name],Locations[Group As])</f>
        <v>Stour Newbold Mill</v>
      </c>
      <c r="H1039" t="e" vm="2">
        <f>_xlfn.XLOOKUP(AllData[[#This Row],[Site Name]],LocationsKey[Site Name],LocationsKey[District])</f>
        <v>#VALUE!</v>
      </c>
      <c r="I1039" t="e" vm="8">
        <f>_xlfn.XLOOKUP(AllData[[#This Row],[Site Name]],LocationsKey[Site Name],LocationsKey[Town])</f>
        <v>#VALUE!</v>
      </c>
      <c r="J1039" t="str">
        <f>_xlfn.XLOOKUP(AllData[[#This Row],[Site Name]],LocationsKey[Site Name], LocationsKey[Waterway])</f>
        <v>Stour</v>
      </c>
      <c r="K1039" t="s">
        <v>140</v>
      </c>
      <c r="N1039" t="s">
        <v>29</v>
      </c>
      <c r="O1039">
        <v>622</v>
      </c>
      <c r="P1039">
        <v>16.8</v>
      </c>
      <c r="Q1039">
        <v>2</v>
      </c>
      <c r="R1039" s="7" t="str">
        <f>IF(AllData[[#This Row],[Nitrate (PPM)]]&gt;2, "Very high", IF(AllData[[#This Row],[Nitrate (PPM)]]&gt;1, "High", IF(AllData[[#This Row],[Nitrate (PPM)]]&gt;0.5, "Some evidence", IF(AllData[[#This Row],[Nitrate (PPM)]]&gt;=0, "No evidence"))))</f>
        <v>High</v>
      </c>
      <c r="S1039" s="4">
        <v>0.51</v>
      </c>
      <c r="T1039" s="7" t="str">
        <f>IF(AllData[[#This Row],[Phosphate (PPM)]]&gt;0.5, "Very high", IF(AllData[[#This Row],[Phosphate (PPM)]]&gt;0.1, "High", IF(AllData[[#This Row],[Phosphate (PPM)]]&gt;0.05, "Some evidence", IF(AllData[[#This Row],[Phosphate (PPM)]]&lt;=0.05, "No Evidence", ""))))</f>
        <v>Very high</v>
      </c>
      <c r="U1039">
        <v>2</v>
      </c>
      <c r="V1039" t="s">
        <v>1554</v>
      </c>
    </row>
    <row r="1040" spans="1:22" x14ac:dyDescent="0.25">
      <c r="A1040" t="s">
        <v>1561</v>
      </c>
      <c r="B1040" s="2">
        <v>45484</v>
      </c>
      <c r="C1040" s="2" t="str" cm="1">
        <f t="array" ref="C10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0">
        <f>YEAR(AllData[[#This Row],[Date]])</f>
        <v>2024</v>
      </c>
      <c r="E1040" s="1">
        <v>0.35416666666666669</v>
      </c>
      <c r="F1040" s="2" t="str">
        <f>IF(AND(AllData[[#This Row],[Time]]&lt;0.5, AllData[[#This Row],[Time]]&gt;0.17)=TRUE, "Morning", IF(AND(AllData[[#This Row],[Time]]&lt;0.75, AllData[[#This Row],[Time]]&gt;=0.5)=TRUE, "Afternoon", IF(AND(AllData[[#This Row],[Time]]&lt;1, AllData[[#This Row],[Time]]&gt;=0.75)=TRUE, "Evening", "Night")))</f>
        <v>Morning</v>
      </c>
      <c r="G1040" t="str">
        <f>_xlfn.XLOOKUP(AllData[[#This Row],[Location Name]], Locations[Location Name],Locations[Group As])</f>
        <v>Swilgate</v>
      </c>
      <c r="H1040" t="e" vm="1">
        <f>_xlfn.XLOOKUP(AllData[[#This Row],[Site Name]],LocationsKey[Site Name],LocationsKey[District])</f>
        <v>#VALUE!</v>
      </c>
      <c r="I1040" t="e" vm="1">
        <f>_xlfn.XLOOKUP(AllData[[#This Row],[Site Name]],LocationsKey[Site Name],LocationsKey[Town])</f>
        <v>#VALUE!</v>
      </c>
      <c r="J1040" t="str">
        <f>_xlfn.XLOOKUP(AllData[[#This Row],[Site Name]],LocationsKey[Site Name], LocationsKey[Waterway])</f>
        <v>Swilgate</v>
      </c>
      <c r="K1040" t="s">
        <v>84</v>
      </c>
      <c r="N1040" t="s">
        <v>23</v>
      </c>
      <c r="O1040">
        <v>889</v>
      </c>
      <c r="P1040">
        <v>17.2</v>
      </c>
      <c r="Q1040">
        <v>4</v>
      </c>
      <c r="R1040" s="7" t="str">
        <f>IF(AllData[[#This Row],[Nitrate (PPM)]]&gt;2, "Very high", IF(AllData[[#This Row],[Nitrate (PPM)]]&gt;1, "High", IF(AllData[[#This Row],[Nitrate (PPM)]]&gt;0.5, "Some evidence", IF(AllData[[#This Row],[Nitrate (PPM)]]&gt;=0, "No evidence"))))</f>
        <v>Very high</v>
      </c>
      <c r="S1040" s="4">
        <v>0.47</v>
      </c>
      <c r="T1040" s="7" t="str">
        <f>IF(AllData[[#This Row],[Phosphate (PPM)]]&gt;0.5, "Very high", IF(AllData[[#This Row],[Phosphate (PPM)]]&gt;0.1, "High", IF(AllData[[#This Row],[Phosphate (PPM)]]&gt;0.05, "Some evidence", IF(AllData[[#This Row],[Phosphate (PPM)]]&lt;=0.05, "No Evidence", ""))))</f>
        <v>High</v>
      </c>
      <c r="U1040">
        <v>0</v>
      </c>
    </row>
    <row r="1041" spans="1:22" x14ac:dyDescent="0.25">
      <c r="A1041" t="s">
        <v>1502</v>
      </c>
      <c r="B1041" s="2">
        <v>45484</v>
      </c>
      <c r="C1041" s="2" t="str" cm="1">
        <f t="array" ref="C10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1">
        <f>YEAR(AllData[[#This Row],[Date]])</f>
        <v>2024</v>
      </c>
      <c r="E1041" s="1">
        <v>0.5</v>
      </c>
      <c r="F1041" s="2" t="str">
        <f>IF(AND(AllData[[#This Row],[Time]]&lt;0.5, AllData[[#This Row],[Time]]&gt;0.17)=TRUE, "Morning", IF(AND(AllData[[#This Row],[Time]]&lt;0.75, AllData[[#This Row],[Time]]&gt;=0.5)=TRUE, "Afternoon", IF(AND(AllData[[#This Row],[Time]]&lt;1, AllData[[#This Row],[Time]]&gt;=0.75)=TRUE, "Evening", "Night")))</f>
        <v>Afternoon</v>
      </c>
      <c r="G1041" t="str">
        <f>_xlfn.XLOOKUP(AllData[[#This Row],[Location Name]], Locations[Location Name],Locations[Group As])</f>
        <v>Stour Willington</v>
      </c>
      <c r="H1041" t="e" vm="2">
        <f>_xlfn.XLOOKUP(AllData[[#This Row],[Site Name]],LocationsKey[Site Name],LocationsKey[District])</f>
        <v>#VALUE!</v>
      </c>
      <c r="I1041" t="str">
        <f>_xlfn.XLOOKUP(AllData[[#This Row],[Site Name]],LocationsKey[Site Name],LocationsKey[Town])</f>
        <v>Willington</v>
      </c>
      <c r="J1041" t="str">
        <f>_xlfn.XLOOKUP(AllData[[#This Row],[Site Name]],LocationsKey[Site Name], LocationsKey[Waterway])</f>
        <v>Stour</v>
      </c>
      <c r="K1041" t="s">
        <v>517</v>
      </c>
      <c r="N1041" t="s">
        <v>23</v>
      </c>
      <c r="O1041">
        <v>552</v>
      </c>
      <c r="P1041">
        <v>17.600000000000001</v>
      </c>
      <c r="Q1041">
        <v>5</v>
      </c>
      <c r="R1041" s="126" t="str">
        <f>IF(AllData[[#This Row],[Nitrate (PPM)]]&gt;2, "Very high", IF(AllData[[#This Row],[Nitrate (PPM)]]&gt;1, "High", IF(AllData[[#This Row],[Nitrate (PPM)]]&gt;0.5, "Some evidence", IF(AllData[[#This Row],[Nitrate (PPM)]]&gt;=0, "No evidence"))))</f>
        <v>Very high</v>
      </c>
      <c r="S1041" s="4">
        <v>0.6</v>
      </c>
      <c r="T1041" s="126" t="str">
        <f>IF(AllData[[#This Row],[Phosphate (PPM)]]&gt;0.5, "Very high", IF(AllData[[#This Row],[Phosphate (PPM)]]&gt;0.1, "High", IF(AllData[[#This Row],[Phosphate (PPM)]]&gt;0.05, "Some evidence", IF(AllData[[#This Row],[Phosphate (PPM)]]&lt;=0.05, "No Evidence", ""))))</f>
        <v>Very high</v>
      </c>
      <c r="U1041">
        <v>0.5</v>
      </c>
    </row>
    <row r="1042" spans="1:22" x14ac:dyDescent="0.25">
      <c r="A1042" t="s">
        <v>1356</v>
      </c>
      <c r="B1042" s="2">
        <v>45485</v>
      </c>
      <c r="C1042" s="2" t="str" cm="1">
        <f t="array" ref="C10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2">
        <f>YEAR(AllData[[#This Row],[Date]])</f>
        <v>2024</v>
      </c>
      <c r="E1042" s="1">
        <v>0.42708333333333331</v>
      </c>
      <c r="F1042" s="2" t="str">
        <f>IF(AND(AllData[[#This Row],[Time]]&lt;0.5, AllData[[#This Row],[Time]]&gt;0.17)=TRUE, "Morning", IF(AND(AllData[[#This Row],[Time]]&lt;0.75, AllData[[#This Row],[Time]]&gt;=0.5)=TRUE, "Afternoon", IF(AND(AllData[[#This Row],[Time]]&lt;1, AllData[[#This Row],[Time]]&gt;=0.75)=TRUE, "Evening", "Night")))</f>
        <v>Morning</v>
      </c>
      <c r="G1042" t="str">
        <f>_xlfn.XLOOKUP(AllData[[#This Row],[Location Name]], Locations[Location Name],Locations[Group As])</f>
        <v>Carrant Bredon Rd</v>
      </c>
      <c r="H1042" t="e" vm="1">
        <f>_xlfn.XLOOKUP(AllData[[#This Row],[Site Name]],LocationsKey[Site Name],LocationsKey[District])</f>
        <v>#VALUE!</v>
      </c>
      <c r="I1042" t="e" vm="1">
        <f>_xlfn.XLOOKUP(AllData[[#This Row],[Site Name]],LocationsKey[Site Name],LocationsKey[Town])</f>
        <v>#VALUE!</v>
      </c>
      <c r="J1042" t="str">
        <f>_xlfn.XLOOKUP(AllData[[#This Row],[Site Name]],LocationsKey[Site Name], LocationsKey[Waterway])</f>
        <v>Carrant</v>
      </c>
      <c r="K1042" t="s">
        <v>600</v>
      </c>
      <c r="L1042">
        <v>51.996276999999999</v>
      </c>
      <c r="M1042">
        <v>-2.156101</v>
      </c>
      <c r="N1042" t="s">
        <v>23</v>
      </c>
      <c r="O1042">
        <v>613</v>
      </c>
      <c r="P1042">
        <v>16.3</v>
      </c>
      <c r="Q1042">
        <v>4</v>
      </c>
      <c r="R1042" s="126" t="str">
        <f>IF(AllData[[#This Row],[Nitrate (PPM)]]&gt;2, "Very high", IF(AllData[[#This Row],[Nitrate (PPM)]]&gt;1, "High", IF(AllData[[#This Row],[Nitrate (PPM)]]&gt;0.5, "Some evidence", IF(AllData[[#This Row],[Nitrate (PPM)]]&gt;=0, "No evidence"))))</f>
        <v>Very high</v>
      </c>
      <c r="S1042" s="4">
        <v>0.68</v>
      </c>
      <c r="T1042" s="126" t="str">
        <f>IF(AllData[[#This Row],[Phosphate (PPM)]]&gt;0.5, "Very high", IF(AllData[[#This Row],[Phosphate (PPM)]]&gt;0.1, "High", IF(AllData[[#This Row],[Phosphate (PPM)]]&gt;0.05, "Some evidence", IF(AllData[[#This Row],[Phosphate (PPM)]]&lt;=0.05, "No Evidence", ""))))</f>
        <v>Very high</v>
      </c>
      <c r="U1042">
        <v>0.1</v>
      </c>
    </row>
    <row r="1043" spans="1:22" x14ac:dyDescent="0.25">
      <c r="A1043" t="s">
        <v>1357</v>
      </c>
      <c r="B1043" s="2">
        <v>45485</v>
      </c>
      <c r="C1043" s="2" t="str" cm="1">
        <f t="array" ref="C10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3">
        <f>YEAR(AllData[[#This Row],[Date]])</f>
        <v>2024</v>
      </c>
      <c r="E1043" s="1">
        <v>0.43263888888888891</v>
      </c>
      <c r="F1043" s="2" t="str">
        <f>IF(AND(AllData[[#This Row],[Time]]&lt;0.5, AllData[[#This Row],[Time]]&gt;0.17)=TRUE, "Morning", IF(AND(AllData[[#This Row],[Time]]&lt;0.75, AllData[[#This Row],[Time]]&gt;=0.5)=TRUE, "Afternoon", IF(AND(AllData[[#This Row],[Time]]&lt;1, AllData[[#This Row],[Time]]&gt;=0.75)=TRUE, "Evening", "Night")))</f>
        <v>Morning</v>
      </c>
      <c r="G1043" t="str">
        <f>_xlfn.XLOOKUP(AllData[[#This Row],[Location Name]], Locations[Location Name],Locations[Group As])</f>
        <v>Mill Bridge Peopleton</v>
      </c>
      <c r="H1043" t="e" vm="17">
        <f>_xlfn.XLOOKUP(AllData[[#This Row],[Site Name]],LocationsKey[Site Name],LocationsKey[District])</f>
        <v>#VALUE!</v>
      </c>
      <c r="I1043" t="str">
        <f>_xlfn.XLOOKUP(AllData[[#This Row],[Site Name]],LocationsKey[Site Name],LocationsKey[Town])</f>
        <v>Peopleton</v>
      </c>
      <c r="J1043" t="str">
        <f>_xlfn.XLOOKUP(AllData[[#This Row],[Site Name]],LocationsKey[Site Name], LocationsKey[Waterway])</f>
        <v>Bow Brook</v>
      </c>
      <c r="K1043" t="s">
        <v>1302</v>
      </c>
      <c r="L1043">
        <v>52.15175</v>
      </c>
      <c r="M1043">
        <v>-2.0963599999999998</v>
      </c>
      <c r="N1043" t="s">
        <v>29</v>
      </c>
      <c r="O1043">
        <v>1040</v>
      </c>
      <c r="P1043">
        <v>16.5</v>
      </c>
      <c r="Q1043">
        <v>4</v>
      </c>
      <c r="R1043" s="126" t="str">
        <f>IF(AllData[[#This Row],[Nitrate (PPM)]]&gt;2, "Very high", IF(AllData[[#This Row],[Nitrate (PPM)]]&gt;1, "High", IF(AllData[[#This Row],[Nitrate (PPM)]]&gt;0.5, "Some evidence", IF(AllData[[#This Row],[Nitrate (PPM)]]&gt;=0, "No evidence"))))</f>
        <v>Very high</v>
      </c>
      <c r="S1043" s="4">
        <v>1.39</v>
      </c>
      <c r="T1043" s="126" t="str">
        <f>IF(AllData[[#This Row],[Phosphate (PPM)]]&gt;0.5, "Very high", IF(AllData[[#This Row],[Phosphate (PPM)]]&gt;0.1, "High", IF(AllData[[#This Row],[Phosphate (PPM)]]&gt;0.05, "Some evidence", IF(AllData[[#This Row],[Phosphate (PPM)]]&lt;=0.05, "No Evidence", ""))))</f>
        <v>Very high</v>
      </c>
      <c r="U1043">
        <v>0.3</v>
      </c>
      <c r="V1043" t="s">
        <v>1358</v>
      </c>
    </row>
    <row r="1044" spans="1:22" x14ac:dyDescent="0.25">
      <c r="A1044" t="s">
        <v>1359</v>
      </c>
      <c r="B1044" s="2">
        <v>45485</v>
      </c>
      <c r="C1044" s="2" t="str" cm="1">
        <f t="array" ref="C10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4">
        <f>YEAR(AllData[[#This Row],[Date]])</f>
        <v>2024</v>
      </c>
      <c r="E1044" s="1">
        <v>0.76041666666666663</v>
      </c>
      <c r="F1044" s="2" t="str">
        <f>IF(AND(AllData[[#This Row],[Time]]&lt;0.5, AllData[[#This Row],[Time]]&gt;0.17)=TRUE, "Morning", IF(AND(AllData[[#This Row],[Time]]&lt;0.75, AllData[[#This Row],[Time]]&gt;=0.5)=TRUE, "Afternoon", IF(AND(AllData[[#This Row],[Time]]&lt;1, AllData[[#This Row],[Time]]&gt;=0.75)=TRUE, "Evening", "Night")))</f>
        <v>Evening</v>
      </c>
      <c r="G1044" t="str">
        <f>_xlfn.XLOOKUP(AllData[[#This Row],[Location Name]], Locations[Location Name],Locations[Group As])</f>
        <v>Carrant Back Lane Beckford</v>
      </c>
      <c r="H1044" t="e" vm="1">
        <f>_xlfn.XLOOKUP(AllData[[#This Row],[Site Name]],LocationsKey[Site Name],LocationsKey[District])</f>
        <v>#VALUE!</v>
      </c>
      <c r="I1044" t="str">
        <f>_xlfn.XLOOKUP(AllData[[#This Row],[Site Name]],LocationsKey[Site Name],LocationsKey[Town])</f>
        <v>Beckford</v>
      </c>
      <c r="J1044" t="str">
        <f>_xlfn.XLOOKUP(AllData[[#This Row],[Site Name]],LocationsKey[Site Name], LocationsKey[Waterway])</f>
        <v>Carrant</v>
      </c>
      <c r="K1044" t="s">
        <v>1307</v>
      </c>
      <c r="L1044">
        <v>52.018495999999999</v>
      </c>
      <c r="M1044">
        <v>-2.0388289999999998</v>
      </c>
      <c r="N1044" t="s">
        <v>66</v>
      </c>
      <c r="O1044">
        <v>772</v>
      </c>
      <c r="P1044">
        <v>16.5</v>
      </c>
      <c r="Q1044">
        <v>6</v>
      </c>
      <c r="R1044" s="7" t="str">
        <f>IF(AllData[[#This Row],[Nitrate (PPM)]]&gt;2, "Very high", IF(AllData[[#This Row],[Nitrate (PPM)]]&gt;1, "High", IF(AllData[[#This Row],[Nitrate (PPM)]]&gt;0.5, "Some evidence", IF(AllData[[#This Row],[Nitrate (PPM)]]&gt;=0, "No evidence"))))</f>
        <v>Very high</v>
      </c>
      <c r="S1044" s="4">
        <v>0.49</v>
      </c>
      <c r="T1044" s="7" t="str">
        <f>IF(AllData[[#This Row],[Phosphate (PPM)]]&gt;0.5, "Very high", IF(AllData[[#This Row],[Phosphate (PPM)]]&gt;0.1, "High", IF(AllData[[#This Row],[Phosphate (PPM)]]&gt;0.05, "Some evidence", IF(AllData[[#This Row],[Phosphate (PPM)]]&lt;=0.05, "No Evidence", ""))))</f>
        <v>High</v>
      </c>
      <c r="U1044">
        <v>0.2</v>
      </c>
    </row>
    <row r="1045" spans="1:22" x14ac:dyDescent="0.25">
      <c r="A1045" t="s">
        <v>1363</v>
      </c>
      <c r="B1045" s="2">
        <v>45486</v>
      </c>
      <c r="C1045" s="2" t="str" cm="1">
        <f t="array" ref="C10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5">
        <f>YEAR(AllData[[#This Row],[Date]])</f>
        <v>2024</v>
      </c>
      <c r="E1045" s="1">
        <v>0.41666666666666669</v>
      </c>
      <c r="F1045" s="2" t="str">
        <f>IF(AND(AllData[[#This Row],[Time]]&lt;0.5, AllData[[#This Row],[Time]]&gt;0.17)=TRUE, "Morning", IF(AND(AllData[[#This Row],[Time]]&lt;0.75, AllData[[#This Row],[Time]]&gt;=0.5)=TRUE, "Afternoon", IF(AND(AllData[[#This Row],[Time]]&lt;1, AllData[[#This Row],[Time]]&gt;=0.75)=TRUE, "Evening", "Night")))</f>
        <v>Morning</v>
      </c>
      <c r="G1045" t="str">
        <f>_xlfn.XLOOKUP(AllData[[#This Row],[Location Name]], Locations[Location Name],Locations[Group As])</f>
        <v>Avon Smiths Meadow Wyre Piddle</v>
      </c>
      <c r="H1045" t="e" vm="17">
        <f>_xlfn.XLOOKUP(AllData[[#This Row],[Site Name]],LocationsKey[Site Name],LocationsKey[District])</f>
        <v>#VALUE!</v>
      </c>
      <c r="I1045" t="e" vm="20">
        <f>_xlfn.XLOOKUP(AllData[[#This Row],[Site Name]],LocationsKey[Site Name],LocationsKey[Town])</f>
        <v>#VALUE!</v>
      </c>
      <c r="J1045" t="str">
        <f>_xlfn.XLOOKUP(AllData[[#This Row],[Site Name]],LocationsKey[Site Name], LocationsKey[Waterway])</f>
        <v>Avon</v>
      </c>
      <c r="K1045" t="s">
        <v>741</v>
      </c>
      <c r="L1045">
        <v>52.122858999999998</v>
      </c>
      <c r="M1045">
        <v>-2.0575389999999998</v>
      </c>
      <c r="N1045" t="s">
        <v>23</v>
      </c>
      <c r="O1045">
        <v>835</v>
      </c>
      <c r="P1045">
        <v>13.8</v>
      </c>
      <c r="Q1045">
        <v>10</v>
      </c>
      <c r="R1045" s="7" t="str">
        <f>IF(AllData[[#This Row],[Nitrate (PPM)]]&gt;2, "Very high", IF(AllData[[#This Row],[Nitrate (PPM)]]&gt;1, "High", IF(AllData[[#This Row],[Nitrate (PPM)]]&gt;0.5, "Some evidence", IF(AllData[[#This Row],[Nitrate (PPM)]]&gt;=0, "No evidence"))))</f>
        <v>Very high</v>
      </c>
      <c r="S1045" s="4">
        <v>0.86</v>
      </c>
      <c r="T1045" s="7" t="str">
        <f>IF(AllData[[#This Row],[Phosphate (PPM)]]&gt;0.5, "Very high", IF(AllData[[#This Row],[Phosphate (PPM)]]&gt;0.1, "High", IF(AllData[[#This Row],[Phosphate (PPM)]]&gt;0.05, "Some evidence", IF(AllData[[#This Row],[Phosphate (PPM)]]&lt;=0.05, "No Evidence", ""))))</f>
        <v>Very high</v>
      </c>
      <c r="U1045">
        <v>0.59</v>
      </c>
      <c r="V1045" t="s">
        <v>1364</v>
      </c>
    </row>
    <row r="1046" spans="1:22" x14ac:dyDescent="0.25">
      <c r="A1046" t="s">
        <v>1361</v>
      </c>
      <c r="B1046" s="2">
        <v>45486</v>
      </c>
      <c r="C1046" s="2" t="str" cm="1">
        <f t="array" ref="C10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6">
        <f>YEAR(AllData[[#This Row],[Date]])</f>
        <v>2024</v>
      </c>
      <c r="E1046" s="1">
        <v>0.4375</v>
      </c>
      <c r="F1046" s="2" t="str">
        <f>IF(AND(AllData[[#This Row],[Time]]&lt;0.5, AllData[[#This Row],[Time]]&gt;0.17)=TRUE, "Morning", IF(AND(AllData[[#This Row],[Time]]&lt;0.75, AllData[[#This Row],[Time]]&gt;=0.5)=TRUE, "Afternoon", IF(AND(AllData[[#This Row],[Time]]&lt;1, AllData[[#This Row],[Time]]&gt;=0.75)=TRUE, "Evening", "Night")))</f>
        <v>Morning</v>
      </c>
      <c r="G1046" t="str">
        <f>_xlfn.XLOOKUP(AllData[[#This Row],[Location Name]], Locations[Location Name],Locations[Group As])</f>
        <v>Piddle Brook Wyre Piddle Bridge</v>
      </c>
      <c r="H1046" t="e" vm="17">
        <f>_xlfn.XLOOKUP(AllData[[#This Row],[Site Name]],LocationsKey[Site Name],LocationsKey[District])</f>
        <v>#VALUE!</v>
      </c>
      <c r="I1046" t="e" vm="20">
        <f>_xlfn.XLOOKUP(AllData[[#This Row],[Site Name]],LocationsKey[Site Name],LocationsKey[Town])</f>
        <v>#VALUE!</v>
      </c>
      <c r="J1046" t="str">
        <f>_xlfn.XLOOKUP(AllData[[#This Row],[Site Name]],LocationsKey[Site Name], LocationsKey[Waterway])</f>
        <v>Piddle Brook</v>
      </c>
      <c r="K1046" t="s">
        <v>744</v>
      </c>
      <c r="L1046">
        <v>52.126404000000001</v>
      </c>
      <c r="M1046">
        <v>-2.0565410000000002</v>
      </c>
      <c r="N1046" t="s">
        <v>23</v>
      </c>
      <c r="O1046">
        <v>1480</v>
      </c>
      <c r="P1046">
        <v>15.7</v>
      </c>
      <c r="Q1046">
        <v>10</v>
      </c>
      <c r="R1046" s="7" t="str">
        <f>IF(AllData[[#This Row],[Nitrate (PPM)]]&gt;2, "Very high", IF(AllData[[#This Row],[Nitrate (PPM)]]&gt;1, "High", IF(AllData[[#This Row],[Nitrate (PPM)]]&gt;0.5, "Some evidence", IF(AllData[[#This Row],[Nitrate (PPM)]]&gt;=0, "No evidence"))))</f>
        <v>Very high</v>
      </c>
      <c r="S1046" s="4">
        <v>1.18</v>
      </c>
      <c r="T1046" s="7" t="str">
        <f>IF(AllData[[#This Row],[Phosphate (PPM)]]&gt;0.5, "Very high", IF(AllData[[#This Row],[Phosphate (PPM)]]&gt;0.1, "High", IF(AllData[[#This Row],[Phosphate (PPM)]]&gt;0.05, "Some evidence", IF(AllData[[#This Row],[Phosphate (PPM)]]&lt;=0.05, "No Evidence", ""))))</f>
        <v>Very high</v>
      </c>
      <c r="U1046">
        <v>0.17</v>
      </c>
      <c r="V1046" t="s">
        <v>1362</v>
      </c>
    </row>
    <row r="1047" spans="1:22" x14ac:dyDescent="0.25">
      <c r="A1047" t="s">
        <v>1365</v>
      </c>
      <c r="B1047" s="2">
        <v>45486</v>
      </c>
      <c r="C1047" s="2" t="str" cm="1">
        <f t="array" ref="C10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7">
        <f>YEAR(AllData[[#This Row],[Date]])</f>
        <v>2024</v>
      </c>
      <c r="E1047" s="1">
        <v>0.50624999999999998</v>
      </c>
      <c r="F1047" s="2" t="str">
        <f>IF(AND(AllData[[#This Row],[Time]]&lt;0.5, AllData[[#This Row],[Time]]&gt;0.17)=TRUE, "Morning", IF(AND(AllData[[#This Row],[Time]]&lt;0.75, AllData[[#This Row],[Time]]&gt;=0.5)=TRUE, "Afternoon", IF(AND(AllData[[#This Row],[Time]]&lt;1, AllData[[#This Row],[Time]]&gt;=0.75)=TRUE, "Evening", "Night")))</f>
        <v>Afternoon</v>
      </c>
      <c r="G1047" t="str">
        <f>_xlfn.XLOOKUP(AllData[[#This Row],[Location Name]], Locations[Location Name],Locations[Group As])</f>
        <v>Lower Lode</v>
      </c>
      <c r="H1047" t="e" vm="1">
        <f>_xlfn.XLOOKUP(AllData[[#This Row],[Site Name]],LocationsKey[Site Name],LocationsKey[District])</f>
        <v>#VALUE!</v>
      </c>
      <c r="I1047" t="e" vm="1">
        <f>_xlfn.XLOOKUP(AllData[[#This Row],[Site Name]],LocationsKey[Site Name],LocationsKey[Town])</f>
        <v>#VALUE!</v>
      </c>
      <c r="J1047" t="str">
        <f>_xlfn.XLOOKUP(AllData[[#This Row],[Site Name]],LocationsKey[Site Name], LocationsKey[Waterway])</f>
        <v>Avon</v>
      </c>
      <c r="K1047" t="s">
        <v>592</v>
      </c>
      <c r="L1047">
        <v>51.98507</v>
      </c>
      <c r="M1047">
        <v>-2.1742189999999999</v>
      </c>
      <c r="N1047" t="s">
        <v>29</v>
      </c>
      <c r="O1047">
        <v>8740</v>
      </c>
      <c r="P1047">
        <v>18.7</v>
      </c>
      <c r="Q1047">
        <v>10</v>
      </c>
      <c r="R1047" s="7" t="str">
        <f>IF(AllData[[#This Row],[Nitrate (PPM)]]&gt;2, "Very high", IF(AllData[[#This Row],[Nitrate (PPM)]]&gt;1, "High", IF(AllData[[#This Row],[Nitrate (PPM)]]&gt;0.5, "Some evidence", IF(AllData[[#This Row],[Nitrate (PPM)]]&gt;=0, "No evidence"))))</f>
        <v>Very high</v>
      </c>
      <c r="S1047" s="4">
        <v>2.19</v>
      </c>
      <c r="T1047" s="7" t="str">
        <f>IF(AllData[[#This Row],[Phosphate (PPM)]]&gt;0.5, "Very high", IF(AllData[[#This Row],[Phosphate (PPM)]]&gt;0.1, "High", IF(AllData[[#This Row],[Phosphate (PPM)]]&gt;0.05, "Some evidence", IF(AllData[[#This Row],[Phosphate (PPM)]]&lt;=0.05, "No Evidence", ""))))</f>
        <v>Very high</v>
      </c>
      <c r="U1047">
        <v>0</v>
      </c>
      <c r="V1047" t="s">
        <v>1366</v>
      </c>
    </row>
    <row r="1048" spans="1:22" x14ac:dyDescent="0.25">
      <c r="A1048" t="s">
        <v>1360</v>
      </c>
      <c r="B1048" s="2">
        <v>45486</v>
      </c>
      <c r="C1048" s="2" t="str" cm="1">
        <f t="array" ref="C10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8">
        <f>YEAR(AllData[[#This Row],[Date]])</f>
        <v>2024</v>
      </c>
      <c r="E1048" s="1">
        <v>0.52152777777777781</v>
      </c>
      <c r="F1048" s="2" t="str">
        <f>IF(AND(AllData[[#This Row],[Time]]&lt;0.5, AllData[[#This Row],[Time]]&gt;0.17)=TRUE, "Morning", IF(AND(AllData[[#This Row],[Time]]&lt;0.75, AllData[[#This Row],[Time]]&gt;=0.5)=TRUE, "Afternoon", IF(AND(AllData[[#This Row],[Time]]&lt;1, AllData[[#This Row],[Time]]&gt;=0.75)=TRUE, "Evening", "Night")))</f>
        <v>Afternoon</v>
      </c>
      <c r="G1048" t="str">
        <f>_xlfn.XLOOKUP(AllData[[#This Row],[Location Name]], Locations[Location Name],Locations[Group As])</f>
        <v>The Ford, Langley</v>
      </c>
      <c r="H1048" t="e" vm="2">
        <f>_xlfn.XLOOKUP(AllData[[#This Row],[Site Name]],LocationsKey[Site Name],LocationsKey[District])</f>
        <v>#VALUE!</v>
      </c>
      <c r="I1048" t="str">
        <f>_xlfn.XLOOKUP(AllData[[#This Row],[Site Name]],LocationsKey[Site Name],LocationsKey[Town])</f>
        <v>Langley</v>
      </c>
      <c r="J1048" t="str">
        <f>_xlfn.XLOOKUP(AllData[[#This Row],[Site Name]],LocationsKey[Site Name], LocationsKey[Waterway])</f>
        <v>Langley Ford</v>
      </c>
      <c r="K1048" t="s">
        <v>557</v>
      </c>
      <c r="L1048">
        <v>52.259816000000001</v>
      </c>
      <c r="M1048">
        <v>-1.7185330000000001</v>
      </c>
      <c r="N1048" t="s">
        <v>29</v>
      </c>
      <c r="O1048" s="219">
        <v>847</v>
      </c>
      <c r="P1048">
        <v>14.8</v>
      </c>
      <c r="Q1048" s="219">
        <v>5</v>
      </c>
      <c r="R1048" s="7" t="str">
        <f>IF(AllData[[#This Row],[Nitrate (PPM)]]&gt;2, "Very high", IF(AllData[[#This Row],[Nitrate (PPM)]]&gt;1, "High", IF(AllData[[#This Row],[Nitrate (PPM)]]&gt;0.5, "Some evidence", IF(AllData[[#This Row],[Nitrate (PPM)]]&gt;=0, "No evidence"))))</f>
        <v>Very high</v>
      </c>
      <c r="S1048" s="221">
        <v>0.55000000000000004</v>
      </c>
      <c r="T1048" s="7" t="str">
        <f>IF(AllData[[#This Row],[Phosphate (PPM)]]&gt;0.5, "Very high", IF(AllData[[#This Row],[Phosphate (PPM)]]&gt;0.1, "High", IF(AllData[[#This Row],[Phosphate (PPM)]]&gt;0.05, "Some evidence", IF(AllData[[#This Row],[Phosphate (PPM)]]&lt;=0.05, "No Evidence", ""))))</f>
        <v>Very high</v>
      </c>
      <c r="U1048">
        <v>0.1</v>
      </c>
    </row>
    <row r="1049" spans="1:22" x14ac:dyDescent="0.25">
      <c r="A1049" t="s">
        <v>1696</v>
      </c>
      <c r="B1049" s="2">
        <v>45487</v>
      </c>
      <c r="C1049" s="2" t="str" cm="1">
        <f t="array" ref="C10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9">
        <f>YEAR(AllData[[#This Row],[Date]])</f>
        <v>2024</v>
      </c>
      <c r="E1049" s="1">
        <v>0.41666666666666669</v>
      </c>
      <c r="F1049" s="2" t="str">
        <f>IF(AND(AllData[[#This Row],[Time]]&lt;0.5, AllData[[#This Row],[Time]]&gt;0.17)=TRUE, "Morning", IF(AND(AllData[[#This Row],[Time]]&lt;0.75, AllData[[#This Row],[Time]]&gt;=0.5)=TRUE, "Afternoon", IF(AND(AllData[[#This Row],[Time]]&lt;1, AllData[[#This Row],[Time]]&gt;=0.75)=TRUE, "Evening", "Night")))</f>
        <v>Morning</v>
      </c>
      <c r="G1049" t="str">
        <f>_xlfn.XLOOKUP(AllData[[#This Row],[Location Name]], Locations[Location Name],Locations[Group As])</f>
        <v>Sherbourne Brook 1</v>
      </c>
      <c r="H1049" t="e" vm="2">
        <f>_xlfn.XLOOKUP(AllData[[#This Row],[Site Name]],LocationsKey[Site Name],LocationsKey[District])</f>
        <v>#VALUE!</v>
      </c>
      <c r="I1049" t="e" vm="16">
        <f>_xlfn.XLOOKUP(AllData[[#This Row],[Site Name]],LocationsKey[Site Name],LocationsKey[Town])</f>
        <v>#VALUE!</v>
      </c>
      <c r="J1049" t="str">
        <f>_xlfn.XLOOKUP(AllData[[#This Row],[Site Name]],LocationsKey[Site Name], LocationsKey[Waterway])</f>
        <v>Sherbourne Brook</v>
      </c>
      <c r="K1049" t="s">
        <v>570</v>
      </c>
      <c r="L1049">
        <v>52.252499999999998</v>
      </c>
      <c r="M1049">
        <v>-1.6685000000000001</v>
      </c>
      <c r="N1049" t="s">
        <v>23</v>
      </c>
      <c r="O1049">
        <v>1120</v>
      </c>
      <c r="P1049">
        <v>16.100000000000001</v>
      </c>
      <c r="Q1049">
        <v>10</v>
      </c>
      <c r="R1049" s="7" t="str">
        <f>IF(AllData[[#This Row],[Nitrate (PPM)]]&gt;2, "Very high", IF(AllData[[#This Row],[Nitrate (PPM)]]&gt;1, "High", IF(AllData[[#This Row],[Nitrate (PPM)]]&gt;0.5, "Some evidence", IF(AllData[[#This Row],[Nitrate (PPM)]]&gt;=0, "No evidence"))))</f>
        <v>Very high</v>
      </c>
      <c r="S1049" s="4">
        <v>0.42</v>
      </c>
      <c r="T1049" s="7" t="str">
        <f>IF(AllData[[#This Row],[Phosphate (PPM)]]&gt;0.5, "Very high", IF(AllData[[#This Row],[Phosphate (PPM)]]&gt;0.1, "High", IF(AllData[[#This Row],[Phosphate (PPM)]]&gt;0.05, "Some evidence", IF(AllData[[#This Row],[Phosphate (PPM)]]&lt;=0.05, "No Evidence", ""))))</f>
        <v>High</v>
      </c>
      <c r="U1049">
        <v>0.15</v>
      </c>
    </row>
    <row r="1050" spans="1:22" x14ac:dyDescent="0.25">
      <c r="A1050" t="s">
        <v>1695</v>
      </c>
      <c r="B1050" s="2">
        <v>45487</v>
      </c>
      <c r="C1050" s="2" t="str" cm="1">
        <f t="array" ref="C10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0">
        <f>YEAR(AllData[[#This Row],[Date]])</f>
        <v>2024</v>
      </c>
      <c r="E1050" s="1">
        <v>0.42708333333333331</v>
      </c>
      <c r="F1050" s="2" t="str">
        <f>IF(AND(AllData[[#This Row],[Time]]&lt;0.5, AllData[[#This Row],[Time]]&gt;0.17)=TRUE, "Morning", IF(AND(AllData[[#This Row],[Time]]&lt;0.75, AllData[[#This Row],[Time]]&gt;=0.5)=TRUE, "Afternoon", IF(AND(AllData[[#This Row],[Time]]&lt;1, AllData[[#This Row],[Time]]&gt;=0.75)=TRUE, "Evening", "Night")))</f>
        <v>Morning</v>
      </c>
      <c r="G1050" t="str">
        <f>_xlfn.XLOOKUP(AllData[[#This Row],[Location Name]], Locations[Location Name],Locations[Group As])</f>
        <v>Bell Brook 1</v>
      </c>
      <c r="H1050" t="e" vm="2">
        <f>_xlfn.XLOOKUP(AllData[[#This Row],[Site Name]],LocationsKey[Site Name],LocationsKey[District])</f>
        <v>#VALUE!</v>
      </c>
      <c r="I1050" t="e" vm="15">
        <f>_xlfn.XLOOKUP(AllData[[#This Row],[Site Name]],LocationsKey[Site Name],LocationsKey[Town])</f>
        <v>#VALUE!</v>
      </c>
      <c r="J1050" t="str">
        <f>_xlfn.XLOOKUP(AllData[[#This Row],[Site Name]],LocationsKey[Site Name], LocationsKey[Waterway])</f>
        <v>Bell Brook</v>
      </c>
      <c r="K1050" t="s">
        <v>534</v>
      </c>
      <c r="L1050">
        <v>52.244900000000001</v>
      </c>
      <c r="M1050">
        <v>-1.6617</v>
      </c>
      <c r="N1050" t="s">
        <v>23</v>
      </c>
      <c r="O1050">
        <v>878</v>
      </c>
      <c r="P1050">
        <v>17.8</v>
      </c>
      <c r="Q1050">
        <v>7</v>
      </c>
      <c r="R1050" s="7" t="str">
        <f>IF(AllData[[#This Row],[Nitrate (PPM)]]&gt;2, "Very high", IF(AllData[[#This Row],[Nitrate (PPM)]]&gt;1, "High", IF(AllData[[#This Row],[Nitrate (PPM)]]&gt;0.5, "Some evidence", IF(AllData[[#This Row],[Nitrate (PPM)]]&gt;=0, "No evidence"))))</f>
        <v>Very high</v>
      </c>
      <c r="S1050" s="4">
        <v>0.53</v>
      </c>
      <c r="T1050" s="7" t="str">
        <f>IF(AllData[[#This Row],[Phosphate (PPM)]]&gt;0.5, "Very high", IF(AllData[[#This Row],[Phosphate (PPM)]]&gt;0.1, "High", IF(AllData[[#This Row],[Phosphate (PPM)]]&gt;0.05, "Some evidence", IF(AllData[[#This Row],[Phosphate (PPM)]]&lt;=0.05, "No Evidence", ""))))</f>
        <v>Very high</v>
      </c>
      <c r="U1050">
        <v>0.15</v>
      </c>
    </row>
    <row r="1051" spans="1:22" x14ac:dyDescent="0.25">
      <c r="A1051" t="s">
        <v>1560</v>
      </c>
      <c r="B1051" s="2">
        <v>45487</v>
      </c>
      <c r="C1051" s="2" t="str" cm="1">
        <f t="array" ref="C10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1">
        <f>YEAR(AllData[[#This Row],[Date]])</f>
        <v>2024</v>
      </c>
      <c r="E1051" s="1">
        <v>0.69861111111111107</v>
      </c>
      <c r="F1051" s="2" t="str">
        <f>IF(AND(AllData[[#This Row],[Time]]&lt;0.5, AllData[[#This Row],[Time]]&gt;0.17)=TRUE, "Morning", IF(AND(AllData[[#This Row],[Time]]&lt;0.75, AllData[[#This Row],[Time]]&gt;=0.5)=TRUE, "Afternoon", IF(AND(AllData[[#This Row],[Time]]&lt;1, AllData[[#This Row],[Time]]&gt;=0.75)=TRUE, "Evening", "Night")))</f>
        <v>Afternoon</v>
      </c>
      <c r="G1051" t="str">
        <f>_xlfn.XLOOKUP(AllData[[#This Row],[Location Name]], Locations[Location Name],Locations[Group As])</f>
        <v>Black Bear</v>
      </c>
      <c r="H1051" t="e" vm="1">
        <f>_xlfn.XLOOKUP(AllData[[#This Row],[Site Name]],LocationsKey[Site Name],LocationsKey[District])</f>
        <v>#VALUE!</v>
      </c>
      <c r="I1051" t="e" vm="1">
        <f>_xlfn.XLOOKUP(AllData[[#This Row],[Site Name]],LocationsKey[Site Name],LocationsKey[Town])</f>
        <v>#VALUE!</v>
      </c>
      <c r="J1051" t="str">
        <f>_xlfn.XLOOKUP(AllData[[#This Row],[Site Name]],LocationsKey[Site Name], LocationsKey[Waterway])</f>
        <v>Avon</v>
      </c>
      <c r="K1051" t="s">
        <v>1045</v>
      </c>
      <c r="L1051">
        <v>51.997439999999997</v>
      </c>
      <c r="M1051">
        <v>-2.156317</v>
      </c>
      <c r="N1051" t="s">
        <v>23</v>
      </c>
      <c r="O1051">
        <v>860</v>
      </c>
      <c r="P1051">
        <v>20.5</v>
      </c>
      <c r="Q1051">
        <v>10</v>
      </c>
      <c r="R1051" s="7" t="str">
        <f>IF(AllData[[#This Row],[Nitrate (PPM)]]&gt;2, "Very high", IF(AllData[[#This Row],[Nitrate (PPM)]]&gt;1, "High", IF(AllData[[#This Row],[Nitrate (PPM)]]&gt;0.5, "Some evidence", IF(AllData[[#This Row],[Nitrate (PPM)]]&gt;=0, "No evidence"))))</f>
        <v>Very high</v>
      </c>
      <c r="S1051" s="4">
        <v>0.46</v>
      </c>
      <c r="T1051" s="7" t="str">
        <f>IF(AllData[[#This Row],[Phosphate (PPM)]]&gt;0.5, "Very high", IF(AllData[[#This Row],[Phosphate (PPM)]]&gt;0.1, "High", IF(AllData[[#This Row],[Phosphate (PPM)]]&gt;0.05, "Some evidence", IF(AllData[[#This Row],[Phosphate (PPM)]]&lt;=0.05, "No Evidence", ""))))</f>
        <v>High</v>
      </c>
      <c r="U1051">
        <v>0</v>
      </c>
    </row>
    <row r="1052" spans="1:22" x14ac:dyDescent="0.25">
      <c r="A1052" t="s">
        <v>1512</v>
      </c>
      <c r="B1052" s="2">
        <v>45488</v>
      </c>
      <c r="C1052" s="2" t="str" cm="1">
        <f t="array" ref="C10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2">
        <f>YEAR(AllData[[#This Row],[Date]])</f>
        <v>2024</v>
      </c>
      <c r="E1052" s="1">
        <v>0.28472222222222221</v>
      </c>
      <c r="F1052" s="2" t="str">
        <f>IF(AND(AllData[[#This Row],[Time]]&lt;0.5, AllData[[#This Row],[Time]]&gt;0.17)=TRUE, "Morning", IF(AND(AllData[[#This Row],[Time]]&lt;0.75, AllData[[#This Row],[Time]]&gt;=0.5)=TRUE, "Afternoon", IF(AND(AllData[[#This Row],[Time]]&lt;1, AllData[[#This Row],[Time]]&gt;=0.75)=TRUE, "Evening", "Night")))</f>
        <v>Morning</v>
      </c>
      <c r="G1052" t="str">
        <f>_xlfn.XLOOKUP(AllData[[#This Row],[Location Name]], Locations[Location Name],Locations[Group As])</f>
        <v>Chipping Campden Lady J Gateway</v>
      </c>
      <c r="H1052" t="e" vm="23">
        <f>_xlfn.XLOOKUP(AllData[[#This Row],[Site Name]],LocationsKey[Site Name],LocationsKey[District])</f>
        <v>#VALUE!</v>
      </c>
      <c r="I1052" t="e" vm="24">
        <f>_xlfn.XLOOKUP(AllData[[#This Row],[Site Name]],LocationsKey[Site Name],LocationsKey[Town])</f>
        <v>#VALUE!</v>
      </c>
      <c r="J1052" t="str">
        <f>_xlfn.XLOOKUP(AllData[[#This Row],[Site Name]],LocationsKey[Site Name], LocationsKey[Waterway])</f>
        <v>Cam Brook</v>
      </c>
      <c r="K1052" t="s">
        <v>1476</v>
      </c>
      <c r="N1052" t="s">
        <v>66</v>
      </c>
      <c r="O1052">
        <v>524</v>
      </c>
      <c r="P1052">
        <v>15.3</v>
      </c>
      <c r="Q1052">
        <v>5</v>
      </c>
      <c r="R1052" s="7" t="str">
        <f>IF(AllData[[#This Row],[Nitrate (PPM)]]&gt;2, "Very high", IF(AllData[[#This Row],[Nitrate (PPM)]]&gt;1, "High", IF(AllData[[#This Row],[Nitrate (PPM)]]&gt;0.5, "Some evidence", IF(AllData[[#This Row],[Nitrate (PPM)]]&gt;=0, "No evidence"))))</f>
        <v>Very high</v>
      </c>
      <c r="S1052" s="4">
        <v>0.04</v>
      </c>
      <c r="T1052" s="7" t="str">
        <f>IF(AllData[[#This Row],[Phosphate (PPM)]]&gt;0.5, "Very high", IF(AllData[[#This Row],[Phosphate (PPM)]]&gt;0.1, "High", IF(AllData[[#This Row],[Phosphate (PPM)]]&gt;0.05, "Some evidence", IF(AllData[[#This Row],[Phosphate (PPM)]]&lt;=0.05, "No Evidence", ""))))</f>
        <v>No Evidence</v>
      </c>
      <c r="U1052">
        <v>0.09</v>
      </c>
    </row>
    <row r="1053" spans="1:22" x14ac:dyDescent="0.25">
      <c r="A1053" t="s">
        <v>1495</v>
      </c>
      <c r="B1053" s="2">
        <v>45488</v>
      </c>
      <c r="C1053" s="2" t="str" cm="1">
        <f t="array" ref="C10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3">
        <f>YEAR(AllData[[#This Row],[Date]])</f>
        <v>2024</v>
      </c>
      <c r="E1053" s="1">
        <v>0.54513888888888884</v>
      </c>
      <c r="F1053" s="2" t="str">
        <f>IF(AND(AllData[[#This Row],[Time]]&lt;0.5, AllData[[#This Row],[Time]]&gt;0.17)=TRUE, "Morning", IF(AND(AllData[[#This Row],[Time]]&lt;0.75, AllData[[#This Row],[Time]]&gt;=0.5)=TRUE, "Afternoon", IF(AND(AllData[[#This Row],[Time]]&lt;1, AllData[[#This Row],[Time]]&gt;=0.75)=TRUE, "Evening", "Night")))</f>
        <v>Afternoon</v>
      </c>
      <c r="G1053" t="str">
        <f>_xlfn.XLOOKUP(AllData[[#This Row],[Location Name]], Locations[Location Name],Locations[Group As])</f>
        <v>Chipping Campden Sewage Works</v>
      </c>
      <c r="H1053" t="e" vm="23">
        <f>_xlfn.XLOOKUP(AllData[[#This Row],[Site Name]],LocationsKey[Site Name],LocationsKey[District])</f>
        <v>#VALUE!</v>
      </c>
      <c r="I1053" t="e" vm="24">
        <f>_xlfn.XLOOKUP(AllData[[#This Row],[Site Name]],LocationsKey[Site Name],LocationsKey[Town])</f>
        <v>#VALUE!</v>
      </c>
      <c r="J1053" t="str">
        <f>_xlfn.XLOOKUP(AllData[[#This Row],[Site Name]],LocationsKey[Site Name], LocationsKey[Waterway])</f>
        <v>Cam Brook</v>
      </c>
      <c r="K1053" t="s">
        <v>1474</v>
      </c>
      <c r="N1053" t="s">
        <v>29</v>
      </c>
      <c r="O1053" s="219">
        <v>689</v>
      </c>
      <c r="P1053">
        <v>15.7</v>
      </c>
      <c r="Q1053" s="219">
        <v>5</v>
      </c>
      <c r="R1053" s="7" t="str">
        <f>IF(AllData[[#This Row],[Nitrate (PPM)]]&gt;2, "Very high", IF(AllData[[#This Row],[Nitrate (PPM)]]&gt;1, "High", IF(AllData[[#This Row],[Nitrate (PPM)]]&gt;0.5, "Some evidence", IF(AllData[[#This Row],[Nitrate (PPM)]]&gt;=0, "No evidence"))))</f>
        <v>Very high</v>
      </c>
      <c r="S1053" s="221">
        <v>0.33</v>
      </c>
      <c r="T1053" s="7" t="str">
        <f>IF(AllData[[#This Row],[Phosphate (PPM)]]&gt;0.5, "Very high", IF(AllData[[#This Row],[Phosphate (PPM)]]&gt;0.1, "High", IF(AllData[[#This Row],[Phosphate (PPM)]]&gt;0.05, "Some evidence", IF(AllData[[#This Row],[Phosphate (PPM)]]&lt;=0.05, "No Evidence", ""))))</f>
        <v>High</v>
      </c>
      <c r="U1053">
        <v>0.17</v>
      </c>
    </row>
    <row r="1054" spans="1:22" x14ac:dyDescent="0.25">
      <c r="A1054" t="s">
        <v>1559</v>
      </c>
      <c r="B1054" s="2">
        <v>45489</v>
      </c>
      <c r="C1054" s="2" t="str" cm="1">
        <f t="array" ref="C10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4">
        <f>YEAR(AllData[[#This Row],[Date]])</f>
        <v>2024</v>
      </c>
      <c r="E1054" s="1">
        <v>0.60486111111111107</v>
      </c>
      <c r="F1054" s="2" t="str">
        <f>IF(AND(AllData[[#This Row],[Time]]&lt;0.5, AllData[[#This Row],[Time]]&gt;0.17)=TRUE, "Morning", IF(AND(AllData[[#This Row],[Time]]&lt;0.75, AllData[[#This Row],[Time]]&gt;=0.5)=TRUE, "Afternoon", IF(AND(AllData[[#This Row],[Time]]&lt;1, AllData[[#This Row],[Time]]&gt;=0.75)=TRUE, "Evening", "Night")))</f>
        <v>Afternoon</v>
      </c>
      <c r="G1054" t="str">
        <f>_xlfn.XLOOKUP(AllData[[#This Row],[Location Name]], Locations[Location Name],Locations[Group As])</f>
        <v>Carrant M5 Bridge</v>
      </c>
      <c r="H1054" t="e" vm="1">
        <f>_xlfn.XLOOKUP(AllData[[#This Row],[Site Name]],LocationsKey[Site Name],LocationsKey[District])</f>
        <v>#VALUE!</v>
      </c>
      <c r="I1054" t="e" vm="1">
        <f>_xlfn.XLOOKUP(AllData[[#This Row],[Site Name]],LocationsKey[Site Name],LocationsKey[Town])</f>
        <v>#VALUE!</v>
      </c>
      <c r="J1054" t="str">
        <f>_xlfn.XLOOKUP(AllData[[#This Row],[Site Name]],LocationsKey[Site Name], LocationsKey[Waterway])</f>
        <v>Carrant</v>
      </c>
      <c r="K1054" t="s">
        <v>960</v>
      </c>
      <c r="L1054">
        <v>52.011735000000002</v>
      </c>
      <c r="M1054">
        <v>-2.1203240000000001</v>
      </c>
      <c r="N1054" t="s">
        <v>23</v>
      </c>
      <c r="O1054">
        <v>742</v>
      </c>
      <c r="P1054">
        <v>17.2</v>
      </c>
      <c r="Q1054">
        <v>7</v>
      </c>
      <c r="R1054" s="7" t="str">
        <f>IF(AllData[[#This Row],[Nitrate (PPM)]]&gt;2, "Very high", IF(AllData[[#This Row],[Nitrate (PPM)]]&gt;1, "High", IF(AllData[[#This Row],[Nitrate (PPM)]]&gt;0.5, "Some evidence", IF(AllData[[#This Row],[Nitrate (PPM)]]&gt;=0, "No evidence"))))</f>
        <v>Very high</v>
      </c>
      <c r="S1054" s="4">
        <v>0.88</v>
      </c>
      <c r="T1054" s="7" t="str">
        <f>IF(AllData[[#This Row],[Phosphate (PPM)]]&gt;0.5, "Very high", IF(AllData[[#This Row],[Phosphate (PPM)]]&gt;0.1, "High", IF(AllData[[#This Row],[Phosphate (PPM)]]&gt;0.05, "Some evidence", IF(AllData[[#This Row],[Phosphate (PPM)]]&lt;=0.05, "No Evidence", ""))))</f>
        <v>Very high</v>
      </c>
      <c r="U1054">
        <v>0</v>
      </c>
    </row>
    <row r="1055" spans="1:22" x14ac:dyDescent="0.25">
      <c r="A1055" t="s">
        <v>1558</v>
      </c>
      <c r="B1055" s="2">
        <v>45490</v>
      </c>
      <c r="C1055" s="2" t="str" cm="1">
        <f t="array" ref="C10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5">
        <f>YEAR(AllData[[#This Row],[Date]])</f>
        <v>2024</v>
      </c>
      <c r="E1055" s="1">
        <v>0.44791666666666669</v>
      </c>
      <c r="F1055" s="2" t="str">
        <f>IF(AND(AllData[[#This Row],[Time]]&lt;0.5, AllData[[#This Row],[Time]]&gt;0.17)=TRUE, "Morning", IF(AND(AllData[[#This Row],[Time]]&lt;0.75, AllData[[#This Row],[Time]]&gt;=0.5)=TRUE, "Afternoon", IF(AND(AllData[[#This Row],[Time]]&lt;1, AllData[[#This Row],[Time]]&gt;=0.75)=TRUE, "Evening", "Night")))</f>
        <v>Morning</v>
      </c>
      <c r="G1055" t="str">
        <f>_xlfn.XLOOKUP(AllData[[#This Row],[Location Name]], Locations[Location Name],Locations[Group As])</f>
        <v>Carrant Mitton Path</v>
      </c>
      <c r="H1055" t="e" vm="1">
        <f>_xlfn.XLOOKUP(AllData[[#This Row],[Site Name]],LocationsKey[Site Name],LocationsKey[District])</f>
        <v>#VALUE!</v>
      </c>
      <c r="I1055" t="e" vm="1">
        <f>_xlfn.XLOOKUP(AllData[[#This Row],[Site Name]],LocationsKey[Site Name],LocationsKey[Town])</f>
        <v>#VALUE!</v>
      </c>
      <c r="J1055" t="str">
        <f>_xlfn.XLOOKUP(AllData[[#This Row],[Site Name]],LocationsKey[Site Name], LocationsKey[Waterway])</f>
        <v>Carrant</v>
      </c>
      <c r="K1055" t="s">
        <v>958</v>
      </c>
      <c r="L1055">
        <v>51.999809999999997</v>
      </c>
      <c r="M1055">
        <v>-2.1410680000000002</v>
      </c>
      <c r="N1055" t="s">
        <v>23</v>
      </c>
      <c r="O1055">
        <v>662</v>
      </c>
      <c r="P1055">
        <v>17.8</v>
      </c>
      <c r="Q1055">
        <v>5</v>
      </c>
      <c r="R1055" s="7" t="str">
        <f>IF(AllData[[#This Row],[Nitrate (PPM)]]&gt;2, "Very high", IF(AllData[[#This Row],[Nitrate (PPM)]]&gt;1, "High", IF(AllData[[#This Row],[Nitrate (PPM)]]&gt;0.5, "Some evidence", IF(AllData[[#This Row],[Nitrate (PPM)]]&gt;=0, "No evidence"))))</f>
        <v>Very high</v>
      </c>
      <c r="S1055" s="4">
        <v>0.71</v>
      </c>
      <c r="T1055" s="7" t="str">
        <f>IF(AllData[[#This Row],[Phosphate (PPM)]]&gt;0.5, "Very high", IF(AllData[[#This Row],[Phosphate (PPM)]]&gt;0.1, "High", IF(AllData[[#This Row],[Phosphate (PPM)]]&gt;0.05, "Some evidence", IF(AllData[[#This Row],[Phosphate (PPM)]]&lt;=0.05, "No Evidence", ""))))</f>
        <v>Very high</v>
      </c>
      <c r="U1055">
        <v>0</v>
      </c>
    </row>
    <row r="1056" spans="1:22" x14ac:dyDescent="0.25">
      <c r="A1056" t="s">
        <v>1556</v>
      </c>
      <c r="B1056" s="2">
        <v>45490</v>
      </c>
      <c r="C1056" s="2" t="str" cm="1">
        <f t="array" ref="C10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6">
        <f>YEAR(AllData[[#This Row],[Date]])</f>
        <v>2024</v>
      </c>
      <c r="E1056" s="1">
        <v>0.61250000000000004</v>
      </c>
      <c r="F1056" s="2" t="str">
        <f>IF(AND(AllData[[#This Row],[Time]]&lt;0.5, AllData[[#This Row],[Time]]&gt;0.17)=TRUE, "Morning", IF(AND(AllData[[#This Row],[Time]]&lt;0.75, AllData[[#This Row],[Time]]&gt;=0.5)=TRUE, "Afternoon", IF(AND(AllData[[#This Row],[Time]]&lt;1, AllData[[#This Row],[Time]]&gt;=0.75)=TRUE, "Evening", "Night")))</f>
        <v>Afternoon</v>
      </c>
      <c r="G1056" t="str">
        <f>_xlfn.XLOOKUP(AllData[[#This Row],[Location Name]], Locations[Location Name],Locations[Group As])</f>
        <v>Alveston Weir</v>
      </c>
      <c r="H1056" t="e" vm="2">
        <f>_xlfn.XLOOKUP(AllData[[#This Row],[Site Name]],LocationsKey[Site Name],LocationsKey[District])</f>
        <v>#VALUE!</v>
      </c>
      <c r="I1056" t="e" vm="13">
        <f>_xlfn.XLOOKUP(AllData[[#This Row],[Site Name]],LocationsKey[Site Name],LocationsKey[Town])</f>
        <v>#VALUE!</v>
      </c>
      <c r="J1056" t="str">
        <f>_xlfn.XLOOKUP(AllData[[#This Row],[Site Name]],LocationsKey[Site Name], LocationsKey[Waterway])</f>
        <v>Avon</v>
      </c>
      <c r="K1056" t="s">
        <v>286</v>
      </c>
      <c r="L1056">
        <v>52.212288999999998</v>
      </c>
      <c r="M1056">
        <v>-1.660452</v>
      </c>
      <c r="N1056" t="s">
        <v>29</v>
      </c>
      <c r="O1056">
        <v>689</v>
      </c>
      <c r="P1056">
        <v>19</v>
      </c>
      <c r="Q1056">
        <v>10</v>
      </c>
      <c r="R1056" s="7" t="str">
        <f>IF(AllData[[#This Row],[Nitrate (PPM)]]&gt;2, "Very high", IF(AllData[[#This Row],[Nitrate (PPM)]]&gt;1, "High", IF(AllData[[#This Row],[Nitrate (PPM)]]&gt;0.5, "Some evidence", IF(AllData[[#This Row],[Nitrate (PPM)]]&gt;=0, "No evidence"))))</f>
        <v>Very high</v>
      </c>
      <c r="S1056" s="4">
        <v>0.46</v>
      </c>
      <c r="T1056" s="7" t="str">
        <f>IF(AllData[[#This Row],[Phosphate (PPM)]]&gt;0.5, "Very high", IF(AllData[[#This Row],[Phosphate (PPM)]]&gt;0.1, "High", IF(AllData[[#This Row],[Phosphate (PPM)]]&gt;0.05, "Some evidence", IF(AllData[[#This Row],[Phosphate (PPM)]]&lt;=0.05, "No Evidence", ""))))</f>
        <v>High</v>
      </c>
      <c r="U1056">
        <v>0</v>
      </c>
    </row>
    <row r="1057" spans="1:22" x14ac:dyDescent="0.25">
      <c r="A1057" t="s">
        <v>1555</v>
      </c>
      <c r="B1057" s="2">
        <v>45490</v>
      </c>
      <c r="C1057" s="2" t="str" cm="1">
        <f t="array" ref="C10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7">
        <f>YEAR(AllData[[#This Row],[Date]])</f>
        <v>2024</v>
      </c>
      <c r="E1057" s="1">
        <v>0.78055555555555556</v>
      </c>
      <c r="F1057" s="2" t="str">
        <f>IF(AND(AllData[[#This Row],[Time]]&lt;0.5, AllData[[#This Row],[Time]]&gt;0.17)=TRUE, "Morning", IF(AND(AllData[[#This Row],[Time]]&lt;0.75, AllData[[#This Row],[Time]]&gt;=0.5)=TRUE, "Afternoon", IF(AND(AllData[[#This Row],[Time]]&lt;1, AllData[[#This Row],[Time]]&gt;=0.75)=TRUE, "Evening", "Night")))</f>
        <v>Evening</v>
      </c>
      <c r="G1057" t="str">
        <f>_xlfn.XLOOKUP(AllData[[#This Row],[Location Name]], Locations[Location Name],Locations[Group As])</f>
        <v>Bredon Marina</v>
      </c>
      <c r="H1057" t="e" vm="1">
        <f>_xlfn.XLOOKUP(AllData[[#This Row],[Site Name]],LocationsKey[Site Name],LocationsKey[District])</f>
        <v>#VALUE!</v>
      </c>
      <c r="I1057" t="e" vm="25">
        <f>_xlfn.XLOOKUP(AllData[[#This Row],[Site Name]],LocationsKey[Site Name],LocationsKey[Town])</f>
        <v>#VALUE!</v>
      </c>
      <c r="J1057" t="str">
        <f>_xlfn.XLOOKUP(AllData[[#This Row],[Site Name]],LocationsKey[Site Name], LocationsKey[Waterway])</f>
        <v>Avon</v>
      </c>
      <c r="K1057" t="s">
        <v>1500</v>
      </c>
      <c r="L1057">
        <v>52.033441000000003</v>
      </c>
      <c r="M1057">
        <v>-2.1166589999999998</v>
      </c>
      <c r="N1057" t="s">
        <v>29</v>
      </c>
      <c r="O1057">
        <v>829</v>
      </c>
      <c r="P1057">
        <v>20</v>
      </c>
      <c r="Q1057">
        <v>1</v>
      </c>
      <c r="R1057" s="7" t="str">
        <f>IF(AllData[[#This Row],[Nitrate (PPM)]]&gt;2, "Very high", IF(AllData[[#This Row],[Nitrate (PPM)]]&gt;1, "High", IF(AllData[[#This Row],[Nitrate (PPM)]]&gt;0.5, "Some evidence", IF(AllData[[#This Row],[Nitrate (PPM)]]&gt;=0, "No evidence"))))</f>
        <v>Some evidence</v>
      </c>
      <c r="S1057" s="4">
        <v>0.83</v>
      </c>
      <c r="T1057" s="7" t="str">
        <f>IF(AllData[[#This Row],[Phosphate (PPM)]]&gt;0.5, "Very high", IF(AllData[[#This Row],[Phosphate (PPM)]]&gt;0.1, "High", IF(AllData[[#This Row],[Phosphate (PPM)]]&gt;0.05, "Some evidence", IF(AllData[[#This Row],[Phosphate (PPM)]]&lt;=0.05, "No Evidence", ""))))</f>
        <v>Very high</v>
      </c>
      <c r="U1057">
        <v>0</v>
      </c>
    </row>
    <row r="1058" spans="1:22" x14ac:dyDescent="0.25">
      <c r="A1058" t="s">
        <v>1501</v>
      </c>
      <c r="B1058" s="2">
        <v>45491</v>
      </c>
      <c r="C1058" s="2" t="str" cm="1">
        <f t="array" ref="C10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8">
        <f>YEAR(AllData[[#This Row],[Date]])</f>
        <v>2024</v>
      </c>
      <c r="E1058" s="1">
        <v>0.4375</v>
      </c>
      <c r="F1058" s="2" t="str">
        <f>IF(AND(AllData[[#This Row],[Time]]&lt;0.5, AllData[[#This Row],[Time]]&gt;0.17)=TRUE, "Morning", IF(AND(AllData[[#This Row],[Time]]&lt;0.75, AllData[[#This Row],[Time]]&gt;=0.5)=TRUE, "Afternoon", IF(AND(AllData[[#This Row],[Time]]&lt;1, AllData[[#This Row],[Time]]&gt;=0.75)=TRUE, "Evening", "Night")))</f>
        <v>Morning</v>
      </c>
      <c r="G1058" t="str">
        <f>_xlfn.XLOOKUP(AllData[[#This Row],[Location Name]], Locations[Location Name],Locations[Group As])</f>
        <v>Stour Willington</v>
      </c>
      <c r="H1058" t="e" vm="2">
        <f>_xlfn.XLOOKUP(AllData[[#This Row],[Site Name]],LocationsKey[Site Name],LocationsKey[District])</f>
        <v>#VALUE!</v>
      </c>
      <c r="I1058" t="str">
        <f>_xlfn.XLOOKUP(AllData[[#This Row],[Site Name]],LocationsKey[Site Name],LocationsKey[Town])</f>
        <v>Willington</v>
      </c>
      <c r="J1058" t="str">
        <f>_xlfn.XLOOKUP(AllData[[#This Row],[Site Name]],LocationsKey[Site Name], LocationsKey[Waterway])</f>
        <v>Stour</v>
      </c>
      <c r="K1058" t="s">
        <v>517</v>
      </c>
      <c r="L1058">
        <v>52.053542999999998</v>
      </c>
      <c r="M1058">
        <v>-1.6201559999999999</v>
      </c>
      <c r="N1058" t="s">
        <v>23</v>
      </c>
      <c r="O1058">
        <v>625</v>
      </c>
      <c r="P1058">
        <v>16</v>
      </c>
      <c r="Q1058">
        <v>2</v>
      </c>
      <c r="R1058" s="7" t="str">
        <f>IF(AllData[[#This Row],[Nitrate (PPM)]]&gt;2, "Very high", IF(AllData[[#This Row],[Nitrate (PPM)]]&gt;1, "High", IF(AllData[[#This Row],[Nitrate (PPM)]]&gt;0.5, "Some evidence", IF(AllData[[#This Row],[Nitrate (PPM)]]&gt;=0, "No evidence"))))</f>
        <v>High</v>
      </c>
      <c r="S1058" s="4">
        <v>0.41</v>
      </c>
      <c r="T1058" s="7" t="str">
        <f>IF(AllData[[#This Row],[Phosphate (PPM)]]&gt;0.5, "Very high", IF(AllData[[#This Row],[Phosphate (PPM)]]&gt;0.1, "High", IF(AllData[[#This Row],[Phosphate (PPM)]]&gt;0.05, "Some evidence", IF(AllData[[#This Row],[Phosphate (PPM)]]&lt;=0.05, "No Evidence", ""))))</f>
        <v>High</v>
      </c>
      <c r="U1058">
        <v>0.5</v>
      </c>
    </row>
    <row r="1059" spans="1:22" x14ac:dyDescent="0.25">
      <c r="A1059" t="s">
        <v>1551</v>
      </c>
      <c r="B1059" s="2">
        <v>45491</v>
      </c>
      <c r="C1059" s="2" t="str" cm="1">
        <f t="array" ref="C10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9">
        <f>YEAR(AllData[[#This Row],[Date]])</f>
        <v>2024</v>
      </c>
      <c r="E1059" s="1">
        <v>0.75</v>
      </c>
      <c r="F1059" s="2" t="str">
        <f>IF(AND(AllData[[#This Row],[Time]]&lt;0.5, AllData[[#This Row],[Time]]&gt;0.17)=TRUE, "Morning", IF(AND(AllData[[#This Row],[Time]]&lt;0.75, AllData[[#This Row],[Time]]&gt;=0.5)=TRUE, "Afternoon", IF(AND(AllData[[#This Row],[Time]]&lt;1, AllData[[#This Row],[Time]]&gt;=0.75)=TRUE, "Evening", "Night")))</f>
        <v>Evening</v>
      </c>
      <c r="G1059" t="str">
        <f>_xlfn.XLOOKUP(AllData[[#This Row],[Location Name]], Locations[Location Name],Locations[Group As])</f>
        <v>Stour Newbold Mill</v>
      </c>
      <c r="H1059" t="e" vm="2">
        <f>_xlfn.XLOOKUP(AllData[[#This Row],[Site Name]],LocationsKey[Site Name],LocationsKey[District])</f>
        <v>#VALUE!</v>
      </c>
      <c r="I1059" t="e" vm="8">
        <f>_xlfn.XLOOKUP(AllData[[#This Row],[Site Name]],LocationsKey[Site Name],LocationsKey[Town])</f>
        <v>#VALUE!</v>
      </c>
      <c r="J1059" t="str">
        <f>_xlfn.XLOOKUP(AllData[[#This Row],[Site Name]],LocationsKey[Site Name], LocationsKey[Waterway])</f>
        <v>Stour</v>
      </c>
      <c r="K1059" t="s">
        <v>140</v>
      </c>
      <c r="N1059" t="s">
        <v>29</v>
      </c>
      <c r="O1059">
        <v>640</v>
      </c>
      <c r="P1059">
        <v>18.600000000000001</v>
      </c>
      <c r="Q1059">
        <v>2</v>
      </c>
      <c r="R1059" s="7" t="str">
        <f>IF(AllData[[#This Row],[Nitrate (PPM)]]&gt;2, "Very high", IF(AllData[[#This Row],[Nitrate (PPM)]]&gt;1, "High", IF(AllData[[#This Row],[Nitrate (PPM)]]&gt;0.5, "Some evidence", IF(AllData[[#This Row],[Nitrate (PPM)]]&gt;=0, "No evidence"))))</f>
        <v>High</v>
      </c>
      <c r="S1059" s="4">
        <v>0.54</v>
      </c>
      <c r="T1059" s="7" t="str">
        <f>IF(AllData[[#This Row],[Phosphate (PPM)]]&gt;0.5, "Very high", IF(AllData[[#This Row],[Phosphate (PPM)]]&gt;0.1, "High", IF(AllData[[#This Row],[Phosphate (PPM)]]&gt;0.05, "Some evidence", IF(AllData[[#This Row],[Phosphate (PPM)]]&lt;=0.05, "No Evidence", ""))))</f>
        <v>Very high</v>
      </c>
      <c r="U1059">
        <v>2</v>
      </c>
      <c r="V1059" t="s">
        <v>1552</v>
      </c>
    </row>
    <row r="1060" spans="1:22" x14ac:dyDescent="0.25">
      <c r="A1060" t="s">
        <v>1550</v>
      </c>
      <c r="B1060" s="2">
        <v>45491</v>
      </c>
      <c r="C1060" s="2" t="str" cm="1">
        <f t="array" ref="C10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0">
        <f>YEAR(AllData[[#This Row],[Date]])</f>
        <v>2024</v>
      </c>
      <c r="E1060" s="1">
        <v>0.89722222222222225</v>
      </c>
      <c r="F1060" s="2" t="str">
        <f>IF(AND(AllData[[#This Row],[Time]]&lt;0.5, AllData[[#This Row],[Time]]&gt;0.17)=TRUE, "Morning", IF(AND(AllData[[#This Row],[Time]]&lt;0.75, AllData[[#This Row],[Time]]&gt;=0.5)=TRUE, "Afternoon", IF(AND(AllData[[#This Row],[Time]]&lt;1, AllData[[#This Row],[Time]]&gt;=0.75)=TRUE, "Evening", "Night")))</f>
        <v>Evening</v>
      </c>
      <c r="G1060" t="str">
        <f>_xlfn.XLOOKUP(AllData[[#This Row],[Location Name]], Locations[Location Name],Locations[Group As])</f>
        <v>Abbey Mill</v>
      </c>
      <c r="H1060" t="e" vm="1">
        <f>_xlfn.XLOOKUP(AllData[[#This Row],[Site Name]],LocationsKey[Site Name],LocationsKey[District])</f>
        <v>#VALUE!</v>
      </c>
      <c r="I1060" t="e" vm="1">
        <f>_xlfn.XLOOKUP(AllData[[#This Row],[Site Name]],LocationsKey[Site Name],LocationsKey[Town])</f>
        <v>#VALUE!</v>
      </c>
      <c r="J1060" t="str">
        <f>_xlfn.XLOOKUP(AllData[[#This Row],[Site Name]],LocationsKey[Site Name], LocationsKey[Waterway])</f>
        <v>Avon</v>
      </c>
      <c r="K1060" t="s">
        <v>25</v>
      </c>
      <c r="L1060">
        <v>51.991413000000001</v>
      </c>
      <c r="M1060">
        <v>-2.1627900000000002</v>
      </c>
      <c r="N1060" t="s">
        <v>23</v>
      </c>
      <c r="O1060">
        <v>834</v>
      </c>
      <c r="P1060">
        <v>20.6</v>
      </c>
      <c r="Q1060">
        <v>7</v>
      </c>
      <c r="R1060" s="7" t="str">
        <f>IF(AllData[[#This Row],[Nitrate (PPM)]]&gt;2, "Very high", IF(AllData[[#This Row],[Nitrate (PPM)]]&gt;1, "High", IF(AllData[[#This Row],[Nitrate (PPM)]]&gt;0.5, "Some evidence", IF(AllData[[#This Row],[Nitrate (PPM)]]&gt;=0, "No evidence"))))</f>
        <v>Very high</v>
      </c>
      <c r="S1060" s="4">
        <v>0.86</v>
      </c>
      <c r="T1060" s="7" t="str">
        <f>IF(AllData[[#This Row],[Phosphate (PPM)]]&gt;0.5, "Very high", IF(AllData[[#This Row],[Phosphate (PPM)]]&gt;0.1, "High", IF(AllData[[#This Row],[Phosphate (PPM)]]&gt;0.05, "Some evidence", IF(AllData[[#This Row],[Phosphate (PPM)]]&lt;=0.05, "No Evidence", ""))))</f>
        <v>Very high</v>
      </c>
      <c r="U1060">
        <v>0.5</v>
      </c>
    </row>
    <row r="1061" spans="1:22" x14ac:dyDescent="0.25">
      <c r="A1061" t="s">
        <v>1549</v>
      </c>
      <c r="B1061" s="2">
        <v>45492</v>
      </c>
      <c r="C1061" s="2" t="str" cm="1">
        <f t="array" ref="C10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1">
        <f>YEAR(AllData[[#This Row],[Date]])</f>
        <v>2024</v>
      </c>
      <c r="E1061" s="1">
        <v>0.3527777777777778</v>
      </c>
      <c r="F1061" s="2" t="str">
        <f>IF(AND(AllData[[#This Row],[Time]]&lt;0.5, AllData[[#This Row],[Time]]&gt;0.17)=TRUE, "Morning", IF(AND(AllData[[#This Row],[Time]]&lt;0.75, AllData[[#This Row],[Time]]&gt;=0.5)=TRUE, "Afternoon", IF(AND(AllData[[#This Row],[Time]]&lt;1, AllData[[#This Row],[Time]]&gt;=0.75)=TRUE, "Evening", "Night")))</f>
        <v>Morning</v>
      </c>
      <c r="G1061" t="str">
        <f>_xlfn.XLOOKUP(AllData[[#This Row],[Location Name]], Locations[Location Name],Locations[Group As])</f>
        <v>Lower Lode</v>
      </c>
      <c r="H1061" t="e" vm="1">
        <f>_xlfn.XLOOKUP(AllData[[#This Row],[Site Name]],LocationsKey[Site Name],LocationsKey[District])</f>
        <v>#VALUE!</v>
      </c>
      <c r="I1061" t="e" vm="1">
        <f>_xlfn.XLOOKUP(AllData[[#This Row],[Site Name]],LocationsKey[Site Name],LocationsKey[Town])</f>
        <v>#VALUE!</v>
      </c>
      <c r="J1061" t="str">
        <f>_xlfn.XLOOKUP(AllData[[#This Row],[Site Name]],LocationsKey[Site Name], LocationsKey[Waterway])</f>
        <v>Avon</v>
      </c>
      <c r="K1061" t="s">
        <v>592</v>
      </c>
      <c r="L1061">
        <v>51.98507</v>
      </c>
      <c r="M1061">
        <v>-2.1741890000000001</v>
      </c>
      <c r="N1061" t="s">
        <v>29</v>
      </c>
      <c r="O1061">
        <v>8880</v>
      </c>
      <c r="P1061">
        <v>21.5</v>
      </c>
      <c r="Q1061">
        <v>10</v>
      </c>
      <c r="R1061" s="7" t="str">
        <f>IF(AllData[[#This Row],[Nitrate (PPM)]]&gt;2, "Very high", IF(AllData[[#This Row],[Nitrate (PPM)]]&gt;1, "High", IF(AllData[[#This Row],[Nitrate (PPM)]]&gt;0.5, "Some evidence", IF(AllData[[#This Row],[Nitrate (PPM)]]&gt;=0, "No evidence"))))</f>
        <v>Very high</v>
      </c>
      <c r="S1061" s="4">
        <v>0.82</v>
      </c>
      <c r="T1061" s="7" t="str">
        <f>IF(AllData[[#This Row],[Phosphate (PPM)]]&gt;0.5, "Very high", IF(AllData[[#This Row],[Phosphate (PPM)]]&gt;0.1, "High", IF(AllData[[#This Row],[Phosphate (PPM)]]&gt;0.05, "Some evidence", IF(AllData[[#This Row],[Phosphate (PPM)]]&lt;=0.05, "No Evidence", ""))))</f>
        <v>Very high</v>
      </c>
      <c r="U1061">
        <v>0</v>
      </c>
    </row>
    <row r="1062" spans="1:22" x14ac:dyDescent="0.25">
      <c r="A1062" t="s">
        <v>1546</v>
      </c>
      <c r="B1062" s="2">
        <v>45492</v>
      </c>
      <c r="C1062" s="2" t="str" cm="1">
        <f t="array" ref="C10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2">
        <f>YEAR(AllData[[#This Row],[Date]])</f>
        <v>2024</v>
      </c>
      <c r="E1062" s="1">
        <v>0.70833333333333337</v>
      </c>
      <c r="F1062" s="2" t="str">
        <f>IF(AND(AllData[[#This Row],[Time]]&lt;0.5, AllData[[#This Row],[Time]]&gt;0.17)=TRUE, "Morning", IF(AND(AllData[[#This Row],[Time]]&lt;0.75, AllData[[#This Row],[Time]]&gt;=0.5)=TRUE, "Afternoon", IF(AND(AllData[[#This Row],[Time]]&lt;1, AllData[[#This Row],[Time]]&gt;=0.75)=TRUE, "Evening", "Night")))</f>
        <v>Afternoon</v>
      </c>
      <c r="G1062" t="str">
        <f>_xlfn.XLOOKUP(AllData[[#This Row],[Location Name]], Locations[Location Name],Locations[Group As])</f>
        <v>Carrant Back Lane Beckford</v>
      </c>
      <c r="H1062" t="e" vm="1">
        <f>_xlfn.XLOOKUP(AllData[[#This Row],[Site Name]],LocationsKey[Site Name],LocationsKey[District])</f>
        <v>#VALUE!</v>
      </c>
      <c r="I1062" t="str">
        <f>_xlfn.XLOOKUP(AllData[[#This Row],[Site Name]],LocationsKey[Site Name],LocationsKey[Town])</f>
        <v>Beckford</v>
      </c>
      <c r="J1062" t="str">
        <f>_xlfn.XLOOKUP(AllData[[#This Row],[Site Name]],LocationsKey[Site Name], LocationsKey[Waterway])</f>
        <v>Carrant</v>
      </c>
      <c r="K1062" t="s">
        <v>1547</v>
      </c>
      <c r="L1062">
        <v>52.018464999999999</v>
      </c>
      <c r="M1062">
        <v>-2.0388470000000001</v>
      </c>
      <c r="N1062" t="s">
        <v>66</v>
      </c>
      <c r="O1062">
        <v>726</v>
      </c>
      <c r="P1062">
        <v>19.600000000000001</v>
      </c>
      <c r="Q1062">
        <v>6</v>
      </c>
      <c r="R1062" s="7" t="str">
        <f>IF(AllData[[#This Row],[Nitrate (PPM)]]&gt;2, "Very high", IF(AllData[[#This Row],[Nitrate (PPM)]]&gt;1, "High", IF(AllData[[#This Row],[Nitrate (PPM)]]&gt;0.5, "Some evidence", IF(AllData[[#This Row],[Nitrate (PPM)]]&gt;=0, "No evidence"))))</f>
        <v>Very high</v>
      </c>
      <c r="S1062" s="4">
        <v>0.8</v>
      </c>
      <c r="T1062" s="7" t="str">
        <f>IF(AllData[[#This Row],[Phosphate (PPM)]]&gt;0.5, "Very high", IF(AllData[[#This Row],[Phosphate (PPM)]]&gt;0.1, "High", IF(AllData[[#This Row],[Phosphate (PPM)]]&gt;0.05, "Some evidence", IF(AllData[[#This Row],[Phosphate (PPM)]]&lt;=0.05, "No Evidence", ""))))</f>
        <v>Very high</v>
      </c>
      <c r="U1062">
        <v>0</v>
      </c>
      <c r="V1062" t="s">
        <v>1548</v>
      </c>
    </row>
    <row r="1063" spans="1:22" x14ac:dyDescent="0.25">
      <c r="A1063" t="s">
        <v>1520</v>
      </c>
      <c r="B1063" s="2">
        <v>45492</v>
      </c>
      <c r="C1063" s="2" t="str" cm="1">
        <f t="array" ref="C10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3">
        <f>YEAR(AllData[[#This Row],[Date]])</f>
        <v>2024</v>
      </c>
      <c r="E1063" s="1">
        <v>0.83333333333333337</v>
      </c>
      <c r="F1063" s="2" t="str">
        <f>IF(AND(AllData[[#This Row],[Time]]&lt;0.5, AllData[[#This Row],[Time]]&gt;0.17)=TRUE, "Morning", IF(AND(AllData[[#This Row],[Time]]&lt;0.75, AllData[[#This Row],[Time]]&gt;=0.5)=TRUE, "Afternoon", IF(AND(AllData[[#This Row],[Time]]&lt;1, AllData[[#This Row],[Time]]&gt;=0.75)=TRUE, "Evening", "Night")))</f>
        <v>Evening</v>
      </c>
      <c r="G1063" t="str">
        <f>_xlfn.XLOOKUP(AllData[[#This Row],[Location Name]], Locations[Location Name],Locations[Group As])</f>
        <v>Swilgate</v>
      </c>
      <c r="H1063" t="e" vm="1">
        <f>_xlfn.XLOOKUP(AllData[[#This Row],[Site Name]],LocationsKey[Site Name],LocationsKey[District])</f>
        <v>#VALUE!</v>
      </c>
      <c r="I1063" t="e" vm="1">
        <f>_xlfn.XLOOKUP(AllData[[#This Row],[Site Name]],LocationsKey[Site Name],LocationsKey[Town])</f>
        <v>#VALUE!</v>
      </c>
      <c r="J1063" t="str">
        <f>_xlfn.XLOOKUP(AllData[[#This Row],[Site Name]],LocationsKey[Site Name], LocationsKey[Waterway])</f>
        <v>Swilgate</v>
      </c>
      <c r="K1063" t="s">
        <v>84</v>
      </c>
      <c r="N1063" t="s">
        <v>23</v>
      </c>
      <c r="O1063">
        <v>998</v>
      </c>
      <c r="P1063">
        <v>22.8</v>
      </c>
      <c r="Q1063">
        <v>5</v>
      </c>
      <c r="R1063" s="7" t="str">
        <f>IF(AllData[[#This Row],[Nitrate (PPM)]]&gt;2, "Very high", IF(AllData[[#This Row],[Nitrate (PPM)]]&gt;1, "High", IF(AllData[[#This Row],[Nitrate (PPM)]]&gt;0.5, "Some evidence", IF(AllData[[#This Row],[Nitrate (PPM)]]&gt;=0, "No evidence"))))</f>
        <v>Very high</v>
      </c>
      <c r="S1063" s="4">
        <v>0.59</v>
      </c>
      <c r="T1063" s="7" t="str">
        <f>IF(AllData[[#This Row],[Phosphate (PPM)]]&gt;0.5, "Very high", IF(AllData[[#This Row],[Phosphate (PPM)]]&gt;0.1, "High", IF(AllData[[#This Row],[Phosphate (PPM)]]&gt;0.05, "Some evidence", IF(AllData[[#This Row],[Phosphate (PPM)]]&lt;=0.05, "No Evidence", ""))))</f>
        <v>Very high</v>
      </c>
      <c r="U1063">
        <v>0</v>
      </c>
    </row>
    <row r="1064" spans="1:22" x14ac:dyDescent="0.25">
      <c r="A1064" t="s">
        <v>1544</v>
      </c>
      <c r="B1064" s="2">
        <v>45493</v>
      </c>
      <c r="C1064" s="2" t="str" cm="1">
        <f t="array" ref="C10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4">
        <f>YEAR(AllData[[#This Row],[Date]])</f>
        <v>2024</v>
      </c>
      <c r="E1064" s="1">
        <v>0.34722222222222221</v>
      </c>
      <c r="F1064" s="2" t="str">
        <f>IF(AND(AllData[[#This Row],[Time]]&lt;0.5, AllData[[#This Row],[Time]]&gt;0.17)=TRUE, "Morning", IF(AND(AllData[[#This Row],[Time]]&lt;0.75, AllData[[#This Row],[Time]]&gt;=0.5)=TRUE, "Afternoon", IF(AND(AllData[[#This Row],[Time]]&lt;1, AllData[[#This Row],[Time]]&gt;=0.75)=TRUE, "Evening", "Night")))</f>
        <v>Morning</v>
      </c>
      <c r="G1064" t="str">
        <f>_xlfn.XLOOKUP(AllData[[#This Row],[Location Name]], Locations[Location Name],Locations[Group As])</f>
        <v>Avon Smiths Meadow Wyre Piddle</v>
      </c>
      <c r="H1064" t="e" vm="17">
        <f>_xlfn.XLOOKUP(AllData[[#This Row],[Site Name]],LocationsKey[Site Name],LocationsKey[District])</f>
        <v>#VALUE!</v>
      </c>
      <c r="I1064" t="e" vm="20">
        <f>_xlfn.XLOOKUP(AllData[[#This Row],[Site Name]],LocationsKey[Site Name],LocationsKey[Town])</f>
        <v>#VALUE!</v>
      </c>
      <c r="J1064" t="str">
        <f>_xlfn.XLOOKUP(AllData[[#This Row],[Site Name]],LocationsKey[Site Name], LocationsKey[Waterway])</f>
        <v>Avon</v>
      </c>
      <c r="K1064" t="s">
        <v>741</v>
      </c>
      <c r="L1064">
        <v>52.122942999999999</v>
      </c>
      <c r="M1064">
        <v>-2.0574330000000001</v>
      </c>
      <c r="N1064" t="s">
        <v>23</v>
      </c>
      <c r="O1064">
        <v>851</v>
      </c>
      <c r="P1064">
        <v>20.100000000000001</v>
      </c>
      <c r="Q1064">
        <v>5</v>
      </c>
      <c r="R1064" s="7" t="str">
        <f>IF(AllData[[#This Row],[Nitrate (PPM)]]&gt;2, "Very high", IF(AllData[[#This Row],[Nitrate (PPM)]]&gt;1, "High", IF(AllData[[#This Row],[Nitrate (PPM)]]&gt;0.5, "Some evidence", IF(AllData[[#This Row],[Nitrate (PPM)]]&gt;=0, "No evidence"))))</f>
        <v>Very high</v>
      </c>
      <c r="S1064" s="4">
        <v>0.87</v>
      </c>
      <c r="T1064" s="7" t="str">
        <f>IF(AllData[[#This Row],[Phosphate (PPM)]]&gt;0.5, "Very high", IF(AllData[[#This Row],[Phosphate (PPM)]]&gt;0.1, "High", IF(AllData[[#This Row],[Phosphate (PPM)]]&gt;0.05, "Some evidence", IF(AllData[[#This Row],[Phosphate (PPM)]]&lt;=0.05, "No Evidence", ""))))</f>
        <v>Very high</v>
      </c>
      <c r="U1064">
        <v>0.56999999999999995</v>
      </c>
      <c r="V1064" t="s">
        <v>1545</v>
      </c>
    </row>
    <row r="1065" spans="1:22" x14ac:dyDescent="0.25">
      <c r="A1065" t="s">
        <v>1542</v>
      </c>
      <c r="B1065" s="2">
        <v>45493</v>
      </c>
      <c r="C1065" s="2" t="str" cm="1">
        <f t="array" ref="C10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5">
        <f>YEAR(AllData[[#This Row],[Date]])</f>
        <v>2024</v>
      </c>
      <c r="E1065" s="1">
        <v>0.36458333333333331</v>
      </c>
      <c r="F1065" s="2" t="str">
        <f>IF(AND(AllData[[#This Row],[Time]]&lt;0.5, AllData[[#This Row],[Time]]&gt;0.17)=TRUE, "Morning", IF(AND(AllData[[#This Row],[Time]]&lt;0.75, AllData[[#This Row],[Time]]&gt;=0.5)=TRUE, "Afternoon", IF(AND(AllData[[#This Row],[Time]]&lt;1, AllData[[#This Row],[Time]]&gt;=0.75)=TRUE, "Evening", "Night")))</f>
        <v>Morning</v>
      </c>
      <c r="G1065" t="str">
        <f>_xlfn.XLOOKUP(AllData[[#This Row],[Location Name]], Locations[Location Name],Locations[Group As])</f>
        <v>Piddle Brook Wyre Piddle Bridge</v>
      </c>
      <c r="H1065" t="e" vm="17">
        <f>_xlfn.XLOOKUP(AllData[[#This Row],[Site Name]],LocationsKey[Site Name],LocationsKey[District])</f>
        <v>#VALUE!</v>
      </c>
      <c r="I1065" t="e" vm="20">
        <f>_xlfn.XLOOKUP(AllData[[#This Row],[Site Name]],LocationsKey[Site Name],LocationsKey[Town])</f>
        <v>#VALUE!</v>
      </c>
      <c r="J1065" t="str">
        <f>_xlfn.XLOOKUP(AllData[[#This Row],[Site Name]],LocationsKey[Site Name], LocationsKey[Waterway])</f>
        <v>Piddle Brook</v>
      </c>
      <c r="K1065" t="s">
        <v>744</v>
      </c>
      <c r="L1065">
        <v>52.126373000000001</v>
      </c>
      <c r="M1065">
        <v>-2.056543</v>
      </c>
      <c r="N1065" t="s">
        <v>23</v>
      </c>
      <c r="O1065">
        <v>1660</v>
      </c>
      <c r="P1065">
        <v>18.5</v>
      </c>
      <c r="Q1065">
        <v>10</v>
      </c>
      <c r="R1065" s="7" t="str">
        <f>IF(AllData[[#This Row],[Nitrate (PPM)]]&gt;2, "Very high", IF(AllData[[#This Row],[Nitrate (PPM)]]&gt;1, "High", IF(AllData[[#This Row],[Nitrate (PPM)]]&gt;0.5, "Some evidence", IF(AllData[[#This Row],[Nitrate (PPM)]]&gt;=0, "No evidence"))))</f>
        <v>Very high</v>
      </c>
      <c r="S1065" s="4">
        <v>1.2</v>
      </c>
      <c r="T1065" s="7" t="str">
        <f>IF(AllData[[#This Row],[Phosphate (PPM)]]&gt;0.5, "Very high", IF(AllData[[#This Row],[Phosphate (PPM)]]&gt;0.1, "High", IF(AllData[[#This Row],[Phosphate (PPM)]]&gt;0.05, "Some evidence", IF(AllData[[#This Row],[Phosphate (PPM)]]&lt;=0.05, "No Evidence", ""))))</f>
        <v>Very high</v>
      </c>
      <c r="U1065">
        <v>0.16</v>
      </c>
      <c r="V1065" t="s">
        <v>1543</v>
      </c>
    </row>
    <row r="1066" spans="1:22" x14ac:dyDescent="0.25">
      <c r="A1066" t="s">
        <v>1540</v>
      </c>
      <c r="B1066" s="2">
        <v>45493</v>
      </c>
      <c r="C1066" s="2" t="str" cm="1">
        <f t="array" ref="C10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6">
        <f>YEAR(AllData[[#This Row],[Date]])</f>
        <v>2024</v>
      </c>
      <c r="E1066" s="1">
        <v>0.38333333333333336</v>
      </c>
      <c r="F1066" s="2" t="str">
        <f>IF(AND(AllData[[#This Row],[Time]]&lt;0.5, AllData[[#This Row],[Time]]&gt;0.17)=TRUE, "Morning", IF(AND(AllData[[#This Row],[Time]]&lt;0.75, AllData[[#This Row],[Time]]&gt;=0.5)=TRUE, "Afternoon", IF(AND(AllData[[#This Row],[Time]]&lt;1, AllData[[#This Row],[Time]]&gt;=0.75)=TRUE, "Evening", "Night")))</f>
        <v>Morning</v>
      </c>
      <c r="G1066" t="str">
        <f>_xlfn.XLOOKUP(AllData[[#This Row],[Location Name]], Locations[Location Name],Locations[Group As])</f>
        <v>Piddle Brook Long Lane Pinvin</v>
      </c>
      <c r="H1066" t="e" vm="17">
        <f>_xlfn.XLOOKUP(AllData[[#This Row],[Site Name]],LocationsKey[Site Name],LocationsKey[District])</f>
        <v>#VALUE!</v>
      </c>
      <c r="I1066" t="str">
        <f>_xlfn.XLOOKUP(AllData[[#This Row],[Site Name]],LocationsKey[Site Name],LocationsKey[Town])</f>
        <v>Tilesford</v>
      </c>
      <c r="J1066" t="str">
        <f>_xlfn.XLOOKUP(AllData[[#This Row],[Site Name]],LocationsKey[Site Name], LocationsKey[Waterway])</f>
        <v>Piddle Brook</v>
      </c>
      <c r="K1066" t="s">
        <v>1541</v>
      </c>
      <c r="L1066">
        <v>52.148406999999999</v>
      </c>
      <c r="M1066">
        <v>-2.055247</v>
      </c>
      <c r="O1066">
        <v>1670</v>
      </c>
      <c r="P1066">
        <v>18.2</v>
      </c>
      <c r="Q1066">
        <v>8</v>
      </c>
      <c r="R1066" s="7" t="str">
        <f>IF(AllData[[#This Row],[Nitrate (PPM)]]&gt;2, "Very high", IF(AllData[[#This Row],[Nitrate (PPM)]]&gt;1, "High", IF(AllData[[#This Row],[Nitrate (PPM)]]&gt;0.5, "Some evidence", IF(AllData[[#This Row],[Nitrate (PPM)]]&gt;=0, "No evidence"))))</f>
        <v>Very high</v>
      </c>
      <c r="S1066" s="4">
        <v>1.32</v>
      </c>
      <c r="T1066" s="7" t="str">
        <f>IF(AllData[[#This Row],[Phosphate (PPM)]]&gt;0.5, "Very high", IF(AllData[[#This Row],[Phosphate (PPM)]]&gt;0.1, "High", IF(AllData[[#This Row],[Phosphate (PPM)]]&gt;0.05, "Some evidence", IF(AllData[[#This Row],[Phosphate (PPM)]]&lt;=0.05, "No Evidence", ""))))</f>
        <v>Very high</v>
      </c>
      <c r="U1066">
        <v>0.16</v>
      </c>
      <c r="V1066" t="s">
        <v>1941</v>
      </c>
    </row>
    <row r="1067" spans="1:22" x14ac:dyDescent="0.25">
      <c r="A1067" t="s">
        <v>1538</v>
      </c>
      <c r="B1067" s="2">
        <v>45493</v>
      </c>
      <c r="C1067" s="2" t="str" cm="1">
        <f t="array" ref="C10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7">
        <f>YEAR(AllData[[#This Row],[Date]])</f>
        <v>2024</v>
      </c>
      <c r="E1067" s="1">
        <v>0.40069444444444446</v>
      </c>
      <c r="F1067" s="2" t="str">
        <f>IF(AND(AllData[[#This Row],[Time]]&lt;0.5, AllData[[#This Row],[Time]]&gt;0.17)=TRUE, "Morning", IF(AND(AllData[[#This Row],[Time]]&lt;0.75, AllData[[#This Row],[Time]]&gt;=0.5)=TRUE, "Afternoon", IF(AND(AllData[[#This Row],[Time]]&lt;1, AllData[[#This Row],[Time]]&gt;=0.75)=TRUE, "Evening", "Night")))</f>
        <v>Morning</v>
      </c>
      <c r="G1067" t="str">
        <f>_xlfn.XLOOKUP(AllData[[#This Row],[Location Name]], Locations[Location Name],Locations[Group As])</f>
        <v>Piddle Brook Norton Beachamp Bridge</v>
      </c>
      <c r="H1067" t="e" vm="17">
        <f>_xlfn.XLOOKUP(AllData[[#This Row],[Site Name]],LocationsKey[Site Name],LocationsKey[District])</f>
        <v>#VALUE!</v>
      </c>
      <c r="I1067" t="str">
        <f>_xlfn.XLOOKUP(AllData[[#This Row],[Site Name]],LocationsKey[Site Name],LocationsKey[Town])</f>
        <v>Norton Beauchamp</v>
      </c>
      <c r="J1067" t="str">
        <f>_xlfn.XLOOKUP(AllData[[#This Row],[Site Name]],LocationsKey[Site Name], LocationsKey[Waterway])</f>
        <v>Piddle Brook</v>
      </c>
      <c r="K1067" t="s">
        <v>1539</v>
      </c>
      <c r="L1067">
        <v>52.169983999999999</v>
      </c>
      <c r="M1067">
        <v>-2.058351</v>
      </c>
      <c r="O1067">
        <v>1350</v>
      </c>
      <c r="P1067">
        <v>18.7</v>
      </c>
      <c r="Q1067">
        <v>5</v>
      </c>
      <c r="R1067" s="7" t="str">
        <f>IF(AllData[[#This Row],[Nitrate (PPM)]]&gt;2, "Very high", IF(AllData[[#This Row],[Nitrate (PPM)]]&gt;1, "High", IF(AllData[[#This Row],[Nitrate (PPM)]]&gt;0.5, "Some evidence", IF(AllData[[#This Row],[Nitrate (PPM)]]&gt;=0, "No evidence"))))</f>
        <v>Very high</v>
      </c>
      <c r="S1067" s="4">
        <v>1.45</v>
      </c>
      <c r="T1067" s="7" t="str">
        <f>IF(AllData[[#This Row],[Phosphate (PPM)]]&gt;0.5, "Very high", IF(AllData[[#This Row],[Phosphate (PPM)]]&gt;0.1, "High", IF(AllData[[#This Row],[Phosphate (PPM)]]&gt;0.05, "Some evidence", IF(AllData[[#This Row],[Phosphate (PPM)]]&lt;=0.05, "No Evidence", ""))))</f>
        <v>Very high</v>
      </c>
      <c r="U1067">
        <v>0.16</v>
      </c>
      <c r="V1067" t="s">
        <v>1943</v>
      </c>
    </row>
    <row r="1068" spans="1:22" x14ac:dyDescent="0.25">
      <c r="A1068" t="s">
        <v>1536</v>
      </c>
      <c r="B1068" s="2">
        <v>45493</v>
      </c>
      <c r="C1068" s="2" t="str" cm="1">
        <f t="array" ref="C10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8">
        <f>YEAR(AllData[[#This Row],[Date]])</f>
        <v>2024</v>
      </c>
      <c r="E1068" s="1">
        <v>0.43611111111111112</v>
      </c>
      <c r="F1068" s="2" t="str">
        <f>IF(AND(AllData[[#This Row],[Time]]&lt;0.5, AllData[[#This Row],[Time]]&gt;0.17)=TRUE, "Morning", IF(AND(AllData[[#This Row],[Time]]&lt;0.75, AllData[[#This Row],[Time]]&gt;=0.5)=TRUE, "Afternoon", IF(AND(AllData[[#This Row],[Time]]&lt;1, AllData[[#This Row],[Time]]&gt;=0.75)=TRUE, "Evening", "Night")))</f>
        <v>Morning</v>
      </c>
      <c r="G1068" t="str">
        <f>_xlfn.XLOOKUP(AllData[[#This Row],[Location Name]], Locations[Location Name],Locations[Group As])</f>
        <v>Piddle Brook North of Radford</v>
      </c>
      <c r="H1068" t="e" vm="17">
        <f>_xlfn.XLOOKUP(AllData[[#This Row],[Site Name]],LocationsKey[Site Name],LocationsKey[District])</f>
        <v>#VALUE!</v>
      </c>
      <c r="I1068" t="str">
        <f>_xlfn.XLOOKUP(AllData[[#This Row],[Site Name]],LocationsKey[Site Name],LocationsKey[Town])</f>
        <v>Radford</v>
      </c>
      <c r="J1068" t="str">
        <f>_xlfn.XLOOKUP(AllData[[#This Row],[Site Name]],LocationsKey[Site Name], LocationsKey[Waterway])</f>
        <v>Piddle Brook</v>
      </c>
      <c r="K1068" t="s">
        <v>1537</v>
      </c>
      <c r="L1068">
        <v>52.196624999999997</v>
      </c>
      <c r="M1068">
        <v>-1.9924109999999999</v>
      </c>
      <c r="O1068">
        <v>1400</v>
      </c>
      <c r="P1068">
        <v>17.2</v>
      </c>
      <c r="Q1068">
        <v>10</v>
      </c>
      <c r="R1068" s="7" t="str">
        <f>IF(AllData[[#This Row],[Nitrate (PPM)]]&gt;2, "Very high", IF(AllData[[#This Row],[Nitrate (PPM)]]&gt;1, "High", IF(AllData[[#This Row],[Nitrate (PPM)]]&gt;0.5, "Some evidence", IF(AllData[[#This Row],[Nitrate (PPM)]]&gt;=0, "No evidence"))))</f>
        <v>Very high</v>
      </c>
      <c r="S1068" s="4">
        <v>1.04</v>
      </c>
      <c r="T1068" s="7" t="str">
        <f>IF(AllData[[#This Row],[Phosphate (PPM)]]&gt;0.5, "Very high", IF(AllData[[#This Row],[Phosphate (PPM)]]&gt;0.1, "High", IF(AllData[[#This Row],[Phosphate (PPM)]]&gt;0.05, "Some evidence", IF(AllData[[#This Row],[Phosphate (PPM)]]&lt;=0.05, "No Evidence", ""))))</f>
        <v>Very high</v>
      </c>
      <c r="U1068">
        <v>0.16</v>
      </c>
      <c r="V1068" t="s">
        <v>1942</v>
      </c>
    </row>
    <row r="1069" spans="1:22" x14ac:dyDescent="0.25">
      <c r="A1069" t="s">
        <v>1533</v>
      </c>
      <c r="B1069" s="2">
        <v>45493</v>
      </c>
      <c r="C1069" s="2" t="str" cm="1">
        <f t="array" ref="C10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9">
        <f>YEAR(AllData[[#This Row],[Date]])</f>
        <v>2024</v>
      </c>
      <c r="E1069" s="1">
        <v>0.45694444444444443</v>
      </c>
      <c r="F1069" s="2" t="str">
        <f>IF(AND(AllData[[#This Row],[Time]]&lt;0.5, AllData[[#This Row],[Time]]&gt;0.17)=TRUE, "Morning", IF(AND(AllData[[#This Row],[Time]]&lt;0.75, AllData[[#This Row],[Time]]&gt;=0.5)=TRUE, "Afternoon", IF(AND(AllData[[#This Row],[Time]]&lt;1, AllData[[#This Row],[Time]]&gt;=0.75)=TRUE, "Evening", "Night")))</f>
        <v>Morning</v>
      </c>
      <c r="G1069" t="str">
        <f>_xlfn.XLOOKUP(AllData[[#This Row],[Location Name]], Locations[Location Name],Locations[Group As])</f>
        <v>Whitsun Brook Rous Church Lench</v>
      </c>
      <c r="H1069" t="e" vm="17">
        <f>_xlfn.XLOOKUP(AllData[[#This Row],[Site Name]],LocationsKey[Site Name],LocationsKey[District])</f>
        <v>#VALUE!</v>
      </c>
      <c r="I1069" t="e" vm="26">
        <f>_xlfn.XLOOKUP(AllData[[#This Row],[Site Name]],LocationsKey[Site Name],LocationsKey[Town])</f>
        <v>#VALUE!</v>
      </c>
      <c r="J1069" t="str">
        <f>_xlfn.XLOOKUP(AllData[[#This Row],[Site Name]],LocationsKey[Site Name], LocationsKey[Waterway])</f>
        <v>Whitsun Brook</v>
      </c>
      <c r="K1069" t="s">
        <v>1534</v>
      </c>
      <c r="L1069">
        <v>52.168419999999998</v>
      </c>
      <c r="M1069">
        <v>-1.96041</v>
      </c>
      <c r="N1069" t="s">
        <v>66</v>
      </c>
      <c r="O1069">
        <v>762</v>
      </c>
      <c r="P1069">
        <v>17.899999999999999</v>
      </c>
      <c r="Q1069">
        <v>2</v>
      </c>
      <c r="R1069" s="7" t="str">
        <f>IF(AllData[[#This Row],[Nitrate (PPM)]]&gt;2, "Very high", IF(AllData[[#This Row],[Nitrate (PPM)]]&gt;1, "High", IF(AllData[[#This Row],[Nitrate (PPM)]]&gt;0.5, "Some evidence", IF(AllData[[#This Row],[Nitrate (PPM)]]&gt;=0, "No evidence"))))</f>
        <v>High</v>
      </c>
      <c r="S1069" s="4">
        <v>2.5</v>
      </c>
      <c r="T1069" s="7" t="str">
        <f>IF(AllData[[#This Row],[Phosphate (PPM)]]&gt;0.5, "Very high", IF(AllData[[#This Row],[Phosphate (PPM)]]&gt;0.1, "High", IF(AllData[[#This Row],[Phosphate (PPM)]]&gt;0.05, "Some evidence", IF(AllData[[#This Row],[Phosphate (PPM)]]&lt;=0.05, "No Evidence", ""))))</f>
        <v>Very high</v>
      </c>
      <c r="U1069">
        <v>0.16</v>
      </c>
      <c r="V1069" t="s">
        <v>1535</v>
      </c>
    </row>
    <row r="1070" spans="1:22" x14ac:dyDescent="0.25">
      <c r="A1070" t="s">
        <v>1530</v>
      </c>
      <c r="B1070" s="2">
        <v>45493</v>
      </c>
      <c r="C1070" s="2" t="str" cm="1">
        <f t="array" ref="C10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0">
        <f>YEAR(AllData[[#This Row],[Date]])</f>
        <v>2024</v>
      </c>
      <c r="E1070" s="1">
        <v>0.47361111111111109</v>
      </c>
      <c r="F1070" s="2" t="str">
        <f>IF(AND(AllData[[#This Row],[Time]]&lt;0.5, AllData[[#This Row],[Time]]&gt;0.17)=TRUE, "Morning", IF(AND(AllData[[#This Row],[Time]]&lt;0.75, AllData[[#This Row],[Time]]&gt;=0.5)=TRUE, "Afternoon", IF(AND(AllData[[#This Row],[Time]]&lt;1, AllData[[#This Row],[Time]]&gt;=0.75)=TRUE, "Evening", "Night")))</f>
        <v>Morning</v>
      </c>
      <c r="G1070" t="str">
        <f>_xlfn.XLOOKUP(AllData[[#This Row],[Location Name]], Locations[Location Name],Locations[Group As])</f>
        <v>Whitsun Brook Atch Lench Road, Church Lench.</v>
      </c>
      <c r="H1070" t="e" vm="17">
        <f>_xlfn.XLOOKUP(AllData[[#This Row],[Site Name]],LocationsKey[Site Name],LocationsKey[District])</f>
        <v>#VALUE!</v>
      </c>
      <c r="I1070" t="e" vm="26">
        <f>_xlfn.XLOOKUP(AllData[[#This Row],[Site Name]],LocationsKey[Site Name],LocationsKey[Town])</f>
        <v>#VALUE!</v>
      </c>
      <c r="J1070" t="str">
        <f>_xlfn.XLOOKUP(AllData[[#This Row],[Site Name]],LocationsKey[Site Name], LocationsKey[Waterway])</f>
        <v>Whitsun Brook</v>
      </c>
      <c r="K1070" t="s">
        <v>1531</v>
      </c>
      <c r="L1070">
        <v>52.158797999999997</v>
      </c>
      <c r="M1070">
        <v>-1.9573179999999999</v>
      </c>
      <c r="N1070" t="s">
        <v>66</v>
      </c>
      <c r="O1070">
        <v>632</v>
      </c>
      <c r="P1070">
        <v>18.2</v>
      </c>
      <c r="Q1070">
        <v>1</v>
      </c>
      <c r="R1070" s="7" t="str">
        <f>IF(AllData[[#This Row],[Nitrate (PPM)]]&gt;2, "Very high", IF(AllData[[#This Row],[Nitrate (PPM)]]&gt;1, "High", IF(AllData[[#This Row],[Nitrate (PPM)]]&gt;0.5, "Some evidence", IF(AllData[[#This Row],[Nitrate (PPM)]]&gt;=0, "No evidence"))))</f>
        <v>Some evidence</v>
      </c>
      <c r="S1070" s="4">
        <v>0.69</v>
      </c>
      <c r="T1070" s="7" t="str">
        <f>IF(AllData[[#This Row],[Phosphate (PPM)]]&gt;0.5, "Very high", IF(AllData[[#This Row],[Phosphate (PPM)]]&gt;0.1, "High", IF(AllData[[#This Row],[Phosphate (PPM)]]&gt;0.05, "Some evidence", IF(AllData[[#This Row],[Phosphate (PPM)]]&lt;=0.05, "No Evidence", ""))))</f>
        <v>Very high</v>
      </c>
      <c r="U1070">
        <v>0.16</v>
      </c>
      <c r="V1070" t="s">
        <v>1532</v>
      </c>
    </row>
    <row r="1071" spans="1:22" x14ac:dyDescent="0.25">
      <c r="A1071" t="s">
        <v>1527</v>
      </c>
      <c r="B1071" s="2">
        <v>45493</v>
      </c>
      <c r="C1071" s="2" t="str" cm="1">
        <f t="array" ref="C10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1">
        <f>YEAR(AllData[[#This Row],[Date]])</f>
        <v>2024</v>
      </c>
      <c r="E1071" s="1">
        <v>0.50208333333333333</v>
      </c>
      <c r="F1071" s="2" t="str">
        <f>IF(AND(AllData[[#This Row],[Time]]&lt;0.5, AllData[[#This Row],[Time]]&gt;0.17)=TRUE, "Morning", IF(AND(AllData[[#This Row],[Time]]&lt;0.75, AllData[[#This Row],[Time]]&gt;=0.5)=TRUE, "Afternoon", IF(AND(AllData[[#This Row],[Time]]&lt;1, AllData[[#This Row],[Time]]&gt;=0.75)=TRUE, "Evening", "Night")))</f>
        <v>Afternoon</v>
      </c>
      <c r="G1071" t="str">
        <f>_xlfn.XLOOKUP(AllData[[#This Row],[Location Name]], Locations[Location Name],Locations[Group As])</f>
        <v>Whitsun Brook Rous Lench Bishampton</v>
      </c>
      <c r="H1071" t="e" vm="17">
        <f>_xlfn.XLOOKUP(AllData[[#This Row],[Site Name]],LocationsKey[Site Name],LocationsKey[District])</f>
        <v>#VALUE!</v>
      </c>
      <c r="I1071" t="e" vm="27">
        <f>_xlfn.XLOOKUP(AllData[[#This Row],[Site Name]],LocationsKey[Site Name],LocationsKey[Town])</f>
        <v>#VALUE!</v>
      </c>
      <c r="J1071" t="str">
        <f>_xlfn.XLOOKUP(AllData[[#This Row],[Site Name]],LocationsKey[Site Name], LocationsKey[Waterway])</f>
        <v>Whitsun Brook</v>
      </c>
      <c r="K1071" t="s">
        <v>1528</v>
      </c>
      <c r="L1071">
        <v>52.169851000000001</v>
      </c>
      <c r="M1071">
        <v>-1.9903459999999999</v>
      </c>
      <c r="N1071" t="s">
        <v>29</v>
      </c>
      <c r="O1071">
        <v>994</v>
      </c>
      <c r="P1071">
        <v>18.100000000000001</v>
      </c>
      <c r="Q1071">
        <v>9</v>
      </c>
      <c r="R1071" s="7" t="str">
        <f>IF(AllData[[#This Row],[Nitrate (PPM)]]&gt;2, "Very high", IF(AllData[[#This Row],[Nitrate (PPM)]]&gt;1, "High", IF(AllData[[#This Row],[Nitrate (PPM)]]&gt;0.5, "Some evidence", IF(AllData[[#This Row],[Nitrate (PPM)]]&gt;=0, "No evidence"))))</f>
        <v>Very high</v>
      </c>
      <c r="S1071" s="4">
        <v>1.95</v>
      </c>
      <c r="T1071" s="7" t="str">
        <f>IF(AllData[[#This Row],[Phosphate (PPM)]]&gt;0.5, "Very high", IF(AllData[[#This Row],[Phosphate (PPM)]]&gt;0.1, "High", IF(AllData[[#This Row],[Phosphate (PPM)]]&gt;0.05, "Some evidence", IF(AllData[[#This Row],[Phosphate (PPM)]]&lt;=0.05, "No Evidence", ""))))</f>
        <v>Very high</v>
      </c>
      <c r="U1071">
        <v>0.16</v>
      </c>
      <c r="V1071" t="s">
        <v>1529</v>
      </c>
    </row>
    <row r="1072" spans="1:22" x14ac:dyDescent="0.25">
      <c r="A1072" t="s">
        <v>1524</v>
      </c>
      <c r="B1072" s="2">
        <v>45493</v>
      </c>
      <c r="C1072" s="2" t="str" cm="1">
        <f t="array" ref="C10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2">
        <f>YEAR(AllData[[#This Row],[Date]])</f>
        <v>2024</v>
      </c>
      <c r="E1072" s="1">
        <v>0.52083333333333337</v>
      </c>
      <c r="F1072" s="2" t="str">
        <f>IF(AND(AllData[[#This Row],[Time]]&lt;0.5, AllData[[#This Row],[Time]]&gt;0.17)=TRUE, "Morning", IF(AND(AllData[[#This Row],[Time]]&lt;0.75, AllData[[#This Row],[Time]]&gt;=0.5)=TRUE, "Afternoon", IF(AND(AllData[[#This Row],[Time]]&lt;1, AllData[[#This Row],[Time]]&gt;=0.75)=TRUE, "Evening", "Night")))</f>
        <v>Afternoon</v>
      </c>
      <c r="G1072" t="str">
        <f>_xlfn.XLOOKUP(AllData[[#This Row],[Location Name]], Locations[Location Name],Locations[Group As])</f>
        <v>Whitsun Brook north of Bishampton</v>
      </c>
      <c r="H1072" t="e" vm="17">
        <f>_xlfn.XLOOKUP(AllData[[#This Row],[Site Name]],LocationsKey[Site Name],LocationsKey[District])</f>
        <v>#VALUE!</v>
      </c>
      <c r="I1072" t="e" vm="28">
        <f>_xlfn.XLOOKUP(AllData[[#This Row],[Site Name]],LocationsKey[Site Name],LocationsKey[Town])</f>
        <v>#VALUE!</v>
      </c>
      <c r="J1072" t="str">
        <f>_xlfn.XLOOKUP(AllData[[#This Row],[Site Name]],LocationsKey[Site Name], LocationsKey[Waterway])</f>
        <v>Whitsun Brook</v>
      </c>
      <c r="K1072" t="s">
        <v>1525</v>
      </c>
      <c r="L1072">
        <v>52.168118999999997</v>
      </c>
      <c r="M1072">
        <v>-2.0151129999999999</v>
      </c>
      <c r="N1072" t="s">
        <v>29</v>
      </c>
      <c r="O1072" s="219">
        <v>2300</v>
      </c>
      <c r="P1072">
        <v>16.7</v>
      </c>
      <c r="Q1072" s="219">
        <v>10</v>
      </c>
      <c r="R1072" s="7" t="str">
        <f>IF(AllData[[#This Row],[Nitrate (PPM)]]&gt;2, "Very high", IF(AllData[[#This Row],[Nitrate (PPM)]]&gt;1, "High", IF(AllData[[#This Row],[Nitrate (PPM)]]&gt;0.5, "Some evidence", IF(AllData[[#This Row],[Nitrate (PPM)]]&gt;=0, "No evidence"))))</f>
        <v>Very high</v>
      </c>
      <c r="S1072" s="221">
        <v>1.44</v>
      </c>
      <c r="T1072" s="7" t="str">
        <f>IF(AllData[[#This Row],[Phosphate (PPM)]]&gt;0.5, "Very high", IF(AllData[[#This Row],[Phosphate (PPM)]]&gt;0.1, "High", IF(AllData[[#This Row],[Phosphate (PPM)]]&gt;0.05, "Some evidence", IF(AllData[[#This Row],[Phosphate (PPM)]]&lt;=0.05, "No Evidence", ""))))</f>
        <v>Very high</v>
      </c>
      <c r="U1072">
        <v>0.16</v>
      </c>
      <c r="V1072" t="s">
        <v>1526</v>
      </c>
    </row>
    <row r="1073" spans="1:22" x14ac:dyDescent="0.25">
      <c r="A1073" t="s">
        <v>1523</v>
      </c>
      <c r="B1073" s="2">
        <v>45493</v>
      </c>
      <c r="C1073" s="2" t="str" cm="1">
        <f t="array" ref="C10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3">
        <f>YEAR(AllData[[#This Row],[Date]])</f>
        <v>2024</v>
      </c>
      <c r="E1073" s="1">
        <v>0.5625</v>
      </c>
      <c r="F1073" s="2" t="str">
        <f>IF(AND(AllData[[#This Row],[Time]]&lt;0.5, AllData[[#This Row],[Time]]&gt;0.17)=TRUE, "Morning", IF(AND(AllData[[#This Row],[Time]]&lt;0.75, AllData[[#This Row],[Time]]&gt;=0.5)=TRUE, "Afternoon", IF(AND(AllData[[#This Row],[Time]]&lt;1, AllData[[#This Row],[Time]]&gt;=0.75)=TRUE, "Evening", "Night")))</f>
        <v>Afternoon</v>
      </c>
      <c r="G1073" t="str">
        <f>_xlfn.XLOOKUP(AllData[[#This Row],[Location Name]], Locations[Location Name],Locations[Group As])</f>
        <v>Pitch 16</v>
      </c>
      <c r="H1073" t="e" vm="2">
        <f>_xlfn.XLOOKUP(AllData[[#This Row],[Site Name]],LocationsKey[Site Name],LocationsKey[District])</f>
        <v>#VALUE!</v>
      </c>
      <c r="I1073" t="e" vm="7">
        <f>_xlfn.XLOOKUP(AllData[[#This Row],[Site Name]],LocationsKey[Site Name],LocationsKey[Town])</f>
        <v>#VALUE!</v>
      </c>
      <c r="J1073" t="str">
        <f>_xlfn.XLOOKUP(AllData[[#This Row],[Site Name]],LocationsKey[Site Name], LocationsKey[Waterway])</f>
        <v>Avon</v>
      </c>
      <c r="K1073" t="s">
        <v>69</v>
      </c>
      <c r="L1073">
        <v>52.172643999999998</v>
      </c>
      <c r="M1073">
        <v>-1.74542</v>
      </c>
      <c r="N1073" t="s">
        <v>29</v>
      </c>
      <c r="O1073" s="219">
        <v>839</v>
      </c>
      <c r="P1073">
        <v>21.4</v>
      </c>
      <c r="Q1073" s="219">
        <v>5</v>
      </c>
      <c r="R1073" s="7" t="str">
        <f>IF(AllData[[#This Row],[Nitrate (PPM)]]&gt;2, "Very high", IF(AllData[[#This Row],[Nitrate (PPM)]]&gt;1, "High", IF(AllData[[#This Row],[Nitrate (PPM)]]&gt;0.5, "Some evidence", IF(AllData[[#This Row],[Nitrate (PPM)]]&gt;=0, "No evidence"))))</f>
        <v>Very high</v>
      </c>
      <c r="S1073" s="221">
        <v>0.64</v>
      </c>
      <c r="T1073" s="7" t="str">
        <f>IF(AllData[[#This Row],[Phosphate (PPM)]]&gt;0.5, "Very high", IF(AllData[[#This Row],[Phosphate (PPM)]]&gt;0.1, "High", IF(AllData[[#This Row],[Phosphate (PPM)]]&gt;0.05, "Some evidence", IF(AllData[[#This Row],[Phosphate (PPM)]]&lt;=0.05, "No Evidence", ""))))</f>
        <v>Very high</v>
      </c>
      <c r="U1073">
        <v>0.65</v>
      </c>
    </row>
    <row r="1074" spans="1:22" x14ac:dyDescent="0.25">
      <c r="A1074" t="s">
        <v>1522</v>
      </c>
      <c r="B1074" s="2">
        <v>45493</v>
      </c>
      <c r="C1074" s="2" t="str" cm="1">
        <f t="array" ref="C10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4">
        <f>YEAR(AllData[[#This Row],[Date]])</f>
        <v>2024</v>
      </c>
      <c r="E1074" s="1">
        <v>0.57638888888888884</v>
      </c>
      <c r="F1074" s="2" t="str">
        <f>IF(AND(AllData[[#This Row],[Time]]&lt;0.5, AllData[[#This Row],[Time]]&gt;0.17)=TRUE, "Morning", IF(AND(AllData[[#This Row],[Time]]&lt;0.75, AllData[[#This Row],[Time]]&gt;=0.5)=TRUE, "Afternoon", IF(AND(AllData[[#This Row],[Time]]&lt;1, AllData[[#This Row],[Time]]&gt;=0.75)=TRUE, "Evening", "Night")))</f>
        <v>Afternoon</v>
      </c>
      <c r="G1074" t="str">
        <f>_xlfn.XLOOKUP(AllData[[#This Row],[Location Name]], Locations[Location Name],Locations[Group As])</f>
        <v>Avonbank Drive</v>
      </c>
      <c r="H1074" t="e" vm="2">
        <f>_xlfn.XLOOKUP(AllData[[#This Row],[Site Name]],LocationsKey[Site Name],LocationsKey[District])</f>
        <v>#VALUE!</v>
      </c>
      <c r="I1074" t="e" vm="7">
        <f>_xlfn.XLOOKUP(AllData[[#This Row],[Site Name]],LocationsKey[Site Name],LocationsKey[Town])</f>
        <v>#VALUE!</v>
      </c>
      <c r="J1074" t="str">
        <f>_xlfn.XLOOKUP(AllData[[#This Row],[Site Name]],LocationsKey[Site Name], LocationsKey[Waterway])</f>
        <v>Avon</v>
      </c>
      <c r="K1074" t="s">
        <v>65</v>
      </c>
      <c r="L1074">
        <v>52.176855000000003</v>
      </c>
      <c r="M1074">
        <v>-1.735473</v>
      </c>
      <c r="N1074" t="s">
        <v>66</v>
      </c>
      <c r="O1074" s="219">
        <v>864</v>
      </c>
      <c r="P1074">
        <v>21.3</v>
      </c>
      <c r="Q1074" s="219">
        <v>5</v>
      </c>
      <c r="R1074" s="7" t="str">
        <f>IF(AllData[[#This Row],[Nitrate (PPM)]]&gt;2, "Very high", IF(AllData[[#This Row],[Nitrate (PPM)]]&gt;1, "High", IF(AllData[[#This Row],[Nitrate (PPM)]]&gt;0.5, "Some evidence", IF(AllData[[#This Row],[Nitrate (PPM)]]&gt;=0, "No evidence"))))</f>
        <v>Very high</v>
      </c>
      <c r="S1074" s="221">
        <v>0.51</v>
      </c>
      <c r="T1074" s="7" t="str">
        <f>IF(AllData[[#This Row],[Phosphate (PPM)]]&gt;0.5, "Very high", IF(AllData[[#This Row],[Phosphate (PPM)]]&gt;0.1, "High", IF(AllData[[#This Row],[Phosphate (PPM)]]&gt;0.05, "Some evidence", IF(AllData[[#This Row],[Phosphate (PPM)]]&lt;=0.05, "No Evidence", ""))))</f>
        <v>Very high</v>
      </c>
      <c r="U1074">
        <v>0.65</v>
      </c>
    </row>
    <row r="1075" spans="1:22" x14ac:dyDescent="0.25">
      <c r="A1075" t="s">
        <v>1521</v>
      </c>
      <c r="B1075" s="2">
        <v>45493</v>
      </c>
      <c r="C1075" s="2" t="str" cm="1">
        <f t="array" ref="C10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5">
        <f>YEAR(AllData[[#This Row],[Date]])</f>
        <v>2024</v>
      </c>
      <c r="E1075" s="1">
        <v>0.74236111111111114</v>
      </c>
      <c r="F1075" s="2" t="str">
        <f>IF(AND(AllData[[#This Row],[Time]]&lt;0.5, AllData[[#This Row],[Time]]&gt;0.17)=TRUE, "Morning", IF(AND(AllData[[#This Row],[Time]]&lt;0.75, AllData[[#This Row],[Time]]&gt;=0.5)=TRUE, "Afternoon", IF(AND(AllData[[#This Row],[Time]]&lt;1, AllData[[#This Row],[Time]]&gt;=0.75)=TRUE, "Evening", "Night")))</f>
        <v>Afternoon</v>
      </c>
      <c r="G1075" t="str">
        <f>_xlfn.XLOOKUP(AllData[[#This Row],[Location Name]], Locations[Location Name],Locations[Group As])</f>
        <v>Preston-on-Stour River Bridge</v>
      </c>
      <c r="H1075" t="e" vm="2">
        <f>_xlfn.XLOOKUP(AllData[[#This Row],[Site Name]],LocationsKey[Site Name],LocationsKey[District])</f>
        <v>#VALUE!</v>
      </c>
      <c r="I1075" t="e" vm="9">
        <f>_xlfn.XLOOKUP(AllData[[#This Row],[Site Name]],LocationsKey[Site Name],LocationsKey[Town])</f>
        <v>#VALUE!</v>
      </c>
      <c r="J1075" t="str">
        <f>_xlfn.XLOOKUP(AllData[[#This Row],[Site Name]],LocationsKey[Site Name], LocationsKey[Waterway])</f>
        <v>Stour</v>
      </c>
      <c r="K1075" t="s">
        <v>163</v>
      </c>
      <c r="L1075">
        <v>52.146473</v>
      </c>
      <c r="M1075">
        <v>-1.6998329999999999</v>
      </c>
      <c r="N1075" t="s">
        <v>29</v>
      </c>
      <c r="O1075">
        <v>647</v>
      </c>
      <c r="P1075">
        <v>20.3</v>
      </c>
      <c r="Q1075">
        <v>5</v>
      </c>
      <c r="R1075" s="7" t="str">
        <f>IF(AllData[[#This Row],[Nitrate (PPM)]]&gt;2, "Very high", IF(AllData[[#This Row],[Nitrate (PPM)]]&gt;1, "High", IF(AllData[[#This Row],[Nitrate (PPM)]]&gt;0.5, "Some evidence", IF(AllData[[#This Row],[Nitrate (PPM)]]&gt;=0, "No evidence"))))</f>
        <v>Very high</v>
      </c>
      <c r="S1075" s="4">
        <v>0.69</v>
      </c>
      <c r="T1075" s="7" t="str">
        <f>IF(AllData[[#This Row],[Phosphate (PPM)]]&gt;0.5, "Very high", IF(AllData[[#This Row],[Phosphate (PPM)]]&gt;0.1, "High", IF(AllData[[#This Row],[Phosphate (PPM)]]&gt;0.05, "Some evidence", IF(AllData[[#This Row],[Phosphate (PPM)]]&lt;=0.05, "No Evidence", ""))))</f>
        <v>Very high</v>
      </c>
      <c r="U1075">
        <v>1</v>
      </c>
    </row>
    <row r="1076" spans="1:22" x14ac:dyDescent="0.25">
      <c r="A1076" t="s">
        <v>1794</v>
      </c>
      <c r="B1076" s="2">
        <v>45493</v>
      </c>
      <c r="C1076" s="2" t="str" cm="1">
        <f t="array" ref="C10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6">
        <f>YEAR(AllData[[#This Row],[Date]])</f>
        <v>2024</v>
      </c>
      <c r="F1076" s="2" t="str">
        <f>IF(AND(AllData[[#This Row],[Time]]&lt;0.5, AllData[[#This Row],[Time]]&gt;0.17)=TRUE, "Morning", IF(AND(AllData[[#This Row],[Time]]&lt;0.75, AllData[[#This Row],[Time]]&gt;=0.5)=TRUE, "Afternoon", IF(AND(AllData[[#This Row],[Time]]&lt;1, AllData[[#This Row],[Time]]&gt;=0.75)=TRUE, "Evening", "Night")))</f>
        <v>Night</v>
      </c>
      <c r="G1076" t="str">
        <f>_xlfn.XLOOKUP(AllData[[#This Row],[Location Name]], Locations[Location Name],Locations[Group As])</f>
        <v>Site 1  :  Middle Street</v>
      </c>
      <c r="H1076" t="e" vm="2">
        <f>_xlfn.XLOOKUP(AllData[[#This Row],[Site Name]],LocationsKey[Site Name],LocationsKey[District])</f>
        <v>#VALUE!</v>
      </c>
      <c r="I1076" t="e" vm="11">
        <f>_xlfn.XLOOKUP(AllData[[#This Row],[Site Name]],LocationsKey[Site Name],LocationsKey[Town])</f>
        <v>#VALUE!</v>
      </c>
      <c r="J1076" t="str">
        <f>_xlfn.XLOOKUP(AllData[[#This Row],[Site Name]],LocationsKey[Site Name], LocationsKey[Waterway])</f>
        <v>Fosseway Brook</v>
      </c>
      <c r="K1076" t="s">
        <v>1859</v>
      </c>
      <c r="L1076">
        <v>52.090058999999997</v>
      </c>
      <c r="M1076">
        <v>-1.692636</v>
      </c>
      <c r="N1076" t="s">
        <v>66</v>
      </c>
      <c r="O1076">
        <v>603</v>
      </c>
      <c r="P1076">
        <v>21.7</v>
      </c>
      <c r="Q1076">
        <v>1</v>
      </c>
      <c r="R1076" s="7" t="str">
        <f>IF(AllData[[#This Row],[Nitrate (PPM)]]&gt;2, "Very high", IF(AllData[[#This Row],[Nitrate (PPM)]]&gt;1, "High", IF(AllData[[#This Row],[Nitrate (PPM)]]&gt;0.5, "Some evidence", IF(AllData[[#This Row],[Nitrate (PPM)]]&gt;=0, "No evidence"))))</f>
        <v>Some evidence</v>
      </c>
      <c r="S1076" s="4">
        <v>0.36</v>
      </c>
      <c r="T1076" s="7" t="str">
        <f>IF(AllData[[#This Row],[Phosphate (PPM)]]&gt;0.5, "Very high", IF(AllData[[#This Row],[Phosphate (PPM)]]&gt;0.1, "High", IF(AllData[[#This Row],[Phosphate (PPM)]]&gt;0.05, "Some evidence", IF(AllData[[#This Row],[Phosphate (PPM)]]&lt;=0.05, "No Evidence", ""))))</f>
        <v>High</v>
      </c>
      <c r="U1076">
        <v>0</v>
      </c>
      <c r="V1076" t="s">
        <v>1925</v>
      </c>
    </row>
    <row r="1077" spans="1:22" x14ac:dyDescent="0.25">
      <c r="A1077" t="s">
        <v>1390</v>
      </c>
      <c r="B1077" s="2">
        <v>45493</v>
      </c>
      <c r="C1077" s="2" t="str" cm="1">
        <f t="array" ref="C10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7">
        <f>YEAR(AllData[[#This Row],[Date]])</f>
        <v>2024</v>
      </c>
      <c r="E1077" s="1"/>
      <c r="F1077" s="2" t="str">
        <f>IF(AND(AllData[[#This Row],[Time]]&lt;0.5, AllData[[#This Row],[Time]]&gt;0.17)=TRUE, "Morning", IF(AND(AllData[[#This Row],[Time]]&lt;0.75, AllData[[#This Row],[Time]]&gt;=0.5)=TRUE, "Afternoon", IF(AND(AllData[[#This Row],[Time]]&lt;1, AllData[[#This Row],[Time]]&gt;=0.75)=TRUE, "Evening", "Night")))</f>
        <v>Night</v>
      </c>
      <c r="G1077" t="str">
        <f>_xlfn.XLOOKUP(AllData[[#This Row],[Location Name]], Locations[Location Name],Locations[Group As])</f>
        <v>Site 1  :  Middle Street</v>
      </c>
      <c r="H1077" t="e" vm="2">
        <f>_xlfn.XLOOKUP(AllData[[#This Row],[Site Name]],LocationsKey[Site Name],LocationsKey[District])</f>
        <v>#VALUE!</v>
      </c>
      <c r="I1077" t="e" vm="11">
        <f>_xlfn.XLOOKUP(AllData[[#This Row],[Site Name]],LocationsKey[Site Name],LocationsKey[Town])</f>
        <v>#VALUE!</v>
      </c>
      <c r="J1077" t="str">
        <f>_xlfn.XLOOKUP(AllData[[#This Row],[Site Name]],LocationsKey[Site Name], LocationsKey[Waterway])</f>
        <v>Fosseway Brook</v>
      </c>
      <c r="K1077" t="s">
        <v>1373</v>
      </c>
      <c r="L1077">
        <v>52.090058999999997</v>
      </c>
      <c r="M1077">
        <v>-1.692636</v>
      </c>
      <c r="N1077" t="s">
        <v>66</v>
      </c>
      <c r="O1077">
        <v>603</v>
      </c>
      <c r="P1077">
        <v>21.7</v>
      </c>
      <c r="Q1077">
        <v>1</v>
      </c>
      <c r="R1077" s="7" t="str">
        <f>IF(AllData[[#This Row],[Nitrate (PPM)]]&gt;2, "Very high", IF(AllData[[#This Row],[Nitrate (PPM)]]&gt;1, "High", IF(AllData[[#This Row],[Nitrate (PPM)]]&gt;0.5, "Some evidence", IF(AllData[[#This Row],[Nitrate (PPM)]]&gt;=0, "No evidence"))))</f>
        <v>Some evidence</v>
      </c>
      <c r="S1077" s="4">
        <v>0.36</v>
      </c>
      <c r="T1077" s="7" t="str">
        <f>IF(AllData[[#This Row],[Phosphate (PPM)]]&gt;0.5, "Very high", IF(AllData[[#This Row],[Phosphate (PPM)]]&gt;0.1, "High", IF(AllData[[#This Row],[Phosphate (PPM)]]&gt;0.05, "Some evidence", IF(AllData[[#This Row],[Phosphate (PPM)]]&lt;=0.05, "No Evidence", ""))))</f>
        <v>High</v>
      </c>
      <c r="V1077" t="s">
        <v>1391</v>
      </c>
    </row>
    <row r="1078" spans="1:22" x14ac:dyDescent="0.25">
      <c r="A1078" t="s">
        <v>1795</v>
      </c>
      <c r="B1078" s="2">
        <v>45493</v>
      </c>
      <c r="C1078" s="2" t="str" cm="1">
        <f t="array" ref="C10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8">
        <f>YEAR(AllData[[#This Row],[Date]])</f>
        <v>2024</v>
      </c>
      <c r="F1078" s="2" t="str">
        <f>IF(AND(AllData[[#This Row],[Time]]&lt;0.5, AllData[[#This Row],[Time]]&gt;0.17)=TRUE, "Morning", IF(AND(AllData[[#This Row],[Time]]&lt;0.75, AllData[[#This Row],[Time]]&gt;=0.5)=TRUE, "Afternoon", IF(AND(AllData[[#This Row],[Time]]&lt;1, AllData[[#This Row],[Time]]&gt;=0.75)=TRUE, "Evening", "Night")))</f>
        <v>Night</v>
      </c>
      <c r="G1078" t="str">
        <f>_xlfn.XLOOKUP(AllData[[#This Row],[Location Name]], Locations[Location Name],Locations[Group As])</f>
        <v>Site 2  :  Cross Leys culvert</v>
      </c>
      <c r="H1078" t="e" vm="2">
        <f>_xlfn.XLOOKUP(AllData[[#This Row],[Site Name]],LocationsKey[Site Name],LocationsKey[District])</f>
        <v>#VALUE!</v>
      </c>
      <c r="I1078" t="e" vm="11">
        <f>_xlfn.XLOOKUP(AllData[[#This Row],[Site Name]],LocationsKey[Site Name],LocationsKey[Town])</f>
        <v>#VALUE!</v>
      </c>
      <c r="J1078" t="str">
        <f>_xlfn.XLOOKUP(AllData[[#This Row],[Site Name]],LocationsKey[Site Name], LocationsKey[Waterway])</f>
        <v>Fosseway Brook</v>
      </c>
      <c r="K1078" t="s">
        <v>1860</v>
      </c>
      <c r="L1078">
        <v>52.093122000000001</v>
      </c>
      <c r="M1078">
        <v>-1.6863189999999999</v>
      </c>
      <c r="N1078" t="s">
        <v>66</v>
      </c>
      <c r="O1078">
        <v>834</v>
      </c>
      <c r="P1078">
        <v>18.5</v>
      </c>
      <c r="Q1078">
        <v>0</v>
      </c>
      <c r="R1078" s="7" t="str">
        <f>IF(AllData[[#This Row],[Nitrate (PPM)]]&gt;2, "Very high", IF(AllData[[#This Row],[Nitrate (PPM)]]&gt;1, "High", IF(AllData[[#This Row],[Nitrate (PPM)]]&gt;0.5, "Some evidence", IF(AllData[[#This Row],[Nitrate (PPM)]]&gt;=0, "No evidence"))))</f>
        <v>No evidence</v>
      </c>
      <c r="S1078" s="4">
        <v>0.93</v>
      </c>
      <c r="T1078" s="7" t="str">
        <f>IF(AllData[[#This Row],[Phosphate (PPM)]]&gt;0.5, "Very high", IF(AllData[[#This Row],[Phosphate (PPM)]]&gt;0.1, "High", IF(AllData[[#This Row],[Phosphate (PPM)]]&gt;0.05, "Some evidence", IF(AllData[[#This Row],[Phosphate (PPM)]]&lt;=0.05, "No Evidence", ""))))</f>
        <v>Very high</v>
      </c>
      <c r="U1078">
        <v>0</v>
      </c>
      <c r="V1078" t="s">
        <v>1909</v>
      </c>
    </row>
    <row r="1079" spans="1:22" x14ac:dyDescent="0.25">
      <c r="A1079" t="s">
        <v>1389</v>
      </c>
      <c r="B1079" s="2">
        <v>45493</v>
      </c>
      <c r="C1079" s="2" t="str" cm="1">
        <f t="array" ref="C10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9">
        <f>YEAR(AllData[[#This Row],[Date]])</f>
        <v>2024</v>
      </c>
      <c r="E1079" s="1"/>
      <c r="F1079" s="2" t="str">
        <f>IF(AND(AllData[[#This Row],[Time]]&lt;0.5, AllData[[#This Row],[Time]]&gt;0.17)=TRUE, "Morning", IF(AND(AllData[[#This Row],[Time]]&lt;0.75, AllData[[#This Row],[Time]]&gt;=0.5)=TRUE, "Afternoon", IF(AND(AllData[[#This Row],[Time]]&lt;1, AllData[[#This Row],[Time]]&gt;=0.75)=TRUE, "Evening", "Night")))</f>
        <v>Night</v>
      </c>
      <c r="G1079" t="str">
        <f>_xlfn.XLOOKUP(AllData[[#This Row],[Location Name]], Locations[Location Name],Locations[Group As])</f>
        <v>Site 2  :  Cross Leys culvert</v>
      </c>
      <c r="H1079" t="e" vm="2">
        <f>_xlfn.XLOOKUP(AllData[[#This Row],[Site Name]],LocationsKey[Site Name],LocationsKey[District])</f>
        <v>#VALUE!</v>
      </c>
      <c r="I1079" t="e" vm="11">
        <f>_xlfn.XLOOKUP(AllData[[#This Row],[Site Name]],LocationsKey[Site Name],LocationsKey[Town])</f>
        <v>#VALUE!</v>
      </c>
      <c r="J1079" t="str">
        <f>_xlfn.XLOOKUP(AllData[[#This Row],[Site Name]],LocationsKey[Site Name], LocationsKey[Waterway])</f>
        <v>Fosseway Brook</v>
      </c>
      <c r="K1079" t="s">
        <v>1371</v>
      </c>
      <c r="L1079">
        <v>52.093122000000001</v>
      </c>
      <c r="M1079">
        <v>-1.6863189999999999</v>
      </c>
      <c r="N1079" t="s">
        <v>66</v>
      </c>
      <c r="O1079">
        <v>834</v>
      </c>
      <c r="P1079">
        <v>18.5</v>
      </c>
      <c r="Q1079">
        <v>0</v>
      </c>
      <c r="R1079" s="7" t="str">
        <f>IF(AllData[[#This Row],[Nitrate (PPM)]]&gt;2, "Very high", IF(AllData[[#This Row],[Nitrate (PPM)]]&gt;1, "High", IF(AllData[[#This Row],[Nitrate (PPM)]]&gt;0.5, "Some evidence", IF(AllData[[#This Row],[Nitrate (PPM)]]&gt;=0, "No evidence"))))</f>
        <v>No evidence</v>
      </c>
      <c r="S1079" s="4">
        <v>0.93</v>
      </c>
      <c r="T1079" s="7" t="str">
        <f>IF(AllData[[#This Row],[Phosphate (PPM)]]&gt;0.5, "Very high", IF(AllData[[#This Row],[Phosphate (PPM)]]&gt;0.1, "High", IF(AllData[[#This Row],[Phosphate (PPM)]]&gt;0.05, "Some evidence", IF(AllData[[#This Row],[Phosphate (PPM)]]&lt;=0.05, "No Evidence", ""))))</f>
        <v>Very high</v>
      </c>
    </row>
    <row r="1080" spans="1:22" x14ac:dyDescent="0.25">
      <c r="A1080" t="s">
        <v>1796</v>
      </c>
      <c r="B1080" s="2">
        <v>45493</v>
      </c>
      <c r="C1080" s="2" t="str" cm="1">
        <f t="array" ref="C10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0">
        <f>YEAR(AllData[[#This Row],[Date]])</f>
        <v>2024</v>
      </c>
      <c r="F1080" s="2" t="str">
        <f>IF(AND(AllData[[#This Row],[Time]]&lt;0.5, AllData[[#This Row],[Time]]&gt;0.17)=TRUE, "Morning", IF(AND(AllData[[#This Row],[Time]]&lt;0.75, AllData[[#This Row],[Time]]&gt;=0.5)=TRUE, "Afternoon", IF(AND(AllData[[#This Row],[Time]]&lt;1, AllData[[#This Row],[Time]]&gt;=0.75)=TRUE, "Evening", "Night")))</f>
        <v>Night</v>
      </c>
      <c r="G1080" t="str">
        <f>_xlfn.XLOOKUP(AllData[[#This Row],[Location Name]], Locations[Location Name],Locations[Group As])</f>
        <v>Site 3  :  Severn Trent Water processing plant outflow</v>
      </c>
      <c r="H1080" t="e" vm="2">
        <f>_xlfn.XLOOKUP(AllData[[#This Row],[Site Name]],LocationsKey[Site Name],LocationsKey[District])</f>
        <v>#VALUE!</v>
      </c>
      <c r="I1080" t="e" vm="11">
        <f>_xlfn.XLOOKUP(AllData[[#This Row],[Site Name]],LocationsKey[Site Name],LocationsKey[Town])</f>
        <v>#VALUE!</v>
      </c>
      <c r="J1080" t="str">
        <f>_xlfn.XLOOKUP(AllData[[#This Row],[Site Name]],LocationsKey[Site Name], LocationsKey[Waterway])</f>
        <v>Fosseway Brook</v>
      </c>
      <c r="K1080" t="s">
        <v>1861</v>
      </c>
      <c r="L1080">
        <v>52.094468999999997</v>
      </c>
      <c r="M1080">
        <v>-1.675875</v>
      </c>
      <c r="N1080" t="s">
        <v>29</v>
      </c>
      <c r="O1080">
        <v>897</v>
      </c>
      <c r="P1080">
        <v>19.399999999999999</v>
      </c>
      <c r="Q1080">
        <v>10</v>
      </c>
      <c r="R1080" s="7" t="str">
        <f>IF(AllData[[#This Row],[Nitrate (PPM)]]&gt;2, "Very high", IF(AllData[[#This Row],[Nitrate (PPM)]]&gt;1, "High", IF(AllData[[#This Row],[Nitrate (PPM)]]&gt;0.5, "Some evidence", IF(AllData[[#This Row],[Nitrate (PPM)]]&gt;=0, "No evidence"))))</f>
        <v>Very high</v>
      </c>
      <c r="S1080" s="4">
        <v>2.5</v>
      </c>
      <c r="T1080" s="7" t="str">
        <f>IF(AllData[[#This Row],[Phosphate (PPM)]]&gt;0.5, "Very high", IF(AllData[[#This Row],[Phosphate (PPM)]]&gt;0.1, "High", IF(AllData[[#This Row],[Phosphate (PPM)]]&gt;0.05, "Some evidence", IF(AllData[[#This Row],[Phosphate (PPM)]]&lt;=0.05, "No Evidence", ""))))</f>
        <v>Very high</v>
      </c>
      <c r="U1080">
        <v>0</v>
      </c>
      <c r="V1080" t="s">
        <v>1912</v>
      </c>
    </row>
    <row r="1081" spans="1:22" x14ac:dyDescent="0.25">
      <c r="A1081" t="s">
        <v>1388</v>
      </c>
      <c r="B1081" s="2">
        <v>45493</v>
      </c>
      <c r="C1081" s="2" t="str" cm="1">
        <f t="array" ref="C10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1">
        <f>YEAR(AllData[[#This Row],[Date]])</f>
        <v>2024</v>
      </c>
      <c r="E1081" s="1"/>
      <c r="F1081" s="2" t="str">
        <f>IF(AND(AllData[[#This Row],[Time]]&lt;0.5, AllData[[#This Row],[Time]]&gt;0.17)=TRUE, "Morning", IF(AND(AllData[[#This Row],[Time]]&lt;0.75, AllData[[#This Row],[Time]]&gt;=0.5)=TRUE, "Afternoon", IF(AND(AllData[[#This Row],[Time]]&lt;1, AllData[[#This Row],[Time]]&gt;=0.75)=TRUE, "Evening", "Night")))</f>
        <v>Night</v>
      </c>
      <c r="G1081" t="str">
        <f>_xlfn.XLOOKUP(AllData[[#This Row],[Location Name]], Locations[Location Name],Locations[Group As])</f>
        <v>Site 3  :  Severn Trent Water processing plant outflow</v>
      </c>
      <c r="H1081" t="e" vm="2">
        <f>_xlfn.XLOOKUP(AllData[[#This Row],[Site Name]],LocationsKey[Site Name],LocationsKey[District])</f>
        <v>#VALUE!</v>
      </c>
      <c r="I1081" t="e" vm="11">
        <f>_xlfn.XLOOKUP(AllData[[#This Row],[Site Name]],LocationsKey[Site Name],LocationsKey[Town])</f>
        <v>#VALUE!</v>
      </c>
      <c r="J1081" t="str">
        <f>_xlfn.XLOOKUP(AllData[[#This Row],[Site Name]],LocationsKey[Site Name], LocationsKey[Waterway])</f>
        <v>Fosseway Brook</v>
      </c>
      <c r="K1081" t="s">
        <v>1368</v>
      </c>
      <c r="L1081">
        <v>52.094468999999997</v>
      </c>
      <c r="M1081">
        <v>-1.675875</v>
      </c>
      <c r="N1081" t="s">
        <v>29</v>
      </c>
      <c r="O1081">
        <v>897</v>
      </c>
      <c r="P1081">
        <v>19.399999999999999</v>
      </c>
      <c r="Q1081">
        <v>10</v>
      </c>
      <c r="R1081" s="7" t="str">
        <f>IF(AllData[[#This Row],[Nitrate (PPM)]]&gt;2, "Very high", IF(AllData[[#This Row],[Nitrate (PPM)]]&gt;1, "High", IF(AllData[[#This Row],[Nitrate (PPM)]]&gt;0.5, "Some evidence", IF(AllData[[#This Row],[Nitrate (PPM)]]&gt;=0, "No evidence"))))</f>
        <v>Very high</v>
      </c>
      <c r="S1081" s="4">
        <v>2.5</v>
      </c>
      <c r="T1081" s="7" t="str">
        <f>IF(AllData[[#This Row],[Phosphate (PPM)]]&gt;0.5, "Very high", IF(AllData[[#This Row],[Phosphate (PPM)]]&gt;0.1, "High", IF(AllData[[#This Row],[Phosphate (PPM)]]&gt;0.05, "Some evidence", IF(AllData[[#This Row],[Phosphate (PPM)]]&lt;=0.05, "No Evidence", ""))))</f>
        <v>Very high</v>
      </c>
    </row>
    <row r="1082" spans="1:22" x14ac:dyDescent="0.25">
      <c r="A1082" t="s">
        <v>1518</v>
      </c>
      <c r="B1082" s="2">
        <v>45494</v>
      </c>
      <c r="C1082" s="2" t="str" cm="1">
        <f t="array" ref="C10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2">
        <f>YEAR(AllData[[#This Row],[Date]])</f>
        <v>2024</v>
      </c>
      <c r="E1082" s="1">
        <v>0.3972222222222222</v>
      </c>
      <c r="F1082" s="2" t="str">
        <f>IF(AND(AllData[[#This Row],[Time]]&lt;0.5, AllData[[#This Row],[Time]]&gt;0.17)=TRUE, "Morning", IF(AND(AllData[[#This Row],[Time]]&lt;0.75, AllData[[#This Row],[Time]]&gt;=0.5)=TRUE, "Afternoon", IF(AND(AllData[[#This Row],[Time]]&lt;1, AllData[[#This Row],[Time]]&gt;=0.75)=TRUE, "Evening", "Night")))</f>
        <v>Morning</v>
      </c>
      <c r="G1082" t="str">
        <f>_xlfn.XLOOKUP(AllData[[#This Row],[Location Name]], Locations[Location Name],Locations[Group As])</f>
        <v>Twyning Fleet</v>
      </c>
      <c r="H1082" t="e" vm="1">
        <f>_xlfn.XLOOKUP(AllData[[#This Row],[Site Name]],LocationsKey[Site Name],LocationsKey[District])</f>
        <v>#VALUE!</v>
      </c>
      <c r="I1082" t="str">
        <f>_xlfn.XLOOKUP(AllData[[#This Row],[Site Name]],LocationsKey[Site Name],LocationsKey[Town])</f>
        <v>Twyning Green</v>
      </c>
      <c r="J1082" t="str">
        <f>_xlfn.XLOOKUP(AllData[[#This Row],[Site Name]],LocationsKey[Site Name], LocationsKey[Waterway])</f>
        <v>Avon</v>
      </c>
      <c r="K1082" t="s">
        <v>54</v>
      </c>
      <c r="L1082">
        <v>52.027453000000001</v>
      </c>
      <c r="M1082">
        <v>-2.1407039999999999</v>
      </c>
      <c r="N1082" t="s">
        <v>29</v>
      </c>
      <c r="O1082">
        <v>8590</v>
      </c>
      <c r="P1082">
        <v>20.7</v>
      </c>
      <c r="Q1082">
        <v>7</v>
      </c>
      <c r="R1082" s="7" t="str">
        <f>IF(AllData[[#This Row],[Nitrate (PPM)]]&gt;2, "Very high", IF(AllData[[#This Row],[Nitrate (PPM)]]&gt;1, "High", IF(AllData[[#This Row],[Nitrate (PPM)]]&gt;0.5, "Some evidence", IF(AllData[[#This Row],[Nitrate (PPM)]]&gt;=0, "No evidence"))))</f>
        <v>Very high</v>
      </c>
      <c r="S1082" s="4">
        <v>1.1599999999999999</v>
      </c>
      <c r="T1082" s="7" t="str">
        <f>IF(AllData[[#This Row],[Phosphate (PPM)]]&gt;0.5, "Very high", IF(AllData[[#This Row],[Phosphate (PPM)]]&gt;0.1, "High", IF(AllData[[#This Row],[Phosphate (PPM)]]&gt;0.05, "Some evidence", IF(AllData[[#This Row],[Phosphate (PPM)]]&lt;=0.05, "No Evidence", ""))))</f>
        <v>Very high</v>
      </c>
      <c r="U1082">
        <v>0</v>
      </c>
      <c r="V1082" t="s">
        <v>1519</v>
      </c>
    </row>
    <row r="1083" spans="1:22" x14ac:dyDescent="0.25">
      <c r="A1083" t="s">
        <v>1694</v>
      </c>
      <c r="B1083" s="2">
        <v>45494</v>
      </c>
      <c r="C1083" s="2" t="str" cm="1">
        <f t="array" ref="C10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3">
        <f>YEAR(AllData[[#This Row],[Date]])</f>
        <v>2024</v>
      </c>
      <c r="E1083" s="1">
        <v>0.41666666666666669</v>
      </c>
      <c r="F1083" s="2" t="str">
        <f>IF(AND(AllData[[#This Row],[Time]]&lt;0.5, AllData[[#This Row],[Time]]&gt;0.17)=TRUE, "Morning", IF(AND(AllData[[#This Row],[Time]]&lt;0.75, AllData[[#This Row],[Time]]&gt;=0.5)=TRUE, "Afternoon", IF(AND(AllData[[#This Row],[Time]]&lt;1, AllData[[#This Row],[Time]]&gt;=0.75)=TRUE, "Evening", "Night")))</f>
        <v>Morning</v>
      </c>
      <c r="G1083" t="str">
        <f>_xlfn.XLOOKUP(AllData[[#This Row],[Location Name]], Locations[Location Name],Locations[Group As])</f>
        <v>Sherbourne Brook 1</v>
      </c>
      <c r="H1083" t="e" vm="2">
        <f>_xlfn.XLOOKUP(AllData[[#This Row],[Site Name]],LocationsKey[Site Name],LocationsKey[District])</f>
        <v>#VALUE!</v>
      </c>
      <c r="I1083" t="e" vm="16">
        <f>_xlfn.XLOOKUP(AllData[[#This Row],[Site Name]],LocationsKey[Site Name],LocationsKey[Town])</f>
        <v>#VALUE!</v>
      </c>
      <c r="J1083" t="str">
        <f>_xlfn.XLOOKUP(AllData[[#This Row],[Site Name]],LocationsKey[Site Name], LocationsKey[Waterway])</f>
        <v>Sherbourne Brook</v>
      </c>
      <c r="K1083" t="s">
        <v>570</v>
      </c>
      <c r="L1083">
        <v>52.252499999999998</v>
      </c>
      <c r="M1083">
        <v>-1.6685000000000001</v>
      </c>
      <c r="N1083" t="s">
        <v>23</v>
      </c>
      <c r="O1083">
        <v>1050</v>
      </c>
      <c r="P1083">
        <v>17.5</v>
      </c>
      <c r="Q1083">
        <v>7</v>
      </c>
      <c r="R1083" s="7" t="str">
        <f>IF(AllData[[#This Row],[Nitrate (PPM)]]&gt;2, "Very high", IF(AllData[[#This Row],[Nitrate (PPM)]]&gt;1, "High", IF(AllData[[#This Row],[Nitrate (PPM)]]&gt;0.5, "Some evidence", IF(AllData[[#This Row],[Nitrate (PPM)]]&gt;=0, "No evidence"))))</f>
        <v>Very high</v>
      </c>
      <c r="S1083" s="4">
        <v>0.51</v>
      </c>
      <c r="T1083" s="7" t="str">
        <f>IF(AllData[[#This Row],[Phosphate (PPM)]]&gt;0.5, "Very high", IF(AllData[[#This Row],[Phosphate (PPM)]]&gt;0.1, "High", IF(AllData[[#This Row],[Phosphate (PPM)]]&gt;0.05, "Some evidence", IF(AllData[[#This Row],[Phosphate (PPM)]]&lt;=0.05, "No Evidence", ""))))</f>
        <v>Very high</v>
      </c>
      <c r="U1083">
        <v>0.15</v>
      </c>
    </row>
    <row r="1084" spans="1:22" x14ac:dyDescent="0.25">
      <c r="A1084" t="s">
        <v>1693</v>
      </c>
      <c r="B1084" s="2">
        <v>45494</v>
      </c>
      <c r="C1084" s="2" t="str" cm="1">
        <f t="array" ref="C10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4">
        <f>YEAR(AllData[[#This Row],[Date]])</f>
        <v>2024</v>
      </c>
      <c r="E1084" s="1">
        <v>0.42708333333333331</v>
      </c>
      <c r="F1084" s="2" t="str">
        <f>IF(AND(AllData[[#This Row],[Time]]&lt;0.5, AllData[[#This Row],[Time]]&gt;0.17)=TRUE, "Morning", IF(AND(AllData[[#This Row],[Time]]&lt;0.75, AllData[[#This Row],[Time]]&gt;=0.5)=TRUE, "Afternoon", IF(AND(AllData[[#This Row],[Time]]&lt;1, AllData[[#This Row],[Time]]&gt;=0.75)=TRUE, "Evening", "Night")))</f>
        <v>Morning</v>
      </c>
      <c r="G1084" t="str">
        <f>_xlfn.XLOOKUP(AllData[[#This Row],[Location Name]], Locations[Location Name],Locations[Group As])</f>
        <v>Bell Brook 1</v>
      </c>
      <c r="H1084" t="e" vm="2">
        <f>_xlfn.XLOOKUP(AllData[[#This Row],[Site Name]],LocationsKey[Site Name],LocationsKey[District])</f>
        <v>#VALUE!</v>
      </c>
      <c r="I1084" t="e" vm="15">
        <f>_xlfn.XLOOKUP(AllData[[#This Row],[Site Name]],LocationsKey[Site Name],LocationsKey[Town])</f>
        <v>#VALUE!</v>
      </c>
      <c r="J1084" t="str">
        <f>_xlfn.XLOOKUP(AllData[[#This Row],[Site Name]],LocationsKey[Site Name], LocationsKey[Waterway])</f>
        <v>Bell Brook</v>
      </c>
      <c r="K1084" t="s">
        <v>534</v>
      </c>
      <c r="L1084">
        <v>52.244900000000001</v>
      </c>
      <c r="M1084">
        <v>-1.6617</v>
      </c>
      <c r="N1084" t="s">
        <v>23</v>
      </c>
      <c r="O1084">
        <v>726</v>
      </c>
      <c r="P1084">
        <v>18.7</v>
      </c>
      <c r="Q1084">
        <v>6</v>
      </c>
      <c r="R1084" s="7" t="str">
        <f>IF(AllData[[#This Row],[Nitrate (PPM)]]&gt;2, "Very high", IF(AllData[[#This Row],[Nitrate (PPM)]]&gt;1, "High", IF(AllData[[#This Row],[Nitrate (PPM)]]&gt;0.5, "Some evidence", IF(AllData[[#This Row],[Nitrate (PPM)]]&gt;=0, "No evidence"))))</f>
        <v>Very high</v>
      </c>
      <c r="S1084" s="4">
        <v>0.56999999999999995</v>
      </c>
      <c r="T1084" s="7" t="str">
        <f>IF(AllData[[#This Row],[Phosphate (PPM)]]&gt;0.5, "Very high", IF(AllData[[#This Row],[Phosphate (PPM)]]&gt;0.1, "High", IF(AllData[[#This Row],[Phosphate (PPM)]]&gt;0.05, "Some evidence", IF(AllData[[#This Row],[Phosphate (PPM)]]&lt;=0.05, "No Evidence", ""))))</f>
        <v>Very high</v>
      </c>
      <c r="U1084">
        <v>0.15</v>
      </c>
    </row>
    <row r="1085" spans="1:22" x14ac:dyDescent="0.25">
      <c r="A1085" t="s">
        <v>1508</v>
      </c>
      <c r="B1085" s="2">
        <v>45494</v>
      </c>
      <c r="C1085" s="2" t="str" cm="1">
        <f t="array" ref="C10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5">
        <f>YEAR(AllData[[#This Row],[Date]])</f>
        <v>2024</v>
      </c>
      <c r="E1085" s="1">
        <v>0.5</v>
      </c>
      <c r="F1085" s="2" t="str">
        <f>IF(AND(AllData[[#This Row],[Time]]&lt;0.5, AllData[[#This Row],[Time]]&gt;0.17)=TRUE, "Morning", IF(AND(AllData[[#This Row],[Time]]&lt;0.75, AllData[[#This Row],[Time]]&gt;=0.5)=TRUE, "Afternoon", IF(AND(AllData[[#This Row],[Time]]&lt;1, AllData[[#This Row],[Time]]&gt;=0.75)=TRUE, "Evening", "Night")))</f>
        <v>Afternoon</v>
      </c>
      <c r="G1085" t="str">
        <f>_xlfn.XLOOKUP(AllData[[#This Row],[Location Name]], Locations[Location Name],Locations[Group As])</f>
        <v>Carrant Bredon Rd</v>
      </c>
      <c r="H1085" t="e" vm="1">
        <f>_xlfn.XLOOKUP(AllData[[#This Row],[Site Name]],LocationsKey[Site Name],LocationsKey[District])</f>
        <v>#VALUE!</v>
      </c>
      <c r="I1085" t="e" vm="1">
        <f>_xlfn.XLOOKUP(AllData[[#This Row],[Site Name]],LocationsKey[Site Name],LocationsKey[Town])</f>
        <v>#VALUE!</v>
      </c>
      <c r="J1085" t="str">
        <f>_xlfn.XLOOKUP(AllData[[#This Row],[Site Name]],LocationsKey[Site Name], LocationsKey[Waterway])</f>
        <v>Carrant</v>
      </c>
      <c r="K1085" t="s">
        <v>600</v>
      </c>
      <c r="L1085">
        <v>51.996133</v>
      </c>
      <c r="M1085">
        <v>-2.156148</v>
      </c>
      <c r="N1085" t="s">
        <v>23</v>
      </c>
      <c r="O1085">
        <v>693</v>
      </c>
      <c r="P1085">
        <v>18.7</v>
      </c>
      <c r="Q1085">
        <v>6</v>
      </c>
      <c r="R1085" s="7" t="str">
        <f>IF(AllData[[#This Row],[Nitrate (PPM)]]&gt;2, "Very high", IF(AllData[[#This Row],[Nitrate (PPM)]]&gt;1, "High", IF(AllData[[#This Row],[Nitrate (PPM)]]&gt;0.5, "Some evidence", IF(AllData[[#This Row],[Nitrate (PPM)]]&gt;=0, "No evidence"))))</f>
        <v>Very high</v>
      </c>
      <c r="S1085" s="4">
        <v>0.69</v>
      </c>
      <c r="T1085" s="7" t="str">
        <f>IF(AllData[[#This Row],[Phosphate (PPM)]]&gt;0.5, "Very high", IF(AllData[[#This Row],[Phosphate (PPM)]]&gt;0.1, "High", IF(AllData[[#This Row],[Phosphate (PPM)]]&gt;0.05, "Some evidence", IF(AllData[[#This Row],[Phosphate (PPM)]]&lt;=0.05, "No Evidence", ""))))</f>
        <v>Very high</v>
      </c>
      <c r="U1085">
        <v>0.05</v>
      </c>
    </row>
    <row r="1086" spans="1:22" x14ac:dyDescent="0.25">
      <c r="A1086" t="s">
        <v>1516</v>
      </c>
      <c r="B1086" s="2">
        <v>45494</v>
      </c>
      <c r="C1086" s="2" t="str" cm="1">
        <f t="array" ref="C10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6">
        <f>YEAR(AllData[[#This Row],[Date]])</f>
        <v>2024</v>
      </c>
      <c r="E1086" s="1">
        <v>0.5180555555555556</v>
      </c>
      <c r="F1086" s="2" t="str">
        <f>IF(AND(AllData[[#This Row],[Time]]&lt;0.5, AllData[[#This Row],[Time]]&gt;0.17)=TRUE, "Morning", IF(AND(AllData[[#This Row],[Time]]&lt;0.75, AllData[[#This Row],[Time]]&gt;=0.5)=TRUE, "Afternoon", IF(AND(AllData[[#This Row],[Time]]&lt;1, AllData[[#This Row],[Time]]&gt;=0.75)=TRUE, "Evening", "Night")))</f>
        <v>Afternoon</v>
      </c>
      <c r="G1086" t="str">
        <f>_xlfn.XLOOKUP(AllData[[#This Row],[Location Name]], Locations[Location Name],Locations[Group As])</f>
        <v>Fell Mill Footbridge</v>
      </c>
      <c r="H1086" t="e" vm="2">
        <f>_xlfn.XLOOKUP(AllData[[#This Row],[Site Name]],LocationsKey[Site Name],LocationsKey[District])</f>
        <v>#VALUE!</v>
      </c>
      <c r="I1086" t="e" vm="10">
        <f>_xlfn.XLOOKUP(AllData[[#This Row],[Site Name]],LocationsKey[Site Name],LocationsKey[Town])</f>
        <v>#VALUE!</v>
      </c>
      <c r="J1086" t="str">
        <f>_xlfn.XLOOKUP(AllData[[#This Row],[Site Name]],LocationsKey[Site Name], LocationsKey[Waterway])</f>
        <v>Stour</v>
      </c>
      <c r="K1086" t="s">
        <v>818</v>
      </c>
      <c r="L1086">
        <v>52.070086000000003</v>
      </c>
      <c r="M1086">
        <v>-1.61145</v>
      </c>
      <c r="N1086" t="s">
        <v>29</v>
      </c>
      <c r="O1086">
        <v>654</v>
      </c>
      <c r="P1086">
        <v>18.100000000000001</v>
      </c>
      <c r="Q1086">
        <v>5</v>
      </c>
      <c r="R1086" s="7" t="str">
        <f>IF(AllData[[#This Row],[Nitrate (PPM)]]&gt;2, "Very high", IF(AllData[[#This Row],[Nitrate (PPM)]]&gt;1, "High", IF(AllData[[#This Row],[Nitrate (PPM)]]&gt;0.5, "Some evidence", IF(AllData[[#This Row],[Nitrate (PPM)]]&gt;=0, "No evidence"))))</f>
        <v>Very high</v>
      </c>
      <c r="S1086" s="4">
        <v>0.7</v>
      </c>
      <c r="T1086" s="7" t="str">
        <f>IF(AllData[[#This Row],[Phosphate (PPM)]]&gt;0.5, "Very high", IF(AllData[[#This Row],[Phosphate (PPM)]]&gt;0.1, "High", IF(AllData[[#This Row],[Phosphate (PPM)]]&gt;0.05, "Some evidence", IF(AllData[[#This Row],[Phosphate (PPM)]]&lt;=0.05, "No Evidence", ""))))</f>
        <v>Very high</v>
      </c>
      <c r="U1086">
        <v>1</v>
      </c>
    </row>
    <row r="1087" spans="1:22" x14ac:dyDescent="0.25">
      <c r="A1087" t="s">
        <v>1517</v>
      </c>
      <c r="B1087" s="2">
        <v>45494</v>
      </c>
      <c r="C1087" s="2" t="str" cm="1">
        <f t="array" ref="C10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7">
        <f>YEAR(AllData[[#This Row],[Date]])</f>
        <v>2024</v>
      </c>
      <c r="E1087" s="1">
        <v>0.61597222222222225</v>
      </c>
      <c r="F1087" s="2" t="str">
        <f>IF(AND(AllData[[#This Row],[Time]]&lt;0.5, AllData[[#This Row],[Time]]&gt;0.17)=TRUE, "Morning", IF(AND(AllData[[#This Row],[Time]]&lt;0.75, AllData[[#This Row],[Time]]&gt;=0.5)=TRUE, "Afternoon", IF(AND(AllData[[#This Row],[Time]]&lt;1, AllData[[#This Row],[Time]]&gt;=0.75)=TRUE, "Evening", "Night")))</f>
        <v>Afternoon</v>
      </c>
      <c r="G1087" t="str">
        <f>_xlfn.XLOOKUP(AllData[[#This Row],[Location Name]], Locations[Location Name],Locations[Group As])</f>
        <v>Black Bear</v>
      </c>
      <c r="H1087" t="e" vm="1">
        <f>_xlfn.XLOOKUP(AllData[[#This Row],[Site Name]],LocationsKey[Site Name],LocationsKey[District])</f>
        <v>#VALUE!</v>
      </c>
      <c r="I1087" t="e" vm="1">
        <f>_xlfn.XLOOKUP(AllData[[#This Row],[Site Name]],LocationsKey[Site Name],LocationsKey[Town])</f>
        <v>#VALUE!</v>
      </c>
      <c r="J1087" t="str">
        <f>_xlfn.XLOOKUP(AllData[[#This Row],[Site Name]],LocationsKey[Site Name], LocationsKey[Waterway])</f>
        <v>Avon</v>
      </c>
      <c r="K1087" t="s">
        <v>1045</v>
      </c>
      <c r="L1087">
        <v>51.997810000000001</v>
      </c>
      <c r="M1087">
        <v>-2.1564329999999998</v>
      </c>
      <c r="N1087" t="s">
        <v>23</v>
      </c>
      <c r="O1087">
        <v>875</v>
      </c>
      <c r="P1087">
        <v>22.4</v>
      </c>
      <c r="Q1087">
        <v>9</v>
      </c>
      <c r="R1087" s="7" t="str">
        <f>IF(AllData[[#This Row],[Nitrate (PPM)]]&gt;2, "Very high", IF(AllData[[#This Row],[Nitrate (PPM)]]&gt;1, "High", IF(AllData[[#This Row],[Nitrate (PPM)]]&gt;0.5, "Some evidence", IF(AllData[[#This Row],[Nitrate (PPM)]]&gt;=0, "No evidence"))))</f>
        <v>Very high</v>
      </c>
      <c r="S1087" s="4">
        <v>0.95</v>
      </c>
      <c r="T1087" s="7" t="str">
        <f>IF(AllData[[#This Row],[Phosphate (PPM)]]&gt;0.5, "Very high", IF(AllData[[#This Row],[Phosphate (PPM)]]&gt;0.1, "High", IF(AllData[[#This Row],[Phosphate (PPM)]]&gt;0.05, "Some evidence", IF(AllData[[#This Row],[Phosphate (PPM)]]&lt;=0.05, "No Evidence", ""))))</f>
        <v>Very high</v>
      </c>
      <c r="U1087">
        <v>0</v>
      </c>
    </row>
    <row r="1088" spans="1:22" x14ac:dyDescent="0.25">
      <c r="A1088" t="s">
        <v>1511</v>
      </c>
      <c r="B1088" s="2">
        <v>45495</v>
      </c>
      <c r="C1088" s="2" t="str" cm="1">
        <f t="array" ref="C10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8">
        <f>YEAR(AllData[[#This Row],[Date]])</f>
        <v>2024</v>
      </c>
      <c r="E1088" s="1">
        <v>0.33333333333333331</v>
      </c>
      <c r="F1088" s="2" t="str">
        <f>IF(AND(AllData[[#This Row],[Time]]&lt;0.5, AllData[[#This Row],[Time]]&gt;0.17)=TRUE, "Morning", IF(AND(AllData[[#This Row],[Time]]&lt;0.75, AllData[[#This Row],[Time]]&gt;=0.5)=TRUE, "Afternoon", IF(AND(AllData[[#This Row],[Time]]&lt;1, AllData[[#This Row],[Time]]&gt;=0.75)=TRUE, "Evening", "Night")))</f>
        <v>Morning</v>
      </c>
      <c r="G1088" t="str">
        <f>_xlfn.XLOOKUP(AllData[[#This Row],[Location Name]], Locations[Location Name],Locations[Group As])</f>
        <v>Carrant M5 Bridge</v>
      </c>
      <c r="H1088" t="e" vm="1">
        <f>_xlfn.XLOOKUP(AllData[[#This Row],[Site Name]],LocationsKey[Site Name],LocationsKey[District])</f>
        <v>#VALUE!</v>
      </c>
      <c r="I1088" t="e" vm="1">
        <f>_xlfn.XLOOKUP(AllData[[#This Row],[Site Name]],LocationsKey[Site Name],LocationsKey[Town])</f>
        <v>#VALUE!</v>
      </c>
      <c r="J1088" t="str">
        <f>_xlfn.XLOOKUP(AllData[[#This Row],[Site Name]],LocationsKey[Site Name], LocationsKey[Waterway])</f>
        <v>Carrant</v>
      </c>
      <c r="K1088" t="s">
        <v>960</v>
      </c>
      <c r="N1088" t="s">
        <v>23</v>
      </c>
      <c r="O1088">
        <v>752</v>
      </c>
      <c r="P1088">
        <v>20.3</v>
      </c>
      <c r="Q1088">
        <v>7</v>
      </c>
      <c r="R1088" s="7" t="str">
        <f>IF(AllData[[#This Row],[Nitrate (PPM)]]&gt;2, "Very high", IF(AllData[[#This Row],[Nitrate (PPM)]]&gt;1, "High", IF(AllData[[#This Row],[Nitrate (PPM)]]&gt;0.5, "Some evidence", IF(AllData[[#This Row],[Nitrate (PPM)]]&gt;=0, "No evidence"))))</f>
        <v>Very high</v>
      </c>
      <c r="S1088" s="4">
        <v>1.57</v>
      </c>
      <c r="T1088" s="7" t="str">
        <f>IF(AllData[[#This Row],[Phosphate (PPM)]]&gt;0.5, "Very high", IF(AllData[[#This Row],[Phosphate (PPM)]]&gt;0.1, "High", IF(AllData[[#This Row],[Phosphate (PPM)]]&gt;0.05, "Some evidence", IF(AllData[[#This Row],[Phosphate (PPM)]]&lt;=0.05, "No Evidence", ""))))</f>
        <v>Very high</v>
      </c>
      <c r="U1088">
        <v>0</v>
      </c>
    </row>
    <row r="1089" spans="1:22" x14ac:dyDescent="0.25">
      <c r="A1089" t="s">
        <v>1515</v>
      </c>
      <c r="B1089" s="2">
        <v>45495</v>
      </c>
      <c r="C1089" s="2" t="str" cm="1">
        <f t="array" ref="C10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9">
        <f>YEAR(AllData[[#This Row],[Date]])</f>
        <v>2024</v>
      </c>
      <c r="E1089" s="1">
        <v>0.34375</v>
      </c>
      <c r="F1089" s="2" t="str">
        <f>IF(AND(AllData[[#This Row],[Time]]&lt;0.5, AllData[[#This Row],[Time]]&gt;0.17)=TRUE, "Morning", IF(AND(AllData[[#This Row],[Time]]&lt;0.75, AllData[[#This Row],[Time]]&gt;=0.5)=TRUE, "Afternoon", IF(AND(AllData[[#This Row],[Time]]&lt;1, AllData[[#This Row],[Time]]&gt;=0.75)=TRUE, "Evening", "Night")))</f>
        <v>Morning</v>
      </c>
      <c r="G1089" t="str">
        <f>_xlfn.XLOOKUP(AllData[[#This Row],[Location Name]], Locations[Location Name],Locations[Group As])</f>
        <v>Chipping Campden Lady J Gateway</v>
      </c>
      <c r="H1089" t="e" vm="23">
        <f>_xlfn.XLOOKUP(AllData[[#This Row],[Site Name]],LocationsKey[Site Name],LocationsKey[District])</f>
        <v>#VALUE!</v>
      </c>
      <c r="I1089" t="e" vm="24">
        <f>_xlfn.XLOOKUP(AllData[[#This Row],[Site Name]],LocationsKey[Site Name],LocationsKey[Town])</f>
        <v>#VALUE!</v>
      </c>
      <c r="J1089" t="str">
        <f>_xlfn.XLOOKUP(AllData[[#This Row],[Site Name]],LocationsKey[Site Name], LocationsKey[Waterway])</f>
        <v>Cam Brook</v>
      </c>
      <c r="K1089" t="s">
        <v>1476</v>
      </c>
      <c r="N1089" t="s">
        <v>66</v>
      </c>
      <c r="O1089">
        <v>458</v>
      </c>
      <c r="P1089">
        <v>17.8</v>
      </c>
      <c r="Q1089">
        <v>5</v>
      </c>
      <c r="R1089" s="7" t="str">
        <f>IF(AllData[[#This Row],[Nitrate (PPM)]]&gt;2, "Very high", IF(AllData[[#This Row],[Nitrate (PPM)]]&gt;1, "High", IF(AllData[[#This Row],[Nitrate (PPM)]]&gt;0.5, "Some evidence", IF(AllData[[#This Row],[Nitrate (PPM)]]&gt;=0, "No evidence"))))</f>
        <v>Very high</v>
      </c>
      <c r="S1089" s="4">
        <v>0.06</v>
      </c>
      <c r="T1089" s="7" t="str">
        <f>IF(AllData[[#This Row],[Phosphate (PPM)]]&gt;0.5, "Very high", IF(AllData[[#This Row],[Phosphate (PPM)]]&gt;0.1, "High", IF(AllData[[#This Row],[Phosphate (PPM)]]&gt;0.05, "Some evidence", IF(AllData[[#This Row],[Phosphate (PPM)]]&lt;=0.05, "No Evidence", ""))))</f>
        <v>Some evidence</v>
      </c>
      <c r="U1089">
        <v>0.11</v>
      </c>
    </row>
    <row r="1090" spans="1:22" x14ac:dyDescent="0.25">
      <c r="A1090" t="s">
        <v>1494</v>
      </c>
      <c r="B1090" s="2">
        <v>45495</v>
      </c>
      <c r="C1090" s="2" t="str" cm="1">
        <f t="array" ref="C10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0">
        <f>YEAR(AllData[[#This Row],[Date]])</f>
        <v>2024</v>
      </c>
      <c r="E1090" s="1">
        <v>0.36458333333333331</v>
      </c>
      <c r="F1090" s="2" t="str">
        <f>IF(AND(AllData[[#This Row],[Time]]&lt;0.5, AllData[[#This Row],[Time]]&gt;0.17)=TRUE, "Morning", IF(AND(AllData[[#This Row],[Time]]&lt;0.75, AllData[[#This Row],[Time]]&gt;=0.5)=TRUE, "Afternoon", IF(AND(AllData[[#This Row],[Time]]&lt;1, AllData[[#This Row],[Time]]&gt;=0.75)=TRUE, "Evening", "Night")))</f>
        <v>Morning</v>
      </c>
      <c r="G1090" t="str">
        <f>_xlfn.XLOOKUP(AllData[[#This Row],[Location Name]], Locations[Location Name],Locations[Group As])</f>
        <v>Chipping Campden Sewage Works</v>
      </c>
      <c r="H1090" t="e" vm="23">
        <f>_xlfn.XLOOKUP(AllData[[#This Row],[Site Name]],LocationsKey[Site Name],LocationsKey[District])</f>
        <v>#VALUE!</v>
      </c>
      <c r="I1090" t="e" vm="24">
        <f>_xlfn.XLOOKUP(AllData[[#This Row],[Site Name]],LocationsKey[Site Name],LocationsKey[Town])</f>
        <v>#VALUE!</v>
      </c>
      <c r="J1090" t="str">
        <f>_xlfn.XLOOKUP(AllData[[#This Row],[Site Name]],LocationsKey[Site Name], LocationsKey[Waterway])</f>
        <v>Cam Brook</v>
      </c>
      <c r="K1090" t="s">
        <v>1474</v>
      </c>
      <c r="N1090" t="s">
        <v>29</v>
      </c>
      <c r="O1090">
        <v>730</v>
      </c>
      <c r="P1090">
        <v>16.5</v>
      </c>
      <c r="Q1090">
        <v>2</v>
      </c>
      <c r="R1090" s="7" t="str">
        <f>IF(AllData[[#This Row],[Nitrate (PPM)]]&gt;2, "Very high", IF(AllData[[#This Row],[Nitrate (PPM)]]&gt;1, "High", IF(AllData[[#This Row],[Nitrate (PPM)]]&gt;0.5, "Some evidence", IF(AllData[[#This Row],[Nitrate (PPM)]]&gt;=0, "No evidence"))))</f>
        <v>High</v>
      </c>
      <c r="S1090" s="4">
        <v>0.71</v>
      </c>
      <c r="T1090" s="7" t="str">
        <f>IF(AllData[[#This Row],[Phosphate (PPM)]]&gt;0.5, "Very high", IF(AllData[[#This Row],[Phosphate (PPM)]]&gt;0.1, "High", IF(AllData[[#This Row],[Phosphate (PPM)]]&gt;0.05, "Some evidence", IF(AllData[[#This Row],[Phosphate (PPM)]]&lt;=0.05, "No Evidence", ""))))</f>
        <v>Very high</v>
      </c>
      <c r="U1090">
        <v>0.18</v>
      </c>
    </row>
    <row r="1091" spans="1:22" x14ac:dyDescent="0.25">
      <c r="A1091" t="s">
        <v>1826</v>
      </c>
      <c r="B1091" s="2">
        <v>45495</v>
      </c>
      <c r="C1091" s="2" t="str" cm="1">
        <f t="array" ref="C10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1">
        <f>YEAR(AllData[[#This Row],[Date]])</f>
        <v>2024</v>
      </c>
      <c r="E1091" s="1">
        <v>0.63888888888888884</v>
      </c>
      <c r="F1091" s="2" t="str">
        <f>IF(AND(AllData[[#This Row],[Time]]&lt;0.5, AllData[[#This Row],[Time]]&gt;0.17)=TRUE, "Morning", IF(AND(AllData[[#This Row],[Time]]&lt;0.75, AllData[[#This Row],[Time]]&gt;=0.5)=TRUE, "Afternoon", IF(AND(AllData[[#This Row],[Time]]&lt;1, AllData[[#This Row],[Time]]&gt;=0.75)=TRUE, "Evening", "Night")))</f>
        <v>Afternoon</v>
      </c>
      <c r="G1091" t="str">
        <f>_xlfn.XLOOKUP(AllData[[#This Row],[Location Name]], Locations[Location Name],Locations[Group As])</f>
        <v>The Ford, Langley</v>
      </c>
      <c r="H1091" t="e" vm="2">
        <f>_xlfn.XLOOKUP(AllData[[#This Row],[Site Name]],LocationsKey[Site Name],LocationsKey[District])</f>
        <v>#VALUE!</v>
      </c>
      <c r="I1091" t="str">
        <f>_xlfn.XLOOKUP(AllData[[#This Row],[Site Name]],LocationsKey[Site Name],LocationsKey[Town])</f>
        <v>Langley</v>
      </c>
      <c r="J1091" t="str">
        <f>_xlfn.XLOOKUP(AllData[[#This Row],[Site Name]],LocationsKey[Site Name], LocationsKey[Waterway])</f>
        <v>Langley Ford</v>
      </c>
      <c r="K1091" t="s">
        <v>557</v>
      </c>
      <c r="L1091">
        <v>52.259782000000001</v>
      </c>
      <c r="M1091">
        <v>-1.7185280000000001</v>
      </c>
      <c r="N1091" t="s">
        <v>29</v>
      </c>
      <c r="O1091">
        <v>854</v>
      </c>
      <c r="P1091">
        <v>16.899999999999999</v>
      </c>
      <c r="Q1091">
        <v>2</v>
      </c>
      <c r="R1091" s="7" t="str">
        <f>IF(AllData[[#This Row],[Nitrate (PPM)]]&gt;2, "Very high", IF(AllData[[#This Row],[Nitrate (PPM)]]&gt;1, "High", IF(AllData[[#This Row],[Nitrate (PPM)]]&gt;0.5, "Some evidence", IF(AllData[[#This Row],[Nitrate (PPM)]]&gt;=0, "No evidence"))))</f>
        <v>High</v>
      </c>
      <c r="S1091" s="4">
        <v>0.69</v>
      </c>
      <c r="T1091" s="7" t="str">
        <f>IF(AllData[[#This Row],[Phosphate (PPM)]]&gt;0.5, "Very high", IF(AllData[[#This Row],[Phosphate (PPM)]]&gt;0.1, "High", IF(AllData[[#This Row],[Phosphate (PPM)]]&gt;0.05, "Some evidence", IF(AllData[[#This Row],[Phosphate (PPM)]]&lt;=0.05, "No Evidence", ""))))</f>
        <v>Very high</v>
      </c>
      <c r="U1091">
        <v>0.06</v>
      </c>
    </row>
    <row r="1092" spans="1:22" x14ac:dyDescent="0.25">
      <c r="A1092" t="s">
        <v>1510</v>
      </c>
      <c r="B1092" s="2">
        <v>45496</v>
      </c>
      <c r="C1092" s="2" t="str" cm="1">
        <f t="array" ref="C10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2">
        <f>YEAR(AllData[[#This Row],[Date]])</f>
        <v>2024</v>
      </c>
      <c r="E1092" s="1">
        <v>0.39374999999999999</v>
      </c>
      <c r="F1092" s="2" t="str">
        <f>IF(AND(AllData[[#This Row],[Time]]&lt;0.5, AllData[[#This Row],[Time]]&gt;0.17)=TRUE, "Morning", IF(AND(AllData[[#This Row],[Time]]&lt;0.75, AllData[[#This Row],[Time]]&gt;=0.5)=TRUE, "Afternoon", IF(AND(AllData[[#This Row],[Time]]&lt;1, AllData[[#This Row],[Time]]&gt;=0.75)=TRUE, "Evening", "Night")))</f>
        <v>Morning</v>
      </c>
      <c r="G1092" t="str">
        <f>_xlfn.XLOOKUP(AllData[[#This Row],[Location Name]], Locations[Location Name],Locations[Group As])</f>
        <v>Stour Stretton-on-Fosse Village</v>
      </c>
      <c r="H1092" t="e" vm="2">
        <f>_xlfn.XLOOKUP(AllData[[#This Row],[Site Name]],LocationsKey[Site Name],LocationsKey[District])</f>
        <v>#VALUE!</v>
      </c>
      <c r="I1092" t="e" vm="14">
        <f>_xlfn.XLOOKUP(AllData[[#This Row],[Site Name]],LocationsKey[Site Name],LocationsKey[Town])</f>
        <v>#VALUE!</v>
      </c>
      <c r="J1092" t="str">
        <f>_xlfn.XLOOKUP(AllData[[#This Row],[Site Name]],LocationsKey[Site Name], LocationsKey[Waterway])</f>
        <v>Stour</v>
      </c>
      <c r="K1092" t="s">
        <v>544</v>
      </c>
      <c r="L1092">
        <v>52.046522000000003</v>
      </c>
      <c r="M1092">
        <v>-1.6733830000000001</v>
      </c>
      <c r="N1092" t="s">
        <v>66</v>
      </c>
      <c r="O1092">
        <v>687</v>
      </c>
      <c r="P1092">
        <v>16.8</v>
      </c>
      <c r="Q1092">
        <v>0.5</v>
      </c>
      <c r="R1092" s="7" t="str">
        <f>IF(AllData[[#This Row],[Nitrate (PPM)]]&gt;2, "Very high", IF(AllData[[#This Row],[Nitrate (PPM)]]&gt;1, "High", IF(AllData[[#This Row],[Nitrate (PPM)]]&gt;0.5, "Some evidence", IF(AllData[[#This Row],[Nitrate (PPM)]]&gt;=0, "No evidence"))))</f>
        <v>No evidence</v>
      </c>
      <c r="S1092" s="4">
        <v>2.5</v>
      </c>
      <c r="T1092" s="7" t="str">
        <f>IF(AllData[[#This Row],[Phosphate (PPM)]]&gt;0.5, "Very high", IF(AllData[[#This Row],[Phosphate (PPM)]]&gt;0.1, "High", IF(AllData[[#This Row],[Phosphate (PPM)]]&gt;0.05, "Some evidence", IF(AllData[[#This Row],[Phosphate (PPM)]]&lt;=0.05, "No Evidence", ""))))</f>
        <v>Very high</v>
      </c>
      <c r="U1092">
        <v>0.15</v>
      </c>
      <c r="V1092" t="s">
        <v>1177</v>
      </c>
    </row>
    <row r="1093" spans="1:22" x14ac:dyDescent="0.25">
      <c r="A1093" t="s">
        <v>1509</v>
      </c>
      <c r="B1093" s="2">
        <v>45496</v>
      </c>
      <c r="C1093" s="2" t="str" cm="1">
        <f t="array" ref="C10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3">
        <f>YEAR(AllData[[#This Row],[Date]])</f>
        <v>2024</v>
      </c>
      <c r="E1093" s="1">
        <v>0.40486111111111112</v>
      </c>
      <c r="F1093" s="2" t="str">
        <f>IF(AND(AllData[[#This Row],[Time]]&lt;0.5, AllData[[#This Row],[Time]]&gt;0.17)=TRUE, "Morning", IF(AND(AllData[[#This Row],[Time]]&lt;0.75, AllData[[#This Row],[Time]]&gt;=0.5)=TRUE, "Afternoon", IF(AND(AllData[[#This Row],[Time]]&lt;1, AllData[[#This Row],[Time]]&gt;=0.75)=TRUE, "Evening", "Night")))</f>
        <v>Morning</v>
      </c>
      <c r="G1093" t="str">
        <f>_xlfn.XLOOKUP(AllData[[#This Row],[Location Name]], Locations[Location Name],Locations[Group As])</f>
        <v>Stour Stretton-on-Fosse Sewage Works</v>
      </c>
      <c r="H1093" t="e" vm="2">
        <f>_xlfn.XLOOKUP(AllData[[#This Row],[Site Name]],LocationsKey[Site Name],LocationsKey[District])</f>
        <v>#VALUE!</v>
      </c>
      <c r="I1093" t="e" vm="14">
        <f>_xlfn.XLOOKUP(AllData[[#This Row],[Site Name]],LocationsKey[Site Name],LocationsKey[Town])</f>
        <v>#VALUE!</v>
      </c>
      <c r="J1093" t="str">
        <f>_xlfn.XLOOKUP(AllData[[#This Row],[Site Name]],LocationsKey[Site Name], LocationsKey[Waterway])</f>
        <v>Stour</v>
      </c>
      <c r="K1093" t="s">
        <v>335</v>
      </c>
      <c r="L1093">
        <v>52.045589999999997</v>
      </c>
      <c r="M1093">
        <v>-1.67197</v>
      </c>
      <c r="N1093" t="s">
        <v>29</v>
      </c>
      <c r="O1093">
        <v>869</v>
      </c>
      <c r="P1093">
        <v>17.3</v>
      </c>
      <c r="Q1093">
        <v>5</v>
      </c>
      <c r="R1093" s="7" t="str">
        <f>IF(AllData[[#This Row],[Nitrate (PPM)]]&gt;2, "Very high", IF(AllData[[#This Row],[Nitrate (PPM)]]&gt;1, "High", IF(AllData[[#This Row],[Nitrate (PPM)]]&gt;0.5, "Some evidence", IF(AllData[[#This Row],[Nitrate (PPM)]]&gt;=0, "No evidence"))))</f>
        <v>Very high</v>
      </c>
      <c r="S1093" s="4">
        <v>2.5</v>
      </c>
      <c r="T1093" s="7" t="str">
        <f>IF(AllData[[#This Row],[Phosphate (PPM)]]&gt;0.5, "Very high", IF(AllData[[#This Row],[Phosphate (PPM)]]&gt;0.1, "High", IF(AllData[[#This Row],[Phosphate (PPM)]]&gt;0.05, "Some evidence", IF(AllData[[#This Row],[Phosphate (PPM)]]&lt;=0.05, "No Evidence", ""))))</f>
        <v>Very high</v>
      </c>
      <c r="U1093">
        <v>0.3</v>
      </c>
      <c r="V1093" t="s">
        <v>1177</v>
      </c>
    </row>
    <row r="1094" spans="1:22" x14ac:dyDescent="0.25">
      <c r="A1094" t="s">
        <v>1507</v>
      </c>
      <c r="B1094" s="2">
        <v>45497</v>
      </c>
      <c r="C1094" s="2" t="str" cm="1">
        <f t="array" ref="C10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4">
        <f>YEAR(AllData[[#This Row],[Date]])</f>
        <v>2024</v>
      </c>
      <c r="E1094" s="1">
        <v>0.48125000000000001</v>
      </c>
      <c r="F1094" s="2" t="str">
        <f>IF(AND(AllData[[#This Row],[Time]]&lt;0.5, AllData[[#This Row],[Time]]&gt;0.17)=TRUE, "Morning", IF(AND(AllData[[#This Row],[Time]]&lt;0.75, AllData[[#This Row],[Time]]&gt;=0.5)=TRUE, "Afternoon", IF(AND(AllData[[#This Row],[Time]]&lt;1, AllData[[#This Row],[Time]]&gt;=0.75)=TRUE, "Evening", "Night")))</f>
        <v>Morning</v>
      </c>
      <c r="G1094" t="str">
        <f>_xlfn.XLOOKUP(AllData[[#This Row],[Location Name]], Locations[Location Name],Locations[Group As])</f>
        <v>Carrant Mitton Path</v>
      </c>
      <c r="H1094" t="e" vm="1">
        <f>_xlfn.XLOOKUP(AllData[[#This Row],[Site Name]],LocationsKey[Site Name],LocationsKey[District])</f>
        <v>#VALUE!</v>
      </c>
      <c r="I1094" t="e" vm="1">
        <f>_xlfn.XLOOKUP(AllData[[#This Row],[Site Name]],LocationsKey[Site Name],LocationsKey[Town])</f>
        <v>#VALUE!</v>
      </c>
      <c r="J1094" t="str">
        <f>_xlfn.XLOOKUP(AllData[[#This Row],[Site Name]],LocationsKey[Site Name], LocationsKey[Waterway])</f>
        <v>Carrant</v>
      </c>
      <c r="K1094" t="s">
        <v>958</v>
      </c>
      <c r="L1094">
        <v>51.999848</v>
      </c>
      <c r="M1094">
        <v>-2.1410930000000001</v>
      </c>
      <c r="N1094" t="s">
        <v>23</v>
      </c>
      <c r="O1094">
        <v>675</v>
      </c>
      <c r="P1094">
        <v>19.100000000000001</v>
      </c>
      <c r="Q1094">
        <v>4</v>
      </c>
      <c r="R1094" s="7" t="str">
        <f>IF(AllData[[#This Row],[Nitrate (PPM)]]&gt;2, "Very high", IF(AllData[[#This Row],[Nitrate (PPM)]]&gt;1, "High", IF(AllData[[#This Row],[Nitrate (PPM)]]&gt;0.5, "Some evidence", IF(AllData[[#This Row],[Nitrate (PPM)]]&gt;=0, "No evidence"))))</f>
        <v>Very high</v>
      </c>
      <c r="S1094" s="4">
        <v>0.62</v>
      </c>
      <c r="T1094" s="7" t="str">
        <f>IF(AllData[[#This Row],[Phosphate (PPM)]]&gt;0.5, "Very high", IF(AllData[[#This Row],[Phosphate (PPM)]]&gt;0.1, "High", IF(AllData[[#This Row],[Phosphate (PPM)]]&gt;0.05, "Some evidence", IF(AllData[[#This Row],[Phosphate (PPM)]]&lt;=0.05, "No Evidence", ""))))</f>
        <v>Very high</v>
      </c>
      <c r="U1094">
        <v>0</v>
      </c>
    </row>
    <row r="1095" spans="1:22" x14ac:dyDescent="0.25">
      <c r="A1095" t="s">
        <v>1506</v>
      </c>
      <c r="B1095" s="2">
        <v>45497</v>
      </c>
      <c r="C1095" s="2" t="str" cm="1">
        <f t="array" ref="C10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5">
        <f>YEAR(AllData[[#This Row],[Date]])</f>
        <v>2024</v>
      </c>
      <c r="E1095" s="1">
        <v>0.67708333333333337</v>
      </c>
      <c r="F1095" s="2" t="str">
        <f>IF(AND(AllData[[#This Row],[Time]]&lt;0.5, AllData[[#This Row],[Time]]&gt;0.17)=TRUE, "Morning", IF(AND(AllData[[#This Row],[Time]]&lt;0.75, AllData[[#This Row],[Time]]&gt;=0.5)=TRUE, "Afternoon", IF(AND(AllData[[#This Row],[Time]]&lt;1, AllData[[#This Row],[Time]]&gt;=0.75)=TRUE, "Evening", "Night")))</f>
        <v>Afternoon</v>
      </c>
      <c r="G1095" t="str">
        <f>_xlfn.XLOOKUP(AllData[[#This Row],[Location Name]], Locations[Location Name],Locations[Group As])</f>
        <v>Alveston Weir</v>
      </c>
      <c r="H1095" t="e" vm="2">
        <f>_xlfn.XLOOKUP(AllData[[#This Row],[Site Name]],LocationsKey[Site Name],LocationsKey[District])</f>
        <v>#VALUE!</v>
      </c>
      <c r="I1095" t="e" vm="13">
        <f>_xlfn.XLOOKUP(AllData[[#This Row],[Site Name]],LocationsKey[Site Name],LocationsKey[Town])</f>
        <v>#VALUE!</v>
      </c>
      <c r="J1095" t="str">
        <f>_xlfn.XLOOKUP(AllData[[#This Row],[Site Name]],LocationsKey[Site Name], LocationsKey[Waterway])</f>
        <v>Avon</v>
      </c>
      <c r="K1095" t="s">
        <v>286</v>
      </c>
      <c r="L1095">
        <v>52.212288999999998</v>
      </c>
      <c r="M1095">
        <v>-1.660452</v>
      </c>
      <c r="N1095" t="s">
        <v>29</v>
      </c>
      <c r="O1095">
        <v>707</v>
      </c>
      <c r="P1095">
        <v>24.7</v>
      </c>
      <c r="Q1095">
        <v>5</v>
      </c>
      <c r="R1095" s="7" t="str">
        <f>IF(AllData[[#This Row],[Nitrate (PPM)]]&gt;2, "Very high", IF(AllData[[#This Row],[Nitrate (PPM)]]&gt;1, "High", IF(AllData[[#This Row],[Nitrate (PPM)]]&gt;0.5, "Some evidence", IF(AllData[[#This Row],[Nitrate (PPM)]]&gt;=0, "No evidence"))))</f>
        <v>Very high</v>
      </c>
      <c r="S1095" s="4">
        <v>0.65</v>
      </c>
      <c r="T1095" s="7" t="str">
        <f>IF(AllData[[#This Row],[Phosphate (PPM)]]&gt;0.5, "Very high", IF(AllData[[#This Row],[Phosphate (PPM)]]&gt;0.1, "High", IF(AllData[[#This Row],[Phosphate (PPM)]]&gt;0.05, "Some evidence", IF(AllData[[#This Row],[Phosphate (PPM)]]&lt;=0.05, "No Evidence", ""))))</f>
        <v>Very high</v>
      </c>
      <c r="U1095">
        <v>-0.5</v>
      </c>
    </row>
    <row r="1096" spans="1:22" x14ac:dyDescent="0.25">
      <c r="A1096" t="s">
        <v>1504</v>
      </c>
      <c r="B1096" s="2">
        <v>45497</v>
      </c>
      <c r="C1096" s="2" t="str" cm="1">
        <f t="array" ref="C10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6">
        <f>YEAR(AllData[[#This Row],[Date]])</f>
        <v>2024</v>
      </c>
      <c r="E1096" s="1">
        <v>0.69374999999999998</v>
      </c>
      <c r="F1096" s="2" t="str">
        <f>IF(AND(AllData[[#This Row],[Time]]&lt;0.5, AllData[[#This Row],[Time]]&gt;0.17)=TRUE, "Morning", IF(AND(AllData[[#This Row],[Time]]&lt;0.75, AllData[[#This Row],[Time]]&gt;=0.5)=TRUE, "Afternoon", IF(AND(AllData[[#This Row],[Time]]&lt;1, AllData[[#This Row],[Time]]&gt;=0.75)=TRUE, "Evening", "Night")))</f>
        <v>Afternoon</v>
      </c>
      <c r="G1096" t="str">
        <f>_xlfn.XLOOKUP(AllData[[#This Row],[Location Name]], Locations[Location Name],Locations[Group As])</f>
        <v>Swiffen Bank</v>
      </c>
      <c r="H1096" t="e" vm="2">
        <f>_xlfn.XLOOKUP(AllData[[#This Row],[Site Name]],LocationsKey[Site Name],LocationsKey[District])</f>
        <v>#VALUE!</v>
      </c>
      <c r="I1096" t="e" vm="13">
        <f>_xlfn.XLOOKUP(AllData[[#This Row],[Site Name]],LocationsKey[Site Name],LocationsKey[Town])</f>
        <v>#VALUE!</v>
      </c>
      <c r="J1096" t="str">
        <f>_xlfn.XLOOKUP(AllData[[#This Row],[Site Name]],LocationsKey[Site Name], LocationsKey[Waterway])</f>
        <v>Avon</v>
      </c>
      <c r="K1096" t="s">
        <v>284</v>
      </c>
      <c r="L1096">
        <v>52.206488</v>
      </c>
      <c r="M1096">
        <v>-1.653894</v>
      </c>
      <c r="N1096" t="s">
        <v>29</v>
      </c>
      <c r="O1096">
        <v>710</v>
      </c>
      <c r="P1096">
        <v>20.399999999999999</v>
      </c>
      <c r="Q1096">
        <v>10</v>
      </c>
      <c r="R1096" s="7" t="str">
        <f>IF(AllData[[#This Row],[Nitrate (PPM)]]&gt;2, "Very high", IF(AllData[[#This Row],[Nitrate (PPM)]]&gt;1, "High", IF(AllData[[#This Row],[Nitrate (PPM)]]&gt;0.5, "Some evidence", IF(AllData[[#This Row],[Nitrate (PPM)]]&gt;=0, "No evidence"))))</f>
        <v>Very high</v>
      </c>
      <c r="S1096" s="4">
        <v>0.56000000000000005</v>
      </c>
      <c r="T1096" s="7" t="str">
        <f>IF(AllData[[#This Row],[Phosphate (PPM)]]&gt;0.5, "Very high", IF(AllData[[#This Row],[Phosphate (PPM)]]&gt;0.1, "High", IF(AllData[[#This Row],[Phosphate (PPM)]]&gt;0.05, "Some evidence", IF(AllData[[#This Row],[Phosphate (PPM)]]&lt;=0.05, "No Evidence", ""))))</f>
        <v>Very high</v>
      </c>
      <c r="U1096">
        <v>0</v>
      </c>
      <c r="V1096" t="s">
        <v>1505</v>
      </c>
    </row>
    <row r="1097" spans="1:22" x14ac:dyDescent="0.25">
      <c r="A1097" t="s">
        <v>1499</v>
      </c>
      <c r="B1097" s="2">
        <v>45498</v>
      </c>
      <c r="C1097" s="2" t="str" cm="1">
        <f t="array" ref="C10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7">
        <f>YEAR(AllData[[#This Row],[Date]])</f>
        <v>2024</v>
      </c>
      <c r="E1097" s="1">
        <v>0.43472222222222223</v>
      </c>
      <c r="F1097" s="2" t="str">
        <f>IF(AND(AllData[[#This Row],[Time]]&lt;0.5, AllData[[#This Row],[Time]]&gt;0.17)=TRUE, "Morning", IF(AND(AllData[[#This Row],[Time]]&lt;0.75, AllData[[#This Row],[Time]]&gt;=0.5)=TRUE, "Afternoon", IF(AND(AllData[[#This Row],[Time]]&lt;1, AllData[[#This Row],[Time]]&gt;=0.75)=TRUE, "Evening", "Night")))</f>
        <v>Morning</v>
      </c>
      <c r="G1097" t="str">
        <f>_xlfn.XLOOKUP(AllData[[#This Row],[Location Name]], Locations[Location Name],Locations[Group As])</f>
        <v>Bredon Marina</v>
      </c>
      <c r="H1097" t="e" vm="1">
        <f>_xlfn.XLOOKUP(AllData[[#This Row],[Site Name]],LocationsKey[Site Name],LocationsKey[District])</f>
        <v>#VALUE!</v>
      </c>
      <c r="I1097" t="e" vm="25">
        <f>_xlfn.XLOOKUP(AllData[[#This Row],[Site Name]],LocationsKey[Site Name],LocationsKey[Town])</f>
        <v>#VALUE!</v>
      </c>
      <c r="J1097" t="str">
        <f>_xlfn.XLOOKUP(AllData[[#This Row],[Site Name]],LocationsKey[Site Name], LocationsKey[Waterway])</f>
        <v>Avon</v>
      </c>
      <c r="K1097" t="s">
        <v>1500</v>
      </c>
      <c r="N1097" t="s">
        <v>29</v>
      </c>
      <c r="O1097">
        <v>818</v>
      </c>
      <c r="P1097">
        <v>21.5</v>
      </c>
      <c r="Q1097">
        <v>15</v>
      </c>
      <c r="R1097" s="7" t="str">
        <f>IF(AllData[[#This Row],[Nitrate (PPM)]]&gt;2, "Very high", IF(AllData[[#This Row],[Nitrate (PPM)]]&gt;1, "High", IF(AllData[[#This Row],[Nitrate (PPM)]]&gt;0.5, "Some evidence", IF(AllData[[#This Row],[Nitrate (PPM)]]&gt;=0, "No evidence"))))</f>
        <v>Very high</v>
      </c>
      <c r="S1097" s="4">
        <v>0.83</v>
      </c>
      <c r="T1097" s="7" t="str">
        <f>IF(AllData[[#This Row],[Phosphate (PPM)]]&gt;0.5, "Very high", IF(AllData[[#This Row],[Phosphate (PPM)]]&gt;0.1, "High", IF(AllData[[#This Row],[Phosphate (PPM)]]&gt;0.05, "Some evidence", IF(AllData[[#This Row],[Phosphate (PPM)]]&lt;=0.05, "No Evidence", ""))))</f>
        <v>Very high</v>
      </c>
      <c r="U1097">
        <v>1</v>
      </c>
    </row>
    <row r="1098" spans="1:22" x14ac:dyDescent="0.25">
      <c r="A1098" t="s">
        <v>1477</v>
      </c>
      <c r="B1098" s="2">
        <v>45498</v>
      </c>
      <c r="C1098" s="2" t="str" cm="1">
        <f t="array" ref="C10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8">
        <f>YEAR(AllData[[#This Row],[Date]])</f>
        <v>2024</v>
      </c>
      <c r="E1098" s="1">
        <v>0.69444444444444442</v>
      </c>
      <c r="F1098" s="2" t="str">
        <f>IF(AND(AllData[[#This Row],[Time]]&lt;0.5, AllData[[#This Row],[Time]]&gt;0.17)=TRUE, "Morning", IF(AND(AllData[[#This Row],[Time]]&lt;0.75, AllData[[#This Row],[Time]]&gt;=0.5)=TRUE, "Afternoon", IF(AND(AllData[[#This Row],[Time]]&lt;1, AllData[[#This Row],[Time]]&gt;=0.75)=TRUE, "Evening", "Night")))</f>
        <v>Afternoon</v>
      </c>
      <c r="G1098" t="str">
        <f>_xlfn.XLOOKUP(AllData[[#This Row],[Location Name]], Locations[Location Name],Locations[Group As])</f>
        <v>Stour Willington</v>
      </c>
      <c r="H1098" t="e" vm="2">
        <f>_xlfn.XLOOKUP(AllData[[#This Row],[Site Name]],LocationsKey[Site Name],LocationsKey[District])</f>
        <v>#VALUE!</v>
      </c>
      <c r="I1098" t="str">
        <f>_xlfn.XLOOKUP(AllData[[#This Row],[Site Name]],LocationsKey[Site Name],LocationsKey[Town])</f>
        <v>Willington</v>
      </c>
      <c r="J1098" t="str">
        <f>_xlfn.XLOOKUP(AllData[[#This Row],[Site Name]],LocationsKey[Site Name], LocationsKey[Waterway])</f>
        <v>Stour</v>
      </c>
      <c r="K1098" t="s">
        <v>517</v>
      </c>
      <c r="L1098">
        <v>52.053545</v>
      </c>
      <c r="M1098">
        <v>-1.620147</v>
      </c>
      <c r="N1098" t="s">
        <v>23</v>
      </c>
      <c r="O1098">
        <v>543</v>
      </c>
      <c r="P1098">
        <v>18.100000000000001</v>
      </c>
      <c r="Q1098">
        <v>2</v>
      </c>
      <c r="R1098" s="7" t="str">
        <f>IF(AllData[[#This Row],[Nitrate (PPM)]]&gt;2, "Very high", IF(AllData[[#This Row],[Nitrate (PPM)]]&gt;1, "High", IF(AllData[[#This Row],[Nitrate (PPM)]]&gt;0.5, "Some evidence", IF(AllData[[#This Row],[Nitrate (PPM)]]&gt;=0, "No evidence"))))</f>
        <v>High</v>
      </c>
      <c r="S1098" s="4">
        <v>0.44</v>
      </c>
      <c r="T1098" s="7" t="str">
        <f>IF(AllData[[#This Row],[Phosphate (PPM)]]&gt;0.5, "Very high", IF(AllData[[#This Row],[Phosphate (PPM)]]&gt;0.1, "High", IF(AllData[[#This Row],[Phosphate (PPM)]]&gt;0.05, "Some evidence", IF(AllData[[#This Row],[Phosphate (PPM)]]&lt;=0.05, "No Evidence", ""))))</f>
        <v>High</v>
      </c>
      <c r="U1098">
        <v>0.5</v>
      </c>
    </row>
    <row r="1099" spans="1:22" x14ac:dyDescent="0.25">
      <c r="A1099" t="s">
        <v>1491</v>
      </c>
      <c r="B1099" s="2">
        <v>45498</v>
      </c>
      <c r="C1099" s="2" t="str" cm="1">
        <f t="array" ref="C10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9">
        <f>YEAR(AllData[[#This Row],[Date]])</f>
        <v>2024</v>
      </c>
      <c r="E1099" s="1">
        <v>0.72916666666666663</v>
      </c>
      <c r="F1099" s="2" t="str">
        <f>IF(AND(AllData[[#This Row],[Time]]&lt;0.5, AllData[[#This Row],[Time]]&gt;0.17)=TRUE, "Morning", IF(AND(AllData[[#This Row],[Time]]&lt;0.75, AllData[[#This Row],[Time]]&gt;=0.5)=TRUE, "Afternoon", IF(AND(AllData[[#This Row],[Time]]&lt;1, AllData[[#This Row],[Time]]&gt;=0.75)=TRUE, "Evening", "Night")))</f>
        <v>Afternoon</v>
      </c>
      <c r="G1099" t="str">
        <f>_xlfn.XLOOKUP(AllData[[#This Row],[Location Name]], Locations[Location Name],Locations[Group As])</f>
        <v>Swilgate</v>
      </c>
      <c r="H1099" t="e" vm="1">
        <f>_xlfn.XLOOKUP(AllData[[#This Row],[Site Name]],LocationsKey[Site Name],LocationsKey[District])</f>
        <v>#VALUE!</v>
      </c>
      <c r="I1099" t="e" vm="1">
        <f>_xlfn.XLOOKUP(AllData[[#This Row],[Site Name]],LocationsKey[Site Name],LocationsKey[Town])</f>
        <v>#VALUE!</v>
      </c>
      <c r="J1099" t="str">
        <f>_xlfn.XLOOKUP(AllData[[#This Row],[Site Name]],LocationsKey[Site Name], LocationsKey[Waterway])</f>
        <v>Swilgate</v>
      </c>
      <c r="K1099" t="s">
        <v>84</v>
      </c>
      <c r="N1099" t="s">
        <v>23</v>
      </c>
      <c r="O1099">
        <v>890</v>
      </c>
      <c r="P1099">
        <v>19.7</v>
      </c>
      <c r="Q1099">
        <v>4</v>
      </c>
      <c r="R1099" s="7" t="str">
        <f>IF(AllData[[#This Row],[Nitrate (PPM)]]&gt;2, "Very high", IF(AllData[[#This Row],[Nitrate (PPM)]]&gt;1, "High", IF(AllData[[#This Row],[Nitrate (PPM)]]&gt;0.5, "Some evidence", IF(AllData[[#This Row],[Nitrate (PPM)]]&gt;=0, "No evidence"))))</f>
        <v>Very high</v>
      </c>
      <c r="S1099" s="4">
        <v>0.94</v>
      </c>
      <c r="T1099" s="7" t="str">
        <f>IF(AllData[[#This Row],[Phosphate (PPM)]]&gt;0.5, "Very high", IF(AllData[[#This Row],[Phosphate (PPM)]]&gt;0.1, "High", IF(AllData[[#This Row],[Phosphate (PPM)]]&gt;0.05, "Some evidence", IF(AllData[[#This Row],[Phosphate (PPM)]]&lt;=0.05, "No Evidence", ""))))</f>
        <v>Very high</v>
      </c>
      <c r="U1099">
        <v>0</v>
      </c>
    </row>
    <row r="1100" spans="1:22" x14ac:dyDescent="0.25">
      <c r="A1100" t="s">
        <v>1493</v>
      </c>
      <c r="B1100" s="2">
        <v>45498</v>
      </c>
      <c r="C1100" s="2" t="str" cm="1">
        <f t="array" ref="C11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0">
        <f>YEAR(AllData[[#This Row],[Date]])</f>
        <v>2024</v>
      </c>
      <c r="E1100" s="1">
        <v>0.84027777777777779</v>
      </c>
      <c r="F1100" s="2" t="str">
        <f>IF(AND(AllData[[#This Row],[Time]]&lt;0.5, AllData[[#This Row],[Time]]&gt;0.17)=TRUE, "Morning", IF(AND(AllData[[#This Row],[Time]]&lt;0.75, AllData[[#This Row],[Time]]&gt;=0.5)=TRUE, "Afternoon", IF(AND(AllData[[#This Row],[Time]]&lt;1, AllData[[#This Row],[Time]]&gt;=0.75)=TRUE, "Evening", "Night")))</f>
        <v>Evening</v>
      </c>
      <c r="G1100" t="str">
        <f>_xlfn.XLOOKUP(AllData[[#This Row],[Location Name]], Locations[Location Name],Locations[Group As])</f>
        <v>Abbey Mill</v>
      </c>
      <c r="H1100" t="e" vm="1">
        <f>_xlfn.XLOOKUP(AllData[[#This Row],[Site Name]],LocationsKey[Site Name],LocationsKey[District])</f>
        <v>#VALUE!</v>
      </c>
      <c r="I1100" t="e" vm="1">
        <f>_xlfn.XLOOKUP(AllData[[#This Row],[Site Name]],LocationsKey[Site Name],LocationsKey[Town])</f>
        <v>#VALUE!</v>
      </c>
      <c r="J1100" t="str">
        <f>_xlfn.XLOOKUP(AllData[[#This Row],[Site Name]],LocationsKey[Site Name], LocationsKey[Waterway])</f>
        <v>Avon</v>
      </c>
      <c r="K1100" t="s">
        <v>25</v>
      </c>
      <c r="L1100">
        <v>51.991379000000002</v>
      </c>
      <c r="M1100">
        <v>-2.1627969999999999</v>
      </c>
      <c r="N1100" t="s">
        <v>23</v>
      </c>
      <c r="O1100">
        <v>892</v>
      </c>
      <c r="P1100">
        <v>20.7</v>
      </c>
      <c r="Q1100">
        <v>7</v>
      </c>
      <c r="R1100" s="7" t="str">
        <f>IF(AllData[[#This Row],[Nitrate (PPM)]]&gt;2, "Very high", IF(AllData[[#This Row],[Nitrate (PPM)]]&gt;1, "High", IF(AllData[[#This Row],[Nitrate (PPM)]]&gt;0.5, "Some evidence", IF(AllData[[#This Row],[Nitrate (PPM)]]&gt;=0, "No evidence"))))</f>
        <v>Very high</v>
      </c>
      <c r="S1100" s="4">
        <v>0.94</v>
      </c>
      <c r="T1100" s="7" t="str">
        <f>IF(AllData[[#This Row],[Phosphate (PPM)]]&gt;0.5, "Very high", IF(AllData[[#This Row],[Phosphate (PPM)]]&gt;0.1, "High", IF(AllData[[#This Row],[Phosphate (PPM)]]&gt;0.05, "Some evidence", IF(AllData[[#This Row],[Phosphate (PPM)]]&lt;=0.05, "No Evidence", ""))))</f>
        <v>Very high</v>
      </c>
      <c r="U1100">
        <v>0.5</v>
      </c>
    </row>
    <row r="1101" spans="1:22" x14ac:dyDescent="0.25">
      <c r="A1101" t="s">
        <v>1492</v>
      </c>
      <c r="B1101" s="2">
        <v>45499</v>
      </c>
      <c r="C1101" s="2" t="str" cm="1">
        <f t="array" ref="C11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1">
        <f>YEAR(AllData[[#This Row],[Date]])</f>
        <v>2024</v>
      </c>
      <c r="E1101" s="1">
        <v>0.40625</v>
      </c>
      <c r="F1101" s="2" t="str">
        <f>IF(AND(AllData[[#This Row],[Time]]&lt;0.5, AllData[[#This Row],[Time]]&gt;0.17)=TRUE, "Morning", IF(AND(AllData[[#This Row],[Time]]&lt;0.75, AllData[[#This Row],[Time]]&gt;=0.5)=TRUE, "Afternoon", IF(AND(AllData[[#This Row],[Time]]&lt;1, AllData[[#This Row],[Time]]&gt;=0.75)=TRUE, "Evening", "Night")))</f>
        <v>Morning</v>
      </c>
      <c r="G1101" t="str">
        <f>_xlfn.XLOOKUP(AllData[[#This Row],[Location Name]], Locations[Location Name],Locations[Group As])</f>
        <v>Lower Lode</v>
      </c>
      <c r="H1101" t="e" vm="1">
        <f>_xlfn.XLOOKUP(AllData[[#This Row],[Site Name]],LocationsKey[Site Name],LocationsKey[District])</f>
        <v>#VALUE!</v>
      </c>
      <c r="I1101" t="e" vm="1">
        <f>_xlfn.XLOOKUP(AllData[[#This Row],[Site Name]],LocationsKey[Site Name],LocationsKey[Town])</f>
        <v>#VALUE!</v>
      </c>
      <c r="J1101" t="str">
        <f>_xlfn.XLOOKUP(AllData[[#This Row],[Site Name]],LocationsKey[Site Name], LocationsKey[Waterway])</f>
        <v>Avon</v>
      </c>
      <c r="K1101" t="s">
        <v>592</v>
      </c>
      <c r="L1101">
        <v>51.984974999999999</v>
      </c>
      <c r="M1101">
        <v>-2.1740930000000001</v>
      </c>
      <c r="N1101" t="s">
        <v>29</v>
      </c>
      <c r="O1101">
        <v>9510</v>
      </c>
      <c r="P1101">
        <v>19.8</v>
      </c>
      <c r="Q1101">
        <v>10</v>
      </c>
      <c r="R1101" s="7" t="str">
        <f>IF(AllData[[#This Row],[Nitrate (PPM)]]&gt;2, "Very high", IF(AllData[[#This Row],[Nitrate (PPM)]]&gt;1, "High", IF(AllData[[#This Row],[Nitrate (PPM)]]&gt;0.5, "Some evidence", IF(AllData[[#This Row],[Nitrate (PPM)]]&gt;=0, "No evidence"))))</f>
        <v>Very high</v>
      </c>
      <c r="S1101" s="4">
        <v>0.73</v>
      </c>
      <c r="T1101" s="7" t="str">
        <f>IF(AllData[[#This Row],[Phosphate (PPM)]]&gt;0.5, "Very high", IF(AllData[[#This Row],[Phosphate (PPM)]]&gt;0.1, "High", IF(AllData[[#This Row],[Phosphate (PPM)]]&gt;0.05, "Some evidence", IF(AllData[[#This Row],[Phosphate (PPM)]]&lt;=0.05, "No Evidence", ""))))</f>
        <v>Very high</v>
      </c>
      <c r="U1101">
        <v>0</v>
      </c>
    </row>
    <row r="1102" spans="1:22" x14ac:dyDescent="0.25">
      <c r="A1102" t="s">
        <v>1489</v>
      </c>
      <c r="B1102" s="2">
        <v>45499</v>
      </c>
      <c r="C1102" s="2" t="str" cm="1">
        <f t="array" ref="C11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2">
        <f>YEAR(AllData[[#This Row],[Date]])</f>
        <v>2024</v>
      </c>
      <c r="E1102" s="1">
        <v>0.71597222222222223</v>
      </c>
      <c r="F1102" s="2" t="str">
        <f>IF(AND(AllData[[#This Row],[Time]]&lt;0.5, AllData[[#This Row],[Time]]&gt;0.17)=TRUE, "Morning", IF(AND(AllData[[#This Row],[Time]]&lt;0.75, AllData[[#This Row],[Time]]&gt;=0.5)=TRUE, "Afternoon", IF(AND(AllData[[#This Row],[Time]]&lt;1, AllData[[#This Row],[Time]]&gt;=0.75)=TRUE, "Evening", "Night")))</f>
        <v>Afternoon</v>
      </c>
      <c r="G1102" t="str">
        <f>_xlfn.XLOOKUP(AllData[[#This Row],[Location Name]], Locations[Location Name],Locations[Group As])</f>
        <v>Carrant Back Lane Beckford</v>
      </c>
      <c r="H1102" t="e" vm="1">
        <f>_xlfn.XLOOKUP(AllData[[#This Row],[Site Name]],LocationsKey[Site Name],LocationsKey[District])</f>
        <v>#VALUE!</v>
      </c>
      <c r="I1102" t="str">
        <f>_xlfn.XLOOKUP(AllData[[#This Row],[Site Name]],LocationsKey[Site Name],LocationsKey[Town])</f>
        <v>Beckford</v>
      </c>
      <c r="J1102" t="str">
        <f>_xlfn.XLOOKUP(AllData[[#This Row],[Site Name]],LocationsKey[Site Name], LocationsKey[Waterway])</f>
        <v>Carrant</v>
      </c>
      <c r="K1102" t="s">
        <v>1490</v>
      </c>
      <c r="L1102">
        <v>52.018500000000003</v>
      </c>
      <c r="M1102">
        <v>-2.0388000000000002</v>
      </c>
      <c r="N1102" t="s">
        <v>66</v>
      </c>
      <c r="O1102">
        <v>754</v>
      </c>
      <c r="P1102">
        <v>18.3</v>
      </c>
      <c r="Q1102">
        <v>5</v>
      </c>
      <c r="R1102" s="7" t="str">
        <f>IF(AllData[[#This Row],[Nitrate (PPM)]]&gt;2, "Very high", IF(AllData[[#This Row],[Nitrate (PPM)]]&gt;1, "High", IF(AllData[[#This Row],[Nitrate (PPM)]]&gt;0.5, "Some evidence", IF(AllData[[#This Row],[Nitrate (PPM)]]&gt;=0, "No evidence"))))</f>
        <v>Very high</v>
      </c>
      <c r="S1102" s="4">
        <v>0.8</v>
      </c>
      <c r="T1102" s="7" t="str">
        <f>IF(AllData[[#This Row],[Phosphate (PPM)]]&gt;0.5, "Very high", IF(AllData[[#This Row],[Phosphate (PPM)]]&gt;0.1, "High", IF(AllData[[#This Row],[Phosphate (PPM)]]&gt;0.05, "Some evidence", IF(AllData[[#This Row],[Phosphate (PPM)]]&lt;=0.05, "No Evidence", ""))))</f>
        <v>Very high</v>
      </c>
      <c r="U1102">
        <v>0.2</v>
      </c>
    </row>
    <row r="1103" spans="1:22" x14ac:dyDescent="0.25">
      <c r="A1103" t="s">
        <v>1487</v>
      </c>
      <c r="B1103" s="2">
        <v>45499</v>
      </c>
      <c r="C1103" s="2" t="str" cm="1">
        <f t="array" ref="C11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3">
        <f>YEAR(AllData[[#This Row],[Date]])</f>
        <v>2024</v>
      </c>
      <c r="E1103" s="1">
        <v>0.76041666666666663</v>
      </c>
      <c r="F1103" s="2" t="str">
        <f>IF(AND(AllData[[#This Row],[Time]]&lt;0.5, AllData[[#This Row],[Time]]&gt;0.17)=TRUE, "Morning", IF(AND(AllData[[#This Row],[Time]]&lt;0.75, AllData[[#This Row],[Time]]&gt;=0.5)=TRUE, "Afternoon", IF(AND(AllData[[#This Row],[Time]]&lt;1, AllData[[#This Row],[Time]]&gt;=0.75)=TRUE, "Evening", "Night")))</f>
        <v>Evening</v>
      </c>
      <c r="G1103" t="str">
        <f>_xlfn.XLOOKUP(AllData[[#This Row],[Location Name]], Locations[Location Name],Locations[Group As])</f>
        <v>Mill Bridge Peopleton</v>
      </c>
      <c r="H1103" t="e" vm="17">
        <f>_xlfn.XLOOKUP(AllData[[#This Row],[Site Name]],LocationsKey[Site Name],LocationsKey[District])</f>
        <v>#VALUE!</v>
      </c>
      <c r="I1103" t="str">
        <f>_xlfn.XLOOKUP(AllData[[#This Row],[Site Name]],LocationsKey[Site Name],LocationsKey[Town])</f>
        <v>Peopleton</v>
      </c>
      <c r="J1103" t="str">
        <f>_xlfn.XLOOKUP(AllData[[#This Row],[Site Name]],LocationsKey[Site Name], LocationsKey[Waterway])</f>
        <v>Bow Brook</v>
      </c>
      <c r="K1103" t="s">
        <v>921</v>
      </c>
      <c r="L1103">
        <v>52.15175</v>
      </c>
      <c r="M1103">
        <v>-2.0963599999999998</v>
      </c>
      <c r="N1103" t="s">
        <v>29</v>
      </c>
      <c r="O1103">
        <v>1130</v>
      </c>
      <c r="P1103">
        <v>18.600000000000001</v>
      </c>
      <c r="Q1103">
        <v>4</v>
      </c>
      <c r="R1103" s="7" t="str">
        <f>IF(AllData[[#This Row],[Nitrate (PPM)]]&gt;2, "Very high", IF(AllData[[#This Row],[Nitrate (PPM)]]&gt;1, "High", IF(AllData[[#This Row],[Nitrate (PPM)]]&gt;0.5, "Some evidence", IF(AllData[[#This Row],[Nitrate (PPM)]]&gt;=0, "No evidence"))))</f>
        <v>Very high</v>
      </c>
      <c r="S1103" s="4">
        <v>1.78</v>
      </c>
      <c r="T1103" s="7" t="str">
        <f>IF(AllData[[#This Row],[Phosphate (PPM)]]&gt;0.5, "Very high", IF(AllData[[#This Row],[Phosphate (PPM)]]&gt;0.1, "High", IF(AllData[[#This Row],[Phosphate (PPM)]]&gt;0.05, "Some evidence", IF(AllData[[#This Row],[Phosphate (PPM)]]&lt;=0.05, "No Evidence", ""))))</f>
        <v>Very high</v>
      </c>
      <c r="U1103">
        <v>0.5</v>
      </c>
      <c r="V1103" t="s">
        <v>1488</v>
      </c>
    </row>
    <row r="1104" spans="1:22" x14ac:dyDescent="0.25">
      <c r="A1104" t="s">
        <v>1486</v>
      </c>
      <c r="B1104" s="2">
        <v>45500</v>
      </c>
      <c r="C1104" s="2" t="str" cm="1">
        <f t="array" ref="C11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4">
        <f>YEAR(AllData[[#This Row],[Date]])</f>
        <v>2024</v>
      </c>
      <c r="E1104" s="1">
        <v>0.42222222222222222</v>
      </c>
      <c r="F1104" s="2" t="str">
        <f>IF(AND(AllData[[#This Row],[Time]]&lt;0.5, AllData[[#This Row],[Time]]&gt;0.17)=TRUE, "Morning", IF(AND(AllData[[#This Row],[Time]]&lt;0.75, AllData[[#This Row],[Time]]&gt;=0.5)=TRUE, "Afternoon", IF(AND(AllData[[#This Row],[Time]]&lt;1, AllData[[#This Row],[Time]]&gt;=0.75)=TRUE, "Evening", "Night")))</f>
        <v>Morning</v>
      </c>
      <c r="G1104" t="str">
        <f>_xlfn.XLOOKUP(AllData[[#This Row],[Location Name]], Locations[Location Name],Locations[Group As])</f>
        <v>Pitch 16</v>
      </c>
      <c r="H1104" t="e" vm="2">
        <f>_xlfn.XLOOKUP(AllData[[#This Row],[Site Name]],LocationsKey[Site Name],LocationsKey[District])</f>
        <v>#VALUE!</v>
      </c>
      <c r="I1104" t="e" vm="7">
        <f>_xlfn.XLOOKUP(AllData[[#This Row],[Site Name]],LocationsKey[Site Name],LocationsKey[Town])</f>
        <v>#VALUE!</v>
      </c>
      <c r="J1104" t="str">
        <f>_xlfn.XLOOKUP(AllData[[#This Row],[Site Name]],LocationsKey[Site Name], LocationsKey[Waterway])</f>
        <v>Avon</v>
      </c>
      <c r="K1104" t="s">
        <v>69</v>
      </c>
      <c r="L1104">
        <v>52.176070000000003</v>
      </c>
      <c r="M1104">
        <v>-1.737652</v>
      </c>
      <c r="N1104" t="s">
        <v>29</v>
      </c>
      <c r="O1104">
        <v>951</v>
      </c>
      <c r="P1104">
        <v>21.3</v>
      </c>
      <c r="Q1104">
        <v>10</v>
      </c>
      <c r="R1104" s="7" t="str">
        <f>IF(AllData[[#This Row],[Nitrate (PPM)]]&gt;2, "Very high", IF(AllData[[#This Row],[Nitrate (PPM)]]&gt;1, "High", IF(AllData[[#This Row],[Nitrate (PPM)]]&gt;0.5, "Some evidence", IF(AllData[[#This Row],[Nitrate (PPM)]]&gt;=0, "No evidence"))))</f>
        <v>Very high</v>
      </c>
      <c r="S1104" s="4">
        <v>0.56000000000000005</v>
      </c>
      <c r="T1104" s="7" t="str">
        <f>IF(AllData[[#This Row],[Phosphate (PPM)]]&gt;0.5, "Very high", IF(AllData[[#This Row],[Phosphate (PPM)]]&gt;0.1, "High", IF(AllData[[#This Row],[Phosphate (PPM)]]&gt;0.05, "Some evidence", IF(AllData[[#This Row],[Phosphate (PPM)]]&lt;=0.05, "No Evidence", ""))))</f>
        <v>Very high</v>
      </c>
      <c r="U1104">
        <v>0.6</v>
      </c>
      <c r="V1104" t="s">
        <v>1485</v>
      </c>
    </row>
    <row r="1105" spans="1:22" x14ac:dyDescent="0.25">
      <c r="A1105" t="s">
        <v>1480</v>
      </c>
      <c r="B1105" s="2">
        <v>45500</v>
      </c>
      <c r="C1105" s="2" t="str" cm="1">
        <f t="array" ref="C11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5">
        <f>YEAR(AllData[[#This Row],[Date]])</f>
        <v>2024</v>
      </c>
      <c r="E1105" s="1">
        <v>0.42708333333333331</v>
      </c>
      <c r="F1105" s="2" t="str">
        <f>IF(AND(AllData[[#This Row],[Time]]&lt;0.5, AllData[[#This Row],[Time]]&gt;0.17)=TRUE, "Morning", IF(AND(AllData[[#This Row],[Time]]&lt;0.75, AllData[[#This Row],[Time]]&gt;=0.5)=TRUE, "Afternoon", IF(AND(AllData[[#This Row],[Time]]&lt;1, AllData[[#This Row],[Time]]&gt;=0.75)=TRUE, "Evening", "Night")))</f>
        <v>Morning</v>
      </c>
      <c r="G1105" t="str">
        <f>_xlfn.XLOOKUP(AllData[[#This Row],[Location Name]], Locations[Location Name],Locations[Group As])</f>
        <v>Avon Smiths Meadow Wyre Piddle</v>
      </c>
      <c r="H1105" t="e" vm="17">
        <f>_xlfn.XLOOKUP(AllData[[#This Row],[Site Name]],LocationsKey[Site Name],LocationsKey[District])</f>
        <v>#VALUE!</v>
      </c>
      <c r="I1105" t="e" vm="20">
        <f>_xlfn.XLOOKUP(AllData[[#This Row],[Site Name]],LocationsKey[Site Name],LocationsKey[Town])</f>
        <v>#VALUE!</v>
      </c>
      <c r="J1105" t="str">
        <f>_xlfn.XLOOKUP(AllData[[#This Row],[Site Name]],LocationsKey[Site Name], LocationsKey[Waterway])</f>
        <v>Avon</v>
      </c>
      <c r="K1105" t="s">
        <v>741</v>
      </c>
      <c r="L1105">
        <v>52.122858999999998</v>
      </c>
      <c r="M1105">
        <v>-2.0575389999999998</v>
      </c>
      <c r="N1105" t="s">
        <v>23</v>
      </c>
      <c r="O1105">
        <v>859</v>
      </c>
      <c r="P1105">
        <v>19.7</v>
      </c>
      <c r="Q1105">
        <v>7</v>
      </c>
      <c r="R1105" s="7" t="str">
        <f>IF(AllData[[#This Row],[Nitrate (PPM)]]&gt;2, "Very high", IF(AllData[[#This Row],[Nitrate (PPM)]]&gt;1, "High", IF(AllData[[#This Row],[Nitrate (PPM)]]&gt;0.5, "Some evidence", IF(AllData[[#This Row],[Nitrate (PPM)]]&gt;=0, "No evidence"))))</f>
        <v>Very high</v>
      </c>
      <c r="S1105" s="4">
        <v>1.1200000000000001</v>
      </c>
      <c r="T1105" s="7" t="str">
        <f>IF(AllData[[#This Row],[Phosphate (PPM)]]&gt;0.5, "Very high", IF(AllData[[#This Row],[Phosphate (PPM)]]&gt;0.1, "High", IF(AllData[[#This Row],[Phosphate (PPM)]]&gt;0.05, "Some evidence", IF(AllData[[#This Row],[Phosphate (PPM)]]&lt;=0.05, "No Evidence", ""))))</f>
        <v>Very high</v>
      </c>
      <c r="U1105">
        <v>0.53</v>
      </c>
      <c r="V1105" t="s">
        <v>1481</v>
      </c>
    </row>
    <row r="1106" spans="1:22" x14ac:dyDescent="0.25">
      <c r="A1106" t="s">
        <v>1482</v>
      </c>
      <c r="B1106" s="2">
        <v>45500</v>
      </c>
      <c r="C1106" s="2" t="str" cm="1">
        <f t="array" ref="C11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6">
        <f>YEAR(AllData[[#This Row],[Date]])</f>
        <v>2024</v>
      </c>
      <c r="E1106" s="1">
        <v>0.4375</v>
      </c>
      <c r="F1106" s="2" t="str">
        <f>IF(AND(AllData[[#This Row],[Time]]&lt;0.5, AllData[[#This Row],[Time]]&gt;0.17)=TRUE, "Morning", IF(AND(AllData[[#This Row],[Time]]&lt;0.75, AllData[[#This Row],[Time]]&gt;=0.5)=TRUE, "Afternoon", IF(AND(AllData[[#This Row],[Time]]&lt;1, AllData[[#This Row],[Time]]&gt;=0.75)=TRUE, "Evening", "Night")))</f>
        <v>Morning</v>
      </c>
      <c r="G1106" t="str">
        <f>_xlfn.XLOOKUP(AllData[[#This Row],[Location Name]], Locations[Location Name],Locations[Group As])</f>
        <v>Carrant Bredon Rd</v>
      </c>
      <c r="H1106" t="e" vm="1">
        <f>_xlfn.XLOOKUP(AllData[[#This Row],[Site Name]],LocationsKey[Site Name],LocationsKey[District])</f>
        <v>#VALUE!</v>
      </c>
      <c r="I1106" t="e" vm="1">
        <f>_xlfn.XLOOKUP(AllData[[#This Row],[Site Name]],LocationsKey[Site Name],LocationsKey[Town])</f>
        <v>#VALUE!</v>
      </c>
      <c r="J1106" t="str">
        <f>_xlfn.XLOOKUP(AllData[[#This Row],[Site Name]],LocationsKey[Site Name], LocationsKey[Waterway])</f>
        <v>Carrant</v>
      </c>
      <c r="K1106" t="s">
        <v>600</v>
      </c>
      <c r="L1106">
        <v>51.996322999999997</v>
      </c>
      <c r="M1106">
        <v>-2.1560920000000001</v>
      </c>
      <c r="N1106" t="s">
        <v>23</v>
      </c>
      <c r="O1106">
        <v>724</v>
      </c>
      <c r="P1106">
        <v>17.399999999999999</v>
      </c>
      <c r="Q1106">
        <v>5</v>
      </c>
      <c r="R1106" s="7" t="str">
        <f>IF(AllData[[#This Row],[Nitrate (PPM)]]&gt;2, "Very high", IF(AllData[[#This Row],[Nitrate (PPM)]]&gt;1, "High", IF(AllData[[#This Row],[Nitrate (PPM)]]&gt;0.5, "Some evidence", IF(AllData[[#This Row],[Nitrate (PPM)]]&gt;=0, "No evidence"))))</f>
        <v>Very high</v>
      </c>
      <c r="S1106" s="4">
        <v>0.66</v>
      </c>
      <c r="T1106" s="7" t="str">
        <f>IF(AllData[[#This Row],[Phosphate (PPM)]]&gt;0.5, "Very high", IF(AllData[[#This Row],[Phosphate (PPM)]]&gt;0.1, "High", IF(AllData[[#This Row],[Phosphate (PPM)]]&gt;0.05, "Some evidence", IF(AllData[[#This Row],[Phosphate (PPM)]]&lt;=0.05, "No Evidence", ""))))</f>
        <v>Very high</v>
      </c>
      <c r="U1106">
        <v>0</v>
      </c>
    </row>
    <row r="1107" spans="1:22" x14ac:dyDescent="0.25">
      <c r="A1107" t="s">
        <v>1478</v>
      </c>
      <c r="B1107" s="2">
        <v>45500</v>
      </c>
      <c r="C1107" s="2" t="str" cm="1">
        <f t="array" ref="C11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7">
        <f>YEAR(AllData[[#This Row],[Date]])</f>
        <v>2024</v>
      </c>
      <c r="E1107" s="1">
        <v>0.4375</v>
      </c>
      <c r="F1107" s="2" t="str">
        <f>IF(AND(AllData[[#This Row],[Time]]&lt;0.5, AllData[[#This Row],[Time]]&gt;0.17)=TRUE, "Morning", IF(AND(AllData[[#This Row],[Time]]&lt;0.75, AllData[[#This Row],[Time]]&gt;=0.5)=TRUE, "Afternoon", IF(AND(AllData[[#This Row],[Time]]&lt;1, AllData[[#This Row],[Time]]&gt;=0.75)=TRUE, "Evening", "Night")))</f>
        <v>Morning</v>
      </c>
      <c r="G1107" t="str">
        <f>_xlfn.XLOOKUP(AllData[[#This Row],[Location Name]], Locations[Location Name],Locations[Group As])</f>
        <v>Piddle Brook Wyre Piddle Bridge</v>
      </c>
      <c r="H1107" t="e" vm="17">
        <f>_xlfn.XLOOKUP(AllData[[#This Row],[Site Name]],LocationsKey[Site Name],LocationsKey[District])</f>
        <v>#VALUE!</v>
      </c>
      <c r="I1107" t="e" vm="20">
        <f>_xlfn.XLOOKUP(AllData[[#This Row],[Site Name]],LocationsKey[Site Name],LocationsKey[Town])</f>
        <v>#VALUE!</v>
      </c>
      <c r="J1107" t="str">
        <f>_xlfn.XLOOKUP(AllData[[#This Row],[Site Name]],LocationsKey[Site Name], LocationsKey[Waterway])</f>
        <v>Piddle Brook</v>
      </c>
      <c r="K1107" t="s">
        <v>744</v>
      </c>
      <c r="L1107">
        <v>52.126404000000001</v>
      </c>
      <c r="M1107">
        <v>-2.0565410000000002</v>
      </c>
      <c r="N1107" t="s">
        <v>23</v>
      </c>
      <c r="O1107">
        <v>1620</v>
      </c>
      <c r="P1107">
        <v>16.899999999999999</v>
      </c>
      <c r="Q1107">
        <v>7</v>
      </c>
      <c r="R1107" s="7" t="str">
        <f>IF(AllData[[#This Row],[Nitrate (PPM)]]&gt;2, "Very high", IF(AllData[[#This Row],[Nitrate (PPM)]]&gt;1, "High", IF(AllData[[#This Row],[Nitrate (PPM)]]&gt;0.5, "Some evidence", IF(AllData[[#This Row],[Nitrate (PPM)]]&gt;=0, "No evidence"))))</f>
        <v>Very high</v>
      </c>
      <c r="S1107" s="4">
        <v>1.33</v>
      </c>
      <c r="T1107" s="7" t="str">
        <f>IF(AllData[[#This Row],[Phosphate (PPM)]]&gt;0.5, "Very high", IF(AllData[[#This Row],[Phosphate (PPM)]]&gt;0.1, "High", IF(AllData[[#This Row],[Phosphate (PPM)]]&gt;0.05, "Some evidence", IF(AllData[[#This Row],[Phosphate (PPM)]]&lt;=0.05, "No Evidence", ""))))</f>
        <v>Very high</v>
      </c>
      <c r="U1107">
        <v>0.15</v>
      </c>
      <c r="V1107" t="s">
        <v>1479</v>
      </c>
    </row>
    <row r="1108" spans="1:22" x14ac:dyDescent="0.25">
      <c r="A1108" t="s">
        <v>1484</v>
      </c>
      <c r="B1108" s="2">
        <v>45500</v>
      </c>
      <c r="C1108" s="2" t="str" cm="1">
        <f t="array" ref="C11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8">
        <f>YEAR(AllData[[#This Row],[Date]])</f>
        <v>2024</v>
      </c>
      <c r="E1108" s="1">
        <v>0.44305555555555554</v>
      </c>
      <c r="F1108" s="2" t="str">
        <f>IF(AND(AllData[[#This Row],[Time]]&lt;0.5, AllData[[#This Row],[Time]]&gt;0.17)=TRUE, "Morning", IF(AND(AllData[[#This Row],[Time]]&lt;0.75, AllData[[#This Row],[Time]]&gt;=0.5)=TRUE, "Afternoon", IF(AND(AllData[[#This Row],[Time]]&lt;1, AllData[[#This Row],[Time]]&gt;=0.75)=TRUE, "Evening", "Night")))</f>
        <v>Morning</v>
      </c>
      <c r="G1108" t="str">
        <f>_xlfn.XLOOKUP(AllData[[#This Row],[Location Name]], Locations[Location Name],Locations[Group As])</f>
        <v>Avonbank Drive</v>
      </c>
      <c r="H1108" t="e" vm="2">
        <f>_xlfn.XLOOKUP(AllData[[#This Row],[Site Name]],LocationsKey[Site Name],LocationsKey[District])</f>
        <v>#VALUE!</v>
      </c>
      <c r="I1108" t="e" vm="7">
        <f>_xlfn.XLOOKUP(AllData[[#This Row],[Site Name]],LocationsKey[Site Name],LocationsKey[Town])</f>
        <v>#VALUE!</v>
      </c>
      <c r="J1108" t="str">
        <f>_xlfn.XLOOKUP(AllData[[#This Row],[Site Name]],LocationsKey[Site Name], LocationsKey[Waterway])</f>
        <v>Avon</v>
      </c>
      <c r="K1108" t="s">
        <v>65</v>
      </c>
      <c r="L1108">
        <v>52.177174999999998</v>
      </c>
      <c r="M1108">
        <v>-1.7357860000000001</v>
      </c>
      <c r="N1108" t="s">
        <v>66</v>
      </c>
      <c r="O1108">
        <v>856</v>
      </c>
      <c r="P1108">
        <v>21.8</v>
      </c>
      <c r="Q1108">
        <v>5</v>
      </c>
      <c r="R1108" s="7" t="str">
        <f>IF(AllData[[#This Row],[Nitrate (PPM)]]&gt;2, "Very high", IF(AllData[[#This Row],[Nitrate (PPM)]]&gt;1, "High", IF(AllData[[#This Row],[Nitrate (PPM)]]&gt;0.5, "Some evidence", IF(AllData[[#This Row],[Nitrate (PPM)]]&gt;=0, "No evidence"))))</f>
        <v>Very high</v>
      </c>
      <c r="S1108" s="4">
        <v>0.48</v>
      </c>
      <c r="T1108" s="7" t="str">
        <f>IF(AllData[[#This Row],[Phosphate (PPM)]]&gt;0.5, "Very high", IF(AllData[[#This Row],[Phosphate (PPM)]]&gt;0.1, "High", IF(AllData[[#This Row],[Phosphate (PPM)]]&gt;0.05, "Some evidence", IF(AllData[[#This Row],[Phosphate (PPM)]]&lt;=0.05, "No Evidence", ""))))</f>
        <v>High</v>
      </c>
      <c r="U1108">
        <v>0.6</v>
      </c>
      <c r="V1108" t="s">
        <v>1485</v>
      </c>
    </row>
    <row r="1109" spans="1:22" x14ac:dyDescent="0.25">
      <c r="A1109" t="s">
        <v>1483</v>
      </c>
      <c r="B1109" s="2">
        <v>45500</v>
      </c>
      <c r="C1109" s="2" t="str" cm="1">
        <f t="array" ref="C11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9">
        <f>YEAR(AllData[[#This Row],[Date]])</f>
        <v>2024</v>
      </c>
      <c r="E1109" s="1">
        <v>0.66180555555555554</v>
      </c>
      <c r="F1109" s="2" t="str">
        <f>IF(AND(AllData[[#This Row],[Time]]&lt;0.5, AllData[[#This Row],[Time]]&gt;0.17)=TRUE, "Morning", IF(AND(AllData[[#This Row],[Time]]&lt;0.75, AllData[[#This Row],[Time]]&gt;=0.5)=TRUE, "Afternoon", IF(AND(AllData[[#This Row],[Time]]&lt;1, AllData[[#This Row],[Time]]&gt;=0.75)=TRUE, "Evening", "Night")))</f>
        <v>Afternoon</v>
      </c>
      <c r="G1109" t="str">
        <f>_xlfn.XLOOKUP(AllData[[#This Row],[Location Name]], Locations[Location Name],Locations[Group As])</f>
        <v>Black Bear</v>
      </c>
      <c r="H1109" t="e" vm="1">
        <f>_xlfn.XLOOKUP(AllData[[#This Row],[Site Name]],LocationsKey[Site Name],LocationsKey[District])</f>
        <v>#VALUE!</v>
      </c>
      <c r="I1109" t="e" vm="1">
        <f>_xlfn.XLOOKUP(AllData[[#This Row],[Site Name]],LocationsKey[Site Name],LocationsKey[Town])</f>
        <v>#VALUE!</v>
      </c>
      <c r="J1109" t="str">
        <f>_xlfn.XLOOKUP(AllData[[#This Row],[Site Name]],LocationsKey[Site Name], LocationsKey[Waterway])</f>
        <v>Avon</v>
      </c>
      <c r="K1109" t="s">
        <v>1045</v>
      </c>
      <c r="L1109">
        <v>51.997456999999997</v>
      </c>
      <c r="M1109">
        <v>-2.156126</v>
      </c>
      <c r="N1109" t="s">
        <v>23</v>
      </c>
      <c r="O1109">
        <v>925</v>
      </c>
      <c r="P1109">
        <v>20.3</v>
      </c>
      <c r="Q1109">
        <v>10</v>
      </c>
      <c r="R1109" s="7" t="str">
        <f>IF(AllData[[#This Row],[Nitrate (PPM)]]&gt;2, "Very high", IF(AllData[[#This Row],[Nitrate (PPM)]]&gt;1, "High", IF(AllData[[#This Row],[Nitrate (PPM)]]&gt;0.5, "Some evidence", IF(AllData[[#This Row],[Nitrate (PPM)]]&gt;=0, "No evidence"))))</f>
        <v>Very high</v>
      </c>
      <c r="S1109" s="4">
        <v>0.56000000000000005</v>
      </c>
      <c r="T1109" s="7" t="str">
        <f>IF(AllData[[#This Row],[Phosphate (PPM)]]&gt;0.5, "Very high", IF(AllData[[#This Row],[Phosphate (PPM)]]&gt;0.1, "High", IF(AllData[[#This Row],[Phosphate (PPM)]]&gt;0.05, "Some evidence", IF(AllData[[#This Row],[Phosphate (PPM)]]&lt;=0.05, "No Evidence", ""))))</f>
        <v>Very high</v>
      </c>
      <c r="U1109">
        <v>0</v>
      </c>
    </row>
    <row r="1110" spans="1:22" x14ac:dyDescent="0.25">
      <c r="A1110" t="s">
        <v>1692</v>
      </c>
      <c r="B1110" s="2">
        <v>45501</v>
      </c>
      <c r="C1110" s="2" t="str" cm="1">
        <f t="array" ref="C11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0">
        <f>YEAR(AllData[[#This Row],[Date]])</f>
        <v>2024</v>
      </c>
      <c r="E1110" s="1">
        <v>0.42222222222222222</v>
      </c>
      <c r="F1110" s="2" t="str">
        <f>IF(AND(AllData[[#This Row],[Time]]&lt;0.5, AllData[[#This Row],[Time]]&gt;0.17)=TRUE, "Morning", IF(AND(AllData[[#This Row],[Time]]&lt;0.75, AllData[[#This Row],[Time]]&gt;=0.5)=TRUE, "Afternoon", IF(AND(AllData[[#This Row],[Time]]&lt;1, AllData[[#This Row],[Time]]&gt;=0.75)=TRUE, "Evening", "Night")))</f>
        <v>Morning</v>
      </c>
      <c r="G1110" t="str">
        <f>_xlfn.XLOOKUP(AllData[[#This Row],[Location Name]], Locations[Location Name],Locations[Group As])</f>
        <v>Sherbourne Brook 1</v>
      </c>
      <c r="H1110" t="e" vm="2">
        <f>_xlfn.XLOOKUP(AllData[[#This Row],[Site Name]],LocationsKey[Site Name],LocationsKey[District])</f>
        <v>#VALUE!</v>
      </c>
      <c r="I1110" t="e" vm="16">
        <f>_xlfn.XLOOKUP(AllData[[#This Row],[Site Name]],LocationsKey[Site Name],LocationsKey[Town])</f>
        <v>#VALUE!</v>
      </c>
      <c r="J1110" t="str">
        <f>_xlfn.XLOOKUP(AllData[[#This Row],[Site Name]],LocationsKey[Site Name], LocationsKey[Waterway])</f>
        <v>Sherbourne Brook</v>
      </c>
      <c r="K1110" t="s">
        <v>570</v>
      </c>
      <c r="L1110">
        <v>52.252499999999998</v>
      </c>
      <c r="M1110">
        <v>-1.6685000000000001</v>
      </c>
      <c r="N1110" t="s">
        <v>23</v>
      </c>
      <c r="O1110">
        <v>1140</v>
      </c>
      <c r="P1110">
        <v>15.1</v>
      </c>
      <c r="Q1110">
        <v>11</v>
      </c>
      <c r="R1110" s="7" t="str">
        <f>IF(AllData[[#This Row],[Nitrate (PPM)]]&gt;2, "Very high", IF(AllData[[#This Row],[Nitrate (PPM)]]&gt;1, "High", IF(AllData[[#This Row],[Nitrate (PPM)]]&gt;0.5, "Some evidence", IF(AllData[[#This Row],[Nitrate (PPM)]]&gt;=0, "No evidence"))))</f>
        <v>Very high</v>
      </c>
      <c r="S1110" s="4">
        <v>0.36</v>
      </c>
      <c r="T1110" s="7" t="str">
        <f>IF(AllData[[#This Row],[Phosphate (PPM)]]&gt;0.5, "Very high", IF(AllData[[#This Row],[Phosphate (PPM)]]&gt;0.1, "High", IF(AllData[[#This Row],[Phosphate (PPM)]]&gt;0.05, "Some evidence", IF(AllData[[#This Row],[Phosphate (PPM)]]&lt;=0.05, "No Evidence", ""))))</f>
        <v>High</v>
      </c>
      <c r="U1110">
        <v>0.1</v>
      </c>
    </row>
    <row r="1111" spans="1:22" x14ac:dyDescent="0.25">
      <c r="A1111" t="s">
        <v>1691</v>
      </c>
      <c r="B1111" s="2">
        <v>45501</v>
      </c>
      <c r="C1111" s="2" t="str" cm="1">
        <f t="array" ref="C11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1">
        <f>YEAR(AllData[[#This Row],[Date]])</f>
        <v>2024</v>
      </c>
      <c r="E1111" s="1">
        <v>0.42708333333333331</v>
      </c>
      <c r="F1111" s="2" t="str">
        <f>IF(AND(AllData[[#This Row],[Time]]&lt;0.5, AllData[[#This Row],[Time]]&gt;0.17)=TRUE, "Morning", IF(AND(AllData[[#This Row],[Time]]&lt;0.75, AllData[[#This Row],[Time]]&gt;=0.5)=TRUE, "Afternoon", IF(AND(AllData[[#This Row],[Time]]&lt;1, AllData[[#This Row],[Time]]&gt;=0.75)=TRUE, "Evening", "Night")))</f>
        <v>Morning</v>
      </c>
      <c r="G1111" t="str">
        <f>_xlfn.XLOOKUP(AllData[[#This Row],[Location Name]], Locations[Location Name],Locations[Group As])</f>
        <v>Bell Brook 1</v>
      </c>
      <c r="H1111" t="e" vm="2">
        <f>_xlfn.XLOOKUP(AllData[[#This Row],[Site Name]],LocationsKey[Site Name],LocationsKey[District])</f>
        <v>#VALUE!</v>
      </c>
      <c r="I1111" t="e" vm="15">
        <f>_xlfn.XLOOKUP(AllData[[#This Row],[Site Name]],LocationsKey[Site Name],LocationsKey[Town])</f>
        <v>#VALUE!</v>
      </c>
      <c r="J1111" t="str">
        <f>_xlfn.XLOOKUP(AllData[[#This Row],[Site Name]],LocationsKey[Site Name], LocationsKey[Waterway])</f>
        <v>Bell Brook</v>
      </c>
      <c r="K1111" t="s">
        <v>534</v>
      </c>
      <c r="L1111">
        <v>52.244900000000001</v>
      </c>
      <c r="M1111">
        <v>-1.6617</v>
      </c>
      <c r="N1111" t="s">
        <v>23</v>
      </c>
      <c r="O1111">
        <v>858</v>
      </c>
      <c r="P1111">
        <v>16.3</v>
      </c>
      <c r="Q1111">
        <v>8</v>
      </c>
      <c r="R1111" s="7" t="str">
        <f>IF(AllData[[#This Row],[Nitrate (PPM)]]&gt;2, "Very high", IF(AllData[[#This Row],[Nitrate (PPM)]]&gt;1, "High", IF(AllData[[#This Row],[Nitrate (PPM)]]&gt;0.5, "Some evidence", IF(AllData[[#This Row],[Nitrate (PPM)]]&gt;=0, "No evidence"))))</f>
        <v>Very high</v>
      </c>
      <c r="S1111" s="4">
        <v>0.85</v>
      </c>
      <c r="T1111" s="7" t="str">
        <f>IF(AllData[[#This Row],[Phosphate (PPM)]]&gt;0.5, "Very high", IF(AllData[[#This Row],[Phosphate (PPM)]]&gt;0.1, "High", IF(AllData[[#This Row],[Phosphate (PPM)]]&gt;0.05, "Some evidence", IF(AllData[[#This Row],[Phosphate (PPM)]]&lt;=0.05, "No Evidence", ""))))</f>
        <v>Very high</v>
      </c>
      <c r="U1111">
        <v>0.1</v>
      </c>
    </row>
    <row r="1112" spans="1:22" x14ac:dyDescent="0.25">
      <c r="A1112" t="s">
        <v>1475</v>
      </c>
      <c r="B1112" s="2">
        <v>45502</v>
      </c>
      <c r="C1112" s="2" t="str" cm="1">
        <f t="array" ref="C11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2">
        <f>YEAR(AllData[[#This Row],[Date]])</f>
        <v>2024</v>
      </c>
      <c r="E1112" s="1">
        <v>0.31597222222222221</v>
      </c>
      <c r="F1112" s="2" t="str">
        <f>IF(AND(AllData[[#This Row],[Time]]&lt;0.5, AllData[[#This Row],[Time]]&gt;0.17)=TRUE, "Morning", IF(AND(AllData[[#This Row],[Time]]&lt;0.75, AllData[[#This Row],[Time]]&gt;=0.5)=TRUE, "Afternoon", IF(AND(AllData[[#This Row],[Time]]&lt;1, AllData[[#This Row],[Time]]&gt;=0.75)=TRUE, "Evening", "Night")))</f>
        <v>Morning</v>
      </c>
      <c r="G1112" t="str">
        <f>_xlfn.XLOOKUP(AllData[[#This Row],[Location Name]], Locations[Location Name],Locations[Group As])</f>
        <v>Chipping Campden Lady J Gateway</v>
      </c>
      <c r="H1112" t="e" vm="23">
        <f>_xlfn.XLOOKUP(AllData[[#This Row],[Site Name]],LocationsKey[Site Name],LocationsKey[District])</f>
        <v>#VALUE!</v>
      </c>
      <c r="I1112" t="e" vm="24">
        <f>_xlfn.XLOOKUP(AllData[[#This Row],[Site Name]],LocationsKey[Site Name],LocationsKey[Town])</f>
        <v>#VALUE!</v>
      </c>
      <c r="J1112" t="str">
        <f>_xlfn.XLOOKUP(AllData[[#This Row],[Site Name]],LocationsKey[Site Name], LocationsKey[Waterway])</f>
        <v>Cam Brook</v>
      </c>
      <c r="K1112" t="s">
        <v>1476</v>
      </c>
      <c r="N1112" t="s">
        <v>66</v>
      </c>
      <c r="O1112">
        <v>510</v>
      </c>
      <c r="P1112">
        <v>16.600000000000001</v>
      </c>
      <c r="Q1112">
        <v>5</v>
      </c>
      <c r="R1112" s="7" t="str">
        <f>IF(AllData[[#This Row],[Nitrate (PPM)]]&gt;2, "Very high", IF(AllData[[#This Row],[Nitrate (PPM)]]&gt;1, "High", IF(AllData[[#This Row],[Nitrate (PPM)]]&gt;0.5, "Some evidence", IF(AllData[[#This Row],[Nitrate (PPM)]]&gt;=0, "No evidence"))))</f>
        <v>Very high</v>
      </c>
      <c r="S1112" s="4">
        <v>0.03</v>
      </c>
      <c r="T1112" s="7" t="str">
        <f>IF(AllData[[#This Row],[Phosphate (PPM)]]&gt;0.5, "Very high", IF(AllData[[#This Row],[Phosphate (PPM)]]&gt;0.1, "High", IF(AllData[[#This Row],[Phosphate (PPM)]]&gt;0.05, "Some evidence", IF(AllData[[#This Row],[Phosphate (PPM)]]&lt;=0.05, "No Evidence", ""))))</f>
        <v>No Evidence</v>
      </c>
      <c r="U1112">
        <v>0.11</v>
      </c>
    </row>
    <row r="1113" spans="1:22" x14ac:dyDescent="0.25">
      <c r="A1113" t="s">
        <v>1473</v>
      </c>
      <c r="B1113" s="2">
        <v>45502</v>
      </c>
      <c r="C1113" s="2" t="str" cm="1">
        <f t="array" ref="C11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3">
        <f>YEAR(AllData[[#This Row],[Date]])</f>
        <v>2024</v>
      </c>
      <c r="E1113" s="1">
        <v>0.3611111111111111</v>
      </c>
      <c r="F1113" s="2" t="str">
        <f>IF(AND(AllData[[#This Row],[Time]]&lt;0.5, AllData[[#This Row],[Time]]&gt;0.17)=TRUE, "Morning", IF(AND(AllData[[#This Row],[Time]]&lt;0.75, AllData[[#This Row],[Time]]&gt;=0.5)=TRUE, "Afternoon", IF(AND(AllData[[#This Row],[Time]]&lt;1, AllData[[#This Row],[Time]]&gt;=0.75)=TRUE, "Evening", "Night")))</f>
        <v>Morning</v>
      </c>
      <c r="G1113" t="str">
        <f>_xlfn.XLOOKUP(AllData[[#This Row],[Location Name]], Locations[Location Name],Locations[Group As])</f>
        <v>Chipping Campden Sewage Works</v>
      </c>
      <c r="H1113" t="e" vm="23">
        <f>_xlfn.XLOOKUP(AllData[[#This Row],[Site Name]],LocationsKey[Site Name],LocationsKey[District])</f>
        <v>#VALUE!</v>
      </c>
      <c r="I1113" t="e" vm="24">
        <f>_xlfn.XLOOKUP(AllData[[#This Row],[Site Name]],LocationsKey[Site Name],LocationsKey[Town])</f>
        <v>#VALUE!</v>
      </c>
      <c r="J1113" t="str">
        <f>_xlfn.XLOOKUP(AllData[[#This Row],[Site Name]],LocationsKey[Site Name], LocationsKey[Waterway])</f>
        <v>Cam Brook</v>
      </c>
      <c r="K1113" t="s">
        <v>1474</v>
      </c>
      <c r="N1113" t="s">
        <v>29</v>
      </c>
      <c r="O1113">
        <v>765</v>
      </c>
      <c r="P1113">
        <v>15.6</v>
      </c>
      <c r="Q1113">
        <v>5</v>
      </c>
      <c r="R1113" s="7" t="str">
        <f>IF(AllData[[#This Row],[Nitrate (PPM)]]&gt;2, "Very high", IF(AllData[[#This Row],[Nitrate (PPM)]]&gt;1, "High", IF(AllData[[#This Row],[Nitrate (PPM)]]&gt;0.5, "Some evidence", IF(AllData[[#This Row],[Nitrate (PPM)]]&gt;=0, "No evidence"))))</f>
        <v>Very high</v>
      </c>
      <c r="S1113" s="4">
        <v>0.25</v>
      </c>
      <c r="T1113" s="7" t="str">
        <f>IF(AllData[[#This Row],[Phosphate (PPM)]]&gt;0.5, "Very high", IF(AllData[[#This Row],[Phosphate (PPM)]]&gt;0.1, "High", IF(AllData[[#This Row],[Phosphate (PPM)]]&gt;0.05, "Some evidence", IF(AllData[[#This Row],[Phosphate (PPM)]]&lt;=0.05, "No Evidence", ""))))</f>
        <v>High</v>
      </c>
      <c r="U1113">
        <v>0.15</v>
      </c>
    </row>
    <row r="1114" spans="1:22" x14ac:dyDescent="0.25">
      <c r="A1114" t="s">
        <v>1471</v>
      </c>
      <c r="B1114" s="2">
        <v>45502</v>
      </c>
      <c r="C1114" s="2" t="str" cm="1">
        <f t="array" ref="C11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4">
        <f>YEAR(AllData[[#This Row],[Date]])</f>
        <v>2024</v>
      </c>
      <c r="E1114" s="1">
        <v>0.45833333333333331</v>
      </c>
      <c r="F1114" s="2" t="str">
        <f>IF(AND(AllData[[#This Row],[Time]]&lt;0.5, AllData[[#This Row],[Time]]&gt;0.17)=TRUE, "Morning", IF(AND(AllData[[#This Row],[Time]]&lt;0.75, AllData[[#This Row],[Time]]&gt;=0.5)=TRUE, "Afternoon", IF(AND(AllData[[#This Row],[Time]]&lt;1, AllData[[#This Row],[Time]]&gt;=0.75)=TRUE, "Evening", "Night")))</f>
        <v>Morning</v>
      </c>
      <c r="G1114" t="str">
        <f>_xlfn.XLOOKUP(AllData[[#This Row],[Location Name]], Locations[Location Name],Locations[Group As])</f>
        <v>Carrant M5 Bridge</v>
      </c>
      <c r="H1114" t="e" vm="1">
        <f>_xlfn.XLOOKUP(AllData[[#This Row],[Site Name]],LocationsKey[Site Name],LocationsKey[District])</f>
        <v>#VALUE!</v>
      </c>
      <c r="I1114" t="e" vm="1">
        <f>_xlfn.XLOOKUP(AllData[[#This Row],[Site Name]],LocationsKey[Site Name],LocationsKey[Town])</f>
        <v>#VALUE!</v>
      </c>
      <c r="J1114" t="str">
        <f>_xlfn.XLOOKUP(AllData[[#This Row],[Site Name]],LocationsKey[Site Name], LocationsKey[Waterway])</f>
        <v>Carrant</v>
      </c>
      <c r="K1114" t="s">
        <v>1015</v>
      </c>
      <c r="N1114" t="s">
        <v>23</v>
      </c>
      <c r="O1114">
        <v>504</v>
      </c>
      <c r="P1114">
        <v>21.3</v>
      </c>
      <c r="Q1114">
        <v>6</v>
      </c>
      <c r="R1114" s="7" t="str">
        <f>IF(AllData[[#This Row],[Nitrate (PPM)]]&gt;2, "Very high", IF(AllData[[#This Row],[Nitrate (PPM)]]&gt;1, "High", IF(AllData[[#This Row],[Nitrate (PPM)]]&gt;0.5, "Some evidence", IF(AllData[[#This Row],[Nitrate (PPM)]]&gt;=0, "No evidence"))))</f>
        <v>Very high</v>
      </c>
      <c r="S1114" s="4">
        <v>0.17</v>
      </c>
      <c r="T1114" s="7" t="str">
        <f>IF(AllData[[#This Row],[Phosphate (PPM)]]&gt;0.5, "Very high", IF(AllData[[#This Row],[Phosphate (PPM)]]&gt;0.1, "High", IF(AllData[[#This Row],[Phosphate (PPM)]]&gt;0.05, "Some evidence", IF(AllData[[#This Row],[Phosphate (PPM)]]&lt;=0.05, "No Evidence", ""))))</f>
        <v>High</v>
      </c>
      <c r="U1114">
        <v>0</v>
      </c>
    </row>
    <row r="1115" spans="1:22" x14ac:dyDescent="0.25">
      <c r="A1115" t="s">
        <v>1464</v>
      </c>
      <c r="B1115" s="2">
        <v>45502</v>
      </c>
      <c r="C1115" s="2" t="str" cm="1">
        <f t="array" ref="C11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5">
        <f>YEAR(AllData[[#This Row],[Date]])</f>
        <v>2024</v>
      </c>
      <c r="E1115" s="1">
        <v>0.75694444444444442</v>
      </c>
      <c r="F1115" s="2" t="str">
        <f>IF(AND(AllData[[#This Row],[Time]]&lt;0.5, AllData[[#This Row],[Time]]&gt;0.17)=TRUE, "Morning", IF(AND(AllData[[#This Row],[Time]]&lt;0.75, AllData[[#This Row],[Time]]&gt;=0.5)=TRUE, "Afternoon", IF(AND(AllData[[#This Row],[Time]]&lt;1, AllData[[#This Row],[Time]]&gt;=0.75)=TRUE, "Evening", "Night")))</f>
        <v>Evening</v>
      </c>
      <c r="G1115" t="str">
        <f>_xlfn.XLOOKUP(AllData[[#This Row],[Location Name]], Locations[Location Name],Locations[Group As])</f>
        <v>Fell Mill Footbridge</v>
      </c>
      <c r="H1115" t="e" vm="2">
        <f>_xlfn.XLOOKUP(AllData[[#This Row],[Site Name]],LocationsKey[Site Name],LocationsKey[District])</f>
        <v>#VALUE!</v>
      </c>
      <c r="I1115" t="e" vm="10">
        <f>_xlfn.XLOOKUP(AllData[[#This Row],[Site Name]],LocationsKey[Site Name],LocationsKey[Town])</f>
        <v>#VALUE!</v>
      </c>
      <c r="J1115" t="str">
        <f>_xlfn.XLOOKUP(AllData[[#This Row],[Site Name]],LocationsKey[Site Name], LocationsKey[Waterway])</f>
        <v>Stour</v>
      </c>
      <c r="K1115" t="s">
        <v>818</v>
      </c>
      <c r="L1115">
        <v>52.070086000000003</v>
      </c>
      <c r="M1115">
        <v>-1.61145</v>
      </c>
      <c r="N1115" t="s">
        <v>29</v>
      </c>
      <c r="P1115">
        <v>18</v>
      </c>
      <c r="Q1115">
        <v>5</v>
      </c>
      <c r="R1115" s="7" t="str">
        <f>IF(AllData[[#This Row],[Nitrate (PPM)]]&gt;2, "Very high", IF(AllData[[#This Row],[Nitrate (PPM)]]&gt;1, "High", IF(AllData[[#This Row],[Nitrate (PPM)]]&gt;0.5, "Some evidence", IF(AllData[[#This Row],[Nitrate (PPM)]]&gt;=0, "No evidence"))))</f>
        <v>Very high</v>
      </c>
      <c r="S1115" s="4">
        <v>0.77</v>
      </c>
      <c r="T1115" s="7" t="str">
        <f>IF(AllData[[#This Row],[Phosphate (PPM)]]&gt;0.5, "Very high", IF(AllData[[#This Row],[Phosphate (PPM)]]&gt;0.1, "High", IF(AllData[[#This Row],[Phosphate (PPM)]]&gt;0.05, "Some evidence", IF(AllData[[#This Row],[Phosphate (PPM)]]&lt;=0.05, "No Evidence", ""))))</f>
        <v>Very high</v>
      </c>
      <c r="U1115">
        <v>1.1000000000000001</v>
      </c>
      <c r="V1115" t="s">
        <v>1465</v>
      </c>
    </row>
    <row r="1116" spans="1:22" x14ac:dyDescent="0.25">
      <c r="A1116" t="s">
        <v>1472</v>
      </c>
      <c r="B1116" s="2">
        <v>45503</v>
      </c>
      <c r="C1116" s="2" t="str" cm="1">
        <f t="array" ref="C11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6">
        <f>YEAR(AllData[[#This Row],[Date]])</f>
        <v>2024</v>
      </c>
      <c r="E1116" s="1">
        <v>0.4597222222222222</v>
      </c>
      <c r="F1116" s="2" t="str">
        <f>IF(AND(AllData[[#This Row],[Time]]&lt;0.5, AllData[[#This Row],[Time]]&gt;0.17)=TRUE, "Morning", IF(AND(AllData[[#This Row],[Time]]&lt;0.75, AllData[[#This Row],[Time]]&gt;=0.5)=TRUE, "Afternoon", IF(AND(AllData[[#This Row],[Time]]&lt;1, AllData[[#This Row],[Time]]&gt;=0.75)=TRUE, "Evening", "Night")))</f>
        <v>Morning</v>
      </c>
      <c r="G1116" t="str">
        <f>_xlfn.XLOOKUP(AllData[[#This Row],[Location Name]], Locations[Location Name],Locations[Group As])</f>
        <v>Carrant Mitton Path</v>
      </c>
      <c r="H1116" t="e" vm="1">
        <f>_xlfn.XLOOKUP(AllData[[#This Row],[Site Name]],LocationsKey[Site Name],LocationsKey[District])</f>
        <v>#VALUE!</v>
      </c>
      <c r="I1116" t="e" vm="1">
        <f>_xlfn.XLOOKUP(AllData[[#This Row],[Site Name]],LocationsKey[Site Name],LocationsKey[Town])</f>
        <v>#VALUE!</v>
      </c>
      <c r="J1116" t="str">
        <f>_xlfn.XLOOKUP(AllData[[#This Row],[Site Name]],LocationsKey[Site Name], LocationsKey[Waterway])</f>
        <v>Carrant</v>
      </c>
      <c r="K1116" t="s">
        <v>958</v>
      </c>
      <c r="L1116">
        <v>52.000320000000002</v>
      </c>
      <c r="M1116">
        <v>-2.1429360000000002</v>
      </c>
      <c r="N1116" t="s">
        <v>23</v>
      </c>
      <c r="O1116">
        <v>645</v>
      </c>
      <c r="P1116">
        <v>19.2</v>
      </c>
      <c r="Q1116">
        <v>5</v>
      </c>
      <c r="R1116" s="7" t="str">
        <f>IF(AllData[[#This Row],[Nitrate (PPM)]]&gt;2, "Very high", IF(AllData[[#This Row],[Nitrate (PPM)]]&gt;1, "High", IF(AllData[[#This Row],[Nitrate (PPM)]]&gt;0.5, "Some evidence", IF(AllData[[#This Row],[Nitrate (PPM)]]&gt;=0, "No evidence"))))</f>
        <v>Very high</v>
      </c>
      <c r="S1116" s="4">
        <v>0.46</v>
      </c>
      <c r="T1116" s="7" t="str">
        <f>IF(AllData[[#This Row],[Phosphate (PPM)]]&gt;0.5, "Very high", IF(AllData[[#This Row],[Phosphate (PPM)]]&gt;0.1, "High", IF(AllData[[#This Row],[Phosphate (PPM)]]&gt;0.05, "Some evidence", IF(AllData[[#This Row],[Phosphate (PPM)]]&lt;=0.05, "No Evidence", ""))))</f>
        <v>High</v>
      </c>
      <c r="U1116">
        <v>0</v>
      </c>
    </row>
    <row r="1117" spans="1:22" x14ac:dyDescent="0.25">
      <c r="A1117" t="s">
        <v>1469</v>
      </c>
      <c r="B1117" s="2">
        <v>45504</v>
      </c>
      <c r="C1117" s="2" t="str" cm="1">
        <f t="array" ref="C11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7">
        <f>YEAR(AllData[[#This Row],[Date]])</f>
        <v>2024</v>
      </c>
      <c r="E1117" s="1">
        <v>0.59375</v>
      </c>
      <c r="F1117" s="2" t="str">
        <f>IF(AND(AllData[[#This Row],[Time]]&lt;0.5, AllData[[#This Row],[Time]]&gt;0.17)=TRUE, "Morning", IF(AND(AllData[[#This Row],[Time]]&lt;0.75, AllData[[#This Row],[Time]]&gt;=0.5)=TRUE, "Afternoon", IF(AND(AllData[[#This Row],[Time]]&lt;1, AllData[[#This Row],[Time]]&gt;=0.75)=TRUE, "Evening", "Night")))</f>
        <v>Afternoon</v>
      </c>
      <c r="G1117" t="str">
        <f>_xlfn.XLOOKUP(AllData[[#This Row],[Location Name]], Locations[Location Name],Locations[Group As])</f>
        <v>Alveston Weir</v>
      </c>
      <c r="H1117" t="e" vm="2">
        <f>_xlfn.XLOOKUP(AllData[[#This Row],[Site Name]],LocationsKey[Site Name],LocationsKey[District])</f>
        <v>#VALUE!</v>
      </c>
      <c r="I1117" t="e" vm="13">
        <f>_xlfn.XLOOKUP(AllData[[#This Row],[Site Name]],LocationsKey[Site Name],LocationsKey[Town])</f>
        <v>#VALUE!</v>
      </c>
      <c r="J1117" t="str">
        <f>_xlfn.XLOOKUP(AllData[[#This Row],[Site Name]],LocationsKey[Site Name], LocationsKey[Waterway])</f>
        <v>Avon</v>
      </c>
      <c r="K1117" t="s">
        <v>286</v>
      </c>
      <c r="L1117">
        <v>52.205750000000002</v>
      </c>
      <c r="M1117">
        <v>-1.655483</v>
      </c>
      <c r="N1117" t="s">
        <v>29</v>
      </c>
      <c r="O1117" s="219">
        <v>758</v>
      </c>
      <c r="P1117">
        <v>23.4</v>
      </c>
      <c r="Q1117" s="219">
        <v>10</v>
      </c>
      <c r="R1117" s="7" t="str">
        <f>IF(AllData[[#This Row],[Nitrate (PPM)]]&gt;2, "Very high", IF(AllData[[#This Row],[Nitrate (PPM)]]&gt;1, "High", IF(AllData[[#This Row],[Nitrate (PPM)]]&gt;0.5, "Some evidence", IF(AllData[[#This Row],[Nitrate (PPM)]]&gt;=0, "No evidence"))))</f>
        <v>Very high</v>
      </c>
      <c r="S1117" s="221">
        <v>0.53</v>
      </c>
      <c r="T1117" s="7" t="str">
        <f>IF(AllData[[#This Row],[Phosphate (PPM)]]&gt;0.5, "Very high", IF(AllData[[#This Row],[Phosphate (PPM)]]&gt;0.1, "High", IF(AllData[[#This Row],[Phosphate (PPM)]]&gt;0.05, "Some evidence", IF(AllData[[#This Row],[Phosphate (PPM)]]&lt;=0.05, "No Evidence", ""))))</f>
        <v>Very high</v>
      </c>
      <c r="U1117">
        <v>-1.5</v>
      </c>
      <c r="V1117" t="s">
        <v>1470</v>
      </c>
    </row>
    <row r="1118" spans="1:22" x14ac:dyDescent="0.25">
      <c r="A1118" t="s">
        <v>1467</v>
      </c>
      <c r="B1118" s="2">
        <v>45504</v>
      </c>
      <c r="C1118" s="2" t="str" cm="1">
        <f t="array" ref="C11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8">
        <f>YEAR(AllData[[#This Row],[Date]])</f>
        <v>2024</v>
      </c>
      <c r="E1118" s="1">
        <v>0.60069444444444442</v>
      </c>
      <c r="F1118" s="2" t="str">
        <f>IF(AND(AllData[[#This Row],[Time]]&lt;0.5, AllData[[#This Row],[Time]]&gt;0.17)=TRUE, "Morning", IF(AND(AllData[[#This Row],[Time]]&lt;0.75, AllData[[#This Row],[Time]]&gt;=0.5)=TRUE, "Afternoon", IF(AND(AllData[[#This Row],[Time]]&lt;1, AllData[[#This Row],[Time]]&gt;=0.75)=TRUE, "Evening", "Night")))</f>
        <v>Afternoon</v>
      </c>
      <c r="G1118" t="str">
        <f>_xlfn.XLOOKUP(AllData[[#This Row],[Location Name]], Locations[Location Name],Locations[Group As])</f>
        <v>Swiffen Bank</v>
      </c>
      <c r="H1118" t="e" vm="2">
        <f>_xlfn.XLOOKUP(AllData[[#This Row],[Site Name]],LocationsKey[Site Name],LocationsKey[District])</f>
        <v>#VALUE!</v>
      </c>
      <c r="I1118" t="e" vm="13">
        <f>_xlfn.XLOOKUP(AllData[[#This Row],[Site Name]],LocationsKey[Site Name],LocationsKey[Town])</f>
        <v>#VALUE!</v>
      </c>
      <c r="J1118" t="str">
        <f>_xlfn.XLOOKUP(AllData[[#This Row],[Site Name]],LocationsKey[Site Name], LocationsKey[Waterway])</f>
        <v>Avon</v>
      </c>
      <c r="K1118" t="s">
        <v>284</v>
      </c>
      <c r="L1118">
        <v>52.206477999999997</v>
      </c>
      <c r="M1118">
        <v>-1.653894</v>
      </c>
      <c r="N1118" t="s">
        <v>29</v>
      </c>
      <c r="O1118" s="219">
        <v>776</v>
      </c>
      <c r="P1118">
        <v>22.8</v>
      </c>
      <c r="Q1118" s="219">
        <v>10</v>
      </c>
      <c r="R1118" s="7" t="str">
        <f>IF(AllData[[#This Row],[Nitrate (PPM)]]&gt;2, "Very high", IF(AllData[[#This Row],[Nitrate (PPM)]]&gt;1, "High", IF(AllData[[#This Row],[Nitrate (PPM)]]&gt;0.5, "Some evidence", IF(AllData[[#This Row],[Nitrate (PPM)]]&gt;=0, "No evidence"))))</f>
        <v>Very high</v>
      </c>
      <c r="S1118" s="221">
        <v>0.71</v>
      </c>
      <c r="T1118" s="7" t="str">
        <f>IF(AllData[[#This Row],[Phosphate (PPM)]]&gt;0.5, "Very high", IF(AllData[[#This Row],[Phosphate (PPM)]]&gt;0.1, "High", IF(AllData[[#This Row],[Phosphate (PPM)]]&gt;0.05, "Some evidence", IF(AllData[[#This Row],[Phosphate (PPM)]]&lt;=0.05, "No Evidence", ""))))</f>
        <v>Very high</v>
      </c>
      <c r="U1118">
        <v>-0.5</v>
      </c>
      <c r="V1118" t="s">
        <v>1468</v>
      </c>
    </row>
    <row r="1119" spans="1:22" x14ac:dyDescent="0.25">
      <c r="A1119" t="s">
        <v>1839</v>
      </c>
      <c r="B1119" s="2">
        <v>45505</v>
      </c>
      <c r="C1119" s="2" t="str" cm="1">
        <f t="array" ref="C11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9">
        <f>YEAR(AllData[[#This Row],[Date]])</f>
        <v>2024</v>
      </c>
      <c r="E1119" s="1">
        <v>0.40972222222222221</v>
      </c>
      <c r="F1119" s="2" t="str">
        <f>IF(AND(AllData[[#This Row],[Time]]&lt;0.5, AllData[[#This Row],[Time]]&gt;0.17)=TRUE, "Morning", IF(AND(AllData[[#This Row],[Time]]&lt;0.75, AllData[[#This Row],[Time]]&gt;=0.5)=TRUE, "Afternoon", IF(AND(AllData[[#This Row],[Time]]&lt;1, AllData[[#This Row],[Time]]&gt;=0.75)=TRUE, "Evening", "Night")))</f>
        <v>Morning</v>
      </c>
      <c r="G1119" t="str">
        <f>_xlfn.XLOOKUP(AllData[[#This Row],[Location Name]], Locations[Location Name],Locations[Group As])</f>
        <v>Carrant A38</v>
      </c>
      <c r="H1119" t="e" vm="1">
        <f>_xlfn.XLOOKUP(AllData[[#This Row],[Site Name]],LocationsKey[Site Name],LocationsKey[District])</f>
        <v>#VALUE!</v>
      </c>
      <c r="I1119" t="str">
        <f>_xlfn.XLOOKUP(AllData[[#This Row],[Site Name]],LocationsKey[Site Name],LocationsKey[Town])</f>
        <v>Unknown</v>
      </c>
      <c r="J1119" t="str">
        <f>_xlfn.XLOOKUP(AllData[[#This Row],[Site Name]],LocationsKey[Site Name], LocationsKey[Waterway])</f>
        <v>Carrant</v>
      </c>
      <c r="K1119" t="s">
        <v>1863</v>
      </c>
      <c r="N1119" t="s">
        <v>23</v>
      </c>
      <c r="O1119">
        <v>1050</v>
      </c>
      <c r="P1119">
        <v>20.399999999999999</v>
      </c>
      <c r="Q1119">
        <v>5</v>
      </c>
      <c r="R1119" s="7" t="str">
        <f>IF(AllData[[#This Row],[Nitrate (PPM)]]&gt;2, "Very high", IF(AllData[[#This Row],[Nitrate (PPM)]]&gt;1, "High", IF(AllData[[#This Row],[Nitrate (PPM)]]&gt;0.5, "Some evidence", IF(AllData[[#This Row],[Nitrate (PPM)]]&gt;=0, "No evidence"))))</f>
        <v>Very high</v>
      </c>
      <c r="S1119" s="4">
        <v>0.8</v>
      </c>
      <c r="T1119" s="7" t="str">
        <f>IF(AllData[[#This Row],[Phosphate (PPM)]]&gt;0.5, "Very high", IF(AllData[[#This Row],[Phosphate (PPM)]]&gt;0.1, "High", IF(AllData[[#This Row],[Phosphate (PPM)]]&gt;0.05, "Some evidence", IF(AllData[[#This Row],[Phosphate (PPM)]]&lt;=0.05, "No Evidence", ""))))</f>
        <v>Very high</v>
      </c>
      <c r="U1119">
        <v>0</v>
      </c>
    </row>
    <row r="1120" spans="1:22" x14ac:dyDescent="0.25">
      <c r="A1120" t="s">
        <v>1828</v>
      </c>
      <c r="B1120" s="2">
        <v>45505</v>
      </c>
      <c r="C1120" s="2" t="str" cm="1">
        <f t="array" ref="C11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0">
        <f>YEAR(AllData[[#This Row],[Date]])</f>
        <v>2024</v>
      </c>
      <c r="E1120" s="1">
        <v>0.5</v>
      </c>
      <c r="F1120" s="2" t="str">
        <f>IF(AND(AllData[[#This Row],[Time]]&lt;0.5, AllData[[#This Row],[Time]]&gt;0.17)=TRUE, "Morning", IF(AND(AllData[[#This Row],[Time]]&lt;0.75, AllData[[#This Row],[Time]]&gt;=0.5)=TRUE, "Afternoon", IF(AND(AllData[[#This Row],[Time]]&lt;1, AllData[[#This Row],[Time]]&gt;=0.75)=TRUE, "Evening", "Night")))</f>
        <v>Afternoon</v>
      </c>
      <c r="G1120" t="str">
        <f>_xlfn.XLOOKUP(AllData[[#This Row],[Location Name]], Locations[Location Name],Locations[Group As])</f>
        <v>Stour Willington</v>
      </c>
      <c r="H1120" t="e" vm="2">
        <f>_xlfn.XLOOKUP(AllData[[#This Row],[Site Name]],LocationsKey[Site Name],LocationsKey[District])</f>
        <v>#VALUE!</v>
      </c>
      <c r="I1120" t="str">
        <f>_xlfn.XLOOKUP(AllData[[#This Row],[Site Name]],LocationsKey[Site Name],LocationsKey[Town])</f>
        <v>Willington</v>
      </c>
      <c r="J1120" t="str">
        <f>_xlfn.XLOOKUP(AllData[[#This Row],[Site Name]],LocationsKey[Site Name], LocationsKey[Waterway])</f>
        <v>Stour</v>
      </c>
      <c r="K1120" t="s">
        <v>517</v>
      </c>
      <c r="L1120">
        <v>52.053542999999998</v>
      </c>
      <c r="M1120">
        <v>-1.6201270000000001</v>
      </c>
      <c r="N1120" t="s">
        <v>23</v>
      </c>
      <c r="O1120">
        <v>636</v>
      </c>
      <c r="P1120">
        <v>19.8</v>
      </c>
      <c r="Q1120">
        <v>2</v>
      </c>
      <c r="R1120" s="7" t="str">
        <f>IF(AllData[[#This Row],[Nitrate (PPM)]]&gt;2, "Very high", IF(AllData[[#This Row],[Nitrate (PPM)]]&gt;1, "High", IF(AllData[[#This Row],[Nitrate (PPM)]]&gt;0.5, "Some evidence", IF(AllData[[#This Row],[Nitrate (PPM)]]&gt;=0, "No evidence"))))</f>
        <v>High</v>
      </c>
      <c r="S1120" s="4">
        <v>0.51</v>
      </c>
      <c r="T1120" s="7" t="str">
        <f>IF(AllData[[#This Row],[Phosphate (PPM)]]&gt;0.5, "Very high", IF(AllData[[#This Row],[Phosphate (PPM)]]&gt;0.1, "High", IF(AllData[[#This Row],[Phosphate (PPM)]]&gt;0.05, "Some evidence", IF(AllData[[#This Row],[Phosphate (PPM)]]&lt;=0.05, "No Evidence", ""))))</f>
        <v>Very high</v>
      </c>
      <c r="U1120">
        <v>0.5</v>
      </c>
    </row>
    <row r="1121" spans="1:22" x14ac:dyDescent="0.25">
      <c r="A1121" t="s">
        <v>1466</v>
      </c>
      <c r="B1121" s="2">
        <v>45506</v>
      </c>
      <c r="C1121" s="2" t="str" cm="1">
        <f t="array" ref="C11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1">
        <f>YEAR(AllData[[#This Row],[Date]])</f>
        <v>2024</v>
      </c>
      <c r="E1121" s="1">
        <v>0.34583333333333333</v>
      </c>
      <c r="F1121" s="2" t="str">
        <f>IF(AND(AllData[[#This Row],[Time]]&lt;0.5, AllData[[#This Row],[Time]]&gt;0.17)=TRUE, "Morning", IF(AND(AllData[[#This Row],[Time]]&lt;0.75, AllData[[#This Row],[Time]]&gt;=0.5)=TRUE, "Afternoon", IF(AND(AllData[[#This Row],[Time]]&lt;1, AllData[[#This Row],[Time]]&gt;=0.75)=TRUE, "Evening", "Night")))</f>
        <v>Morning</v>
      </c>
      <c r="G1121" t="str">
        <f>_xlfn.XLOOKUP(AllData[[#This Row],[Location Name]], Locations[Location Name],Locations[Group As])</f>
        <v>Lower Lode</v>
      </c>
      <c r="H1121" t="e" vm="1">
        <f>_xlfn.XLOOKUP(AllData[[#This Row],[Site Name]],LocationsKey[Site Name],LocationsKey[District])</f>
        <v>#VALUE!</v>
      </c>
      <c r="I1121" t="e" vm="1">
        <f>_xlfn.XLOOKUP(AllData[[#This Row],[Site Name]],LocationsKey[Site Name],LocationsKey[Town])</f>
        <v>#VALUE!</v>
      </c>
      <c r="J1121" t="str">
        <f>_xlfn.XLOOKUP(AllData[[#This Row],[Site Name]],LocationsKey[Site Name], LocationsKey[Waterway])</f>
        <v>Avon</v>
      </c>
      <c r="K1121" t="s">
        <v>592</v>
      </c>
      <c r="L1121">
        <v>51.985059999999997</v>
      </c>
      <c r="M1121">
        <v>-2.1741440000000001</v>
      </c>
      <c r="N1121" t="s">
        <v>29</v>
      </c>
      <c r="O1121">
        <v>8140</v>
      </c>
      <c r="P1121">
        <v>22</v>
      </c>
      <c r="Q1121">
        <v>10</v>
      </c>
      <c r="R1121" s="7" t="str">
        <f>IF(AllData[[#This Row],[Nitrate (PPM)]]&gt;2, "Very high", IF(AllData[[#This Row],[Nitrate (PPM)]]&gt;1, "High", IF(AllData[[#This Row],[Nitrate (PPM)]]&gt;0.5, "Some evidence", IF(AllData[[#This Row],[Nitrate (PPM)]]&gt;=0, "No evidence"))))</f>
        <v>Very high</v>
      </c>
      <c r="S1121" s="4">
        <v>0.92</v>
      </c>
      <c r="T1121" s="7" t="str">
        <f>IF(AllData[[#This Row],[Phosphate (PPM)]]&gt;0.5, "Very high", IF(AllData[[#This Row],[Phosphate (PPM)]]&gt;0.1, "High", IF(AllData[[#This Row],[Phosphate (PPM)]]&gt;0.05, "Some evidence", IF(AllData[[#This Row],[Phosphate (PPM)]]&lt;=0.05, "No Evidence", ""))))</f>
        <v>Very high</v>
      </c>
      <c r="U1121">
        <v>0</v>
      </c>
    </row>
    <row r="1122" spans="1:22" x14ac:dyDescent="0.25">
      <c r="A1122" t="s">
        <v>1847</v>
      </c>
      <c r="B1122" s="2">
        <v>45506</v>
      </c>
      <c r="C1122" s="2" t="str" cm="1">
        <f t="array" ref="C11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2">
        <f>YEAR(AllData[[#This Row],[Date]])</f>
        <v>2024</v>
      </c>
      <c r="E1122" s="1">
        <v>0.43333333333333335</v>
      </c>
      <c r="F1122" s="2" t="str">
        <f>IF(AND(AllData[[#This Row],[Time]]&lt;0.5, AllData[[#This Row],[Time]]&gt;0.17)=TRUE, "Morning", IF(AND(AllData[[#This Row],[Time]]&lt;0.75, AllData[[#This Row],[Time]]&gt;=0.5)=TRUE, "Afternoon", IF(AND(AllData[[#This Row],[Time]]&lt;1, AllData[[#This Row],[Time]]&gt;=0.75)=TRUE, "Evening", "Night")))</f>
        <v>Morning</v>
      </c>
      <c r="G1122" t="str">
        <f>_xlfn.XLOOKUP(AllData[[#This Row],[Location Name]], Locations[Location Name],Locations[Group As])</f>
        <v>Bredon Marina</v>
      </c>
      <c r="H1122" t="e" vm="1">
        <f>_xlfn.XLOOKUP(AllData[[#This Row],[Site Name]],LocationsKey[Site Name],LocationsKey[District])</f>
        <v>#VALUE!</v>
      </c>
      <c r="I1122" t="e" vm="25">
        <f>_xlfn.XLOOKUP(AllData[[#This Row],[Site Name]],LocationsKey[Site Name],LocationsKey[Town])</f>
        <v>#VALUE!</v>
      </c>
      <c r="J1122" t="str">
        <f>_xlfn.XLOOKUP(AllData[[#This Row],[Site Name]],LocationsKey[Site Name], LocationsKey[Waterway])</f>
        <v>Avon</v>
      </c>
      <c r="K1122" t="s">
        <v>1500</v>
      </c>
      <c r="L1122">
        <v>52.031204000000002</v>
      </c>
      <c r="M1122">
        <v>-2.1140029999999999</v>
      </c>
      <c r="N1122" t="s">
        <v>29</v>
      </c>
      <c r="O1122">
        <v>9560</v>
      </c>
      <c r="P1122">
        <v>22.8</v>
      </c>
      <c r="Q1122">
        <v>10</v>
      </c>
      <c r="R1122" s="7" t="str">
        <f>IF(AllData[[#This Row],[Nitrate (PPM)]]&gt;2, "Very high", IF(AllData[[#This Row],[Nitrate (PPM)]]&gt;1, "High", IF(AllData[[#This Row],[Nitrate (PPM)]]&gt;0.5, "Some evidence", IF(AllData[[#This Row],[Nitrate (PPM)]]&gt;=0, "No evidence"))))</f>
        <v>Very high</v>
      </c>
      <c r="S1122" s="4">
        <v>1.21</v>
      </c>
      <c r="T1122" s="7" t="str">
        <f>IF(AllData[[#This Row],[Phosphate (PPM)]]&gt;0.5, "Very high", IF(AllData[[#This Row],[Phosphate (PPM)]]&gt;0.1, "High", IF(AllData[[#This Row],[Phosphate (PPM)]]&gt;0.05, "Some evidence", IF(AllData[[#This Row],[Phosphate (PPM)]]&lt;=0.05, "No Evidence", ""))))</f>
        <v>Very high</v>
      </c>
      <c r="U1122">
        <v>0</v>
      </c>
    </row>
    <row r="1123" spans="1:22" x14ac:dyDescent="0.25">
      <c r="A1123" t="s">
        <v>1846</v>
      </c>
      <c r="B1123" s="2">
        <v>45506</v>
      </c>
      <c r="C1123" s="2" t="str" cm="1">
        <f t="array" ref="C11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3">
        <f>YEAR(AllData[[#This Row],[Date]])</f>
        <v>2024</v>
      </c>
      <c r="E1123" s="1">
        <v>0.73819444444444449</v>
      </c>
      <c r="F1123" s="2" t="str">
        <f>IF(AND(AllData[[#This Row],[Time]]&lt;0.5, AllData[[#This Row],[Time]]&gt;0.17)=TRUE, "Morning", IF(AND(AllData[[#This Row],[Time]]&lt;0.75, AllData[[#This Row],[Time]]&gt;=0.5)=TRUE, "Afternoon", IF(AND(AllData[[#This Row],[Time]]&lt;1, AllData[[#This Row],[Time]]&gt;=0.75)=TRUE, "Evening", "Night")))</f>
        <v>Afternoon</v>
      </c>
      <c r="G1123" t="str">
        <f>_xlfn.XLOOKUP(AllData[[#This Row],[Location Name]], Locations[Location Name],Locations[Group As])</f>
        <v>Preston-on-Stour River Bridge</v>
      </c>
      <c r="H1123" t="e" vm="2">
        <f>_xlfn.XLOOKUP(AllData[[#This Row],[Site Name]],LocationsKey[Site Name],LocationsKey[District])</f>
        <v>#VALUE!</v>
      </c>
      <c r="I1123" t="e" vm="9">
        <f>_xlfn.XLOOKUP(AllData[[#This Row],[Site Name]],LocationsKey[Site Name],LocationsKey[Town])</f>
        <v>#VALUE!</v>
      </c>
      <c r="J1123" t="str">
        <f>_xlfn.XLOOKUP(AllData[[#This Row],[Site Name]],LocationsKey[Site Name], LocationsKey[Waterway])</f>
        <v>Stour</v>
      </c>
      <c r="K1123" t="s">
        <v>163</v>
      </c>
      <c r="L1123">
        <v>52.146448999999997</v>
      </c>
      <c r="M1123">
        <v>-1.699927</v>
      </c>
      <c r="N1123" t="s">
        <v>29</v>
      </c>
      <c r="O1123">
        <v>646</v>
      </c>
      <c r="P1123">
        <v>21.2</v>
      </c>
      <c r="Q1123">
        <v>6</v>
      </c>
      <c r="R1123" s="7" t="str">
        <f>IF(AllData[[#This Row],[Nitrate (PPM)]]&gt;2, "Very high", IF(AllData[[#This Row],[Nitrate (PPM)]]&gt;1, "High", IF(AllData[[#This Row],[Nitrate (PPM)]]&gt;0.5, "Some evidence", IF(AllData[[#This Row],[Nitrate (PPM)]]&gt;=0, "No evidence"))))</f>
        <v>Very high</v>
      </c>
      <c r="S1123" s="4">
        <v>0.41</v>
      </c>
      <c r="T1123" s="7" t="str">
        <f>IF(AllData[[#This Row],[Phosphate (PPM)]]&gt;0.5, "Very high", IF(AllData[[#This Row],[Phosphate (PPM)]]&gt;0.1, "High", IF(AllData[[#This Row],[Phosphate (PPM)]]&gt;0.05, "Some evidence", IF(AllData[[#This Row],[Phosphate (PPM)]]&lt;=0.05, "No Evidence", ""))))</f>
        <v>High</v>
      </c>
      <c r="U1123">
        <v>1</v>
      </c>
      <c r="V1123" t="s">
        <v>1936</v>
      </c>
    </row>
    <row r="1124" spans="1:22" x14ac:dyDescent="0.25">
      <c r="A1124" t="s">
        <v>1845</v>
      </c>
      <c r="B1124" s="2">
        <v>45507</v>
      </c>
      <c r="C1124" s="2" t="str" cm="1">
        <f t="array" ref="C11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4">
        <f>YEAR(AllData[[#This Row],[Date]])</f>
        <v>2024</v>
      </c>
      <c r="E1124" s="1">
        <v>0.39930555555555558</v>
      </c>
      <c r="F1124" s="2" t="str">
        <f>IF(AND(AllData[[#This Row],[Time]]&lt;0.5, AllData[[#This Row],[Time]]&gt;0.17)=TRUE, "Morning", IF(AND(AllData[[#This Row],[Time]]&lt;0.75, AllData[[#This Row],[Time]]&gt;=0.5)=TRUE, "Afternoon", IF(AND(AllData[[#This Row],[Time]]&lt;1, AllData[[#This Row],[Time]]&gt;=0.75)=TRUE, "Evening", "Night")))</f>
        <v>Morning</v>
      </c>
      <c r="G1124" t="str">
        <f>_xlfn.XLOOKUP(AllData[[#This Row],[Location Name]], Locations[Location Name],Locations[Group As])</f>
        <v>Avon Smiths Meadow Wyre Piddle</v>
      </c>
      <c r="H1124" t="e" vm="17">
        <f>_xlfn.XLOOKUP(AllData[[#This Row],[Site Name]],LocationsKey[Site Name],LocationsKey[District])</f>
        <v>#VALUE!</v>
      </c>
      <c r="I1124" t="e" vm="20">
        <f>_xlfn.XLOOKUP(AllData[[#This Row],[Site Name]],LocationsKey[Site Name],LocationsKey[Town])</f>
        <v>#VALUE!</v>
      </c>
      <c r="J1124" t="str">
        <f>_xlfn.XLOOKUP(AllData[[#This Row],[Site Name]],LocationsKey[Site Name], LocationsKey[Waterway])</f>
        <v>Avon</v>
      </c>
      <c r="K1124" t="s">
        <v>741</v>
      </c>
      <c r="L1124">
        <v>52.122847999999998</v>
      </c>
      <c r="M1124">
        <v>-2.057356</v>
      </c>
      <c r="N1124" t="s">
        <v>23</v>
      </c>
      <c r="O1124">
        <v>1030</v>
      </c>
      <c r="P1124">
        <v>22.6</v>
      </c>
      <c r="Q1124">
        <v>10</v>
      </c>
      <c r="R1124" s="7" t="str">
        <f>IF(AllData[[#This Row],[Nitrate (PPM)]]&gt;2, "Very high", IF(AllData[[#This Row],[Nitrate (PPM)]]&gt;1, "High", IF(AllData[[#This Row],[Nitrate (PPM)]]&gt;0.5, "Some evidence", IF(AllData[[#This Row],[Nitrate (PPM)]]&gt;=0, "No evidence"))))</f>
        <v>Very high</v>
      </c>
      <c r="S1124" s="4">
        <v>1.06</v>
      </c>
      <c r="T1124" s="7" t="str">
        <f>IF(AllData[[#This Row],[Phosphate (PPM)]]&gt;0.5, "Very high", IF(AllData[[#This Row],[Phosphate (PPM)]]&gt;0.1, "High", IF(AllData[[#This Row],[Phosphate (PPM)]]&gt;0.05, "Some evidence", IF(AllData[[#This Row],[Phosphate (PPM)]]&lt;=0.05, "No Evidence", ""))))</f>
        <v>Very high</v>
      </c>
      <c r="U1124">
        <v>0.55000000000000004</v>
      </c>
      <c r="V1124" t="s">
        <v>1935</v>
      </c>
    </row>
    <row r="1125" spans="1:22" x14ac:dyDescent="0.25">
      <c r="A1125" t="s">
        <v>1844</v>
      </c>
      <c r="B1125" s="2">
        <v>45507</v>
      </c>
      <c r="C1125" s="2" t="str" cm="1">
        <f t="array" ref="C11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5">
        <f>YEAR(AllData[[#This Row],[Date]])</f>
        <v>2024</v>
      </c>
      <c r="E1125" s="1">
        <v>0.42638888888888887</v>
      </c>
      <c r="F1125" s="2" t="str">
        <f>IF(AND(AllData[[#This Row],[Time]]&lt;0.5, AllData[[#This Row],[Time]]&gt;0.17)=TRUE, "Morning", IF(AND(AllData[[#This Row],[Time]]&lt;0.75, AllData[[#This Row],[Time]]&gt;=0.5)=TRUE, "Afternoon", IF(AND(AllData[[#This Row],[Time]]&lt;1, AllData[[#This Row],[Time]]&gt;=0.75)=TRUE, "Evening", "Night")))</f>
        <v>Morning</v>
      </c>
      <c r="G1125" t="str">
        <f>_xlfn.XLOOKUP(AllData[[#This Row],[Location Name]], Locations[Location Name],Locations[Group As])</f>
        <v>Piddle Brook Wyre Piddle Bridge</v>
      </c>
      <c r="H1125" t="e" vm="17">
        <f>_xlfn.XLOOKUP(AllData[[#This Row],[Site Name]],LocationsKey[Site Name],LocationsKey[District])</f>
        <v>#VALUE!</v>
      </c>
      <c r="I1125" t="e" vm="20">
        <f>_xlfn.XLOOKUP(AllData[[#This Row],[Site Name]],LocationsKey[Site Name],LocationsKey[Town])</f>
        <v>#VALUE!</v>
      </c>
      <c r="J1125" t="str">
        <f>_xlfn.XLOOKUP(AllData[[#This Row],[Site Name]],LocationsKey[Site Name], LocationsKey[Waterway])</f>
        <v>Piddle Brook</v>
      </c>
      <c r="K1125" t="s">
        <v>744</v>
      </c>
      <c r="L1125">
        <v>52.126415000000001</v>
      </c>
      <c r="M1125">
        <v>-2.0565159999999998</v>
      </c>
      <c r="N1125" t="s">
        <v>23</v>
      </c>
      <c r="O1125">
        <v>1800</v>
      </c>
      <c r="P1125">
        <v>19.100000000000001</v>
      </c>
      <c r="Q1125">
        <v>5</v>
      </c>
      <c r="R1125" s="7" t="str">
        <f>IF(AllData[[#This Row],[Nitrate (PPM)]]&gt;2, "Very high", IF(AllData[[#This Row],[Nitrate (PPM)]]&gt;1, "High", IF(AllData[[#This Row],[Nitrate (PPM)]]&gt;0.5, "Some evidence", IF(AllData[[#This Row],[Nitrate (PPM)]]&gt;=0, "No evidence"))))</f>
        <v>Very high</v>
      </c>
      <c r="S1125" s="4">
        <v>1.32</v>
      </c>
      <c r="T1125" s="7" t="str">
        <f>IF(AllData[[#This Row],[Phosphate (PPM)]]&gt;0.5, "Very high", IF(AllData[[#This Row],[Phosphate (PPM)]]&gt;0.1, "High", IF(AllData[[#This Row],[Phosphate (PPM)]]&gt;0.05, "Some evidence", IF(AllData[[#This Row],[Phosphate (PPM)]]&lt;=0.05, "No Evidence", ""))))</f>
        <v>Very high</v>
      </c>
      <c r="U1125">
        <v>0.15</v>
      </c>
      <c r="V1125" t="s">
        <v>1934</v>
      </c>
    </row>
    <row r="1126" spans="1:22" x14ac:dyDescent="0.25">
      <c r="A1126" t="s">
        <v>1843</v>
      </c>
      <c r="B1126" s="2">
        <v>45507</v>
      </c>
      <c r="C1126" s="2" t="str" cm="1">
        <f t="array" ref="C11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6">
        <f>YEAR(AllData[[#This Row],[Date]])</f>
        <v>2024</v>
      </c>
      <c r="E1126" s="1">
        <v>0.44722222222222224</v>
      </c>
      <c r="F1126" s="2" t="str">
        <f>IF(AND(AllData[[#This Row],[Time]]&lt;0.5, AllData[[#This Row],[Time]]&gt;0.17)=TRUE, "Morning", IF(AND(AllData[[#This Row],[Time]]&lt;0.75, AllData[[#This Row],[Time]]&gt;=0.5)=TRUE, "Afternoon", IF(AND(AllData[[#This Row],[Time]]&lt;1, AllData[[#This Row],[Time]]&gt;=0.75)=TRUE, "Evening", "Night")))</f>
        <v>Morning</v>
      </c>
      <c r="G1126" t="str">
        <f>_xlfn.XLOOKUP(AllData[[#This Row],[Location Name]], Locations[Location Name],Locations[Group As])</f>
        <v>Site 1  :  Middle Street</v>
      </c>
      <c r="H1126" t="e" vm="2">
        <f>_xlfn.XLOOKUP(AllData[[#This Row],[Site Name]],LocationsKey[Site Name],LocationsKey[District])</f>
        <v>#VALUE!</v>
      </c>
      <c r="I1126" t="e" vm="11">
        <f>_xlfn.XLOOKUP(AllData[[#This Row],[Site Name]],LocationsKey[Site Name],LocationsKey[Town])</f>
        <v>#VALUE!</v>
      </c>
      <c r="J1126" t="str">
        <f>_xlfn.XLOOKUP(AllData[[#This Row],[Site Name]],LocationsKey[Site Name], LocationsKey[Waterway])</f>
        <v>Fosseway Brook</v>
      </c>
      <c r="K1126" t="s">
        <v>1866</v>
      </c>
      <c r="L1126">
        <v>52.089803000000003</v>
      </c>
      <c r="M1126">
        <v>-1.6924680000000001</v>
      </c>
      <c r="N1126" t="s">
        <v>66</v>
      </c>
      <c r="O1126">
        <v>684</v>
      </c>
      <c r="P1126">
        <v>20.7</v>
      </c>
      <c r="Q1126">
        <v>0</v>
      </c>
      <c r="R1126" s="7" t="str">
        <f>IF(AllData[[#This Row],[Nitrate (PPM)]]&gt;2, "Very high", IF(AllData[[#This Row],[Nitrate (PPM)]]&gt;1, "High", IF(AllData[[#This Row],[Nitrate (PPM)]]&gt;0.5, "Some evidence", IF(AllData[[#This Row],[Nitrate (PPM)]]&gt;=0, "No evidence"))))</f>
        <v>No evidence</v>
      </c>
      <c r="S1126" s="4">
        <v>0.23</v>
      </c>
      <c r="T1126" s="7" t="str">
        <f>IF(AllData[[#This Row],[Phosphate (PPM)]]&gt;0.5, "Very high", IF(AllData[[#This Row],[Phosphate (PPM)]]&gt;0.1, "High", IF(AllData[[#This Row],[Phosphate (PPM)]]&gt;0.05, "Some evidence", IF(AllData[[#This Row],[Phosphate (PPM)]]&lt;=0.05, "No Evidence", ""))))</f>
        <v>High</v>
      </c>
      <c r="U1126">
        <v>0.02</v>
      </c>
      <c r="V1126" t="s">
        <v>1933</v>
      </c>
    </row>
    <row r="1127" spans="1:22" x14ac:dyDescent="0.25">
      <c r="A1127" t="s">
        <v>1842</v>
      </c>
      <c r="B1127" s="2">
        <v>45507</v>
      </c>
      <c r="C1127" s="2" t="str" cm="1">
        <f t="array" ref="C11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7">
        <f>YEAR(AllData[[#This Row],[Date]])</f>
        <v>2024</v>
      </c>
      <c r="E1127" s="1">
        <v>0.46111111111111114</v>
      </c>
      <c r="F1127" s="2" t="str">
        <f>IF(AND(AllData[[#This Row],[Time]]&lt;0.5, AllData[[#This Row],[Time]]&gt;0.17)=TRUE, "Morning", IF(AND(AllData[[#This Row],[Time]]&lt;0.75, AllData[[#This Row],[Time]]&gt;=0.5)=TRUE, "Afternoon", IF(AND(AllData[[#This Row],[Time]]&lt;1, AllData[[#This Row],[Time]]&gt;=0.75)=TRUE, "Evening", "Night")))</f>
        <v>Morning</v>
      </c>
      <c r="G1127" t="str">
        <f>_xlfn.XLOOKUP(AllData[[#This Row],[Location Name]], Locations[Location Name],Locations[Group As])</f>
        <v>Site 2  :  Cross Leys culvert</v>
      </c>
      <c r="H1127" t="e" vm="2">
        <f>_xlfn.XLOOKUP(AllData[[#This Row],[Site Name]],LocationsKey[Site Name],LocationsKey[District])</f>
        <v>#VALUE!</v>
      </c>
      <c r="I1127" t="e" vm="11">
        <f>_xlfn.XLOOKUP(AllData[[#This Row],[Site Name]],LocationsKey[Site Name],LocationsKey[Town])</f>
        <v>#VALUE!</v>
      </c>
      <c r="J1127" t="str">
        <f>_xlfn.XLOOKUP(AllData[[#This Row],[Site Name]],LocationsKey[Site Name], LocationsKey[Waterway])</f>
        <v>Fosseway Brook</v>
      </c>
      <c r="K1127" t="s">
        <v>1865</v>
      </c>
      <c r="L1127">
        <v>52.093113000000002</v>
      </c>
      <c r="M1127">
        <v>-1.6863109999999999</v>
      </c>
      <c r="N1127" t="s">
        <v>66</v>
      </c>
      <c r="O1127">
        <v>830</v>
      </c>
      <c r="P1127">
        <v>19.2</v>
      </c>
      <c r="Q1127">
        <v>0.5</v>
      </c>
      <c r="R1127" s="7" t="str">
        <f>IF(AllData[[#This Row],[Nitrate (PPM)]]&gt;2, "Very high", IF(AllData[[#This Row],[Nitrate (PPM)]]&gt;1, "High", IF(AllData[[#This Row],[Nitrate (PPM)]]&gt;0.5, "Some evidence", IF(AllData[[#This Row],[Nitrate (PPM)]]&gt;=0, "No evidence"))))</f>
        <v>No evidence</v>
      </c>
      <c r="S1127" s="4">
        <v>0.52</v>
      </c>
      <c r="T1127" s="7" t="str">
        <f>IF(AllData[[#This Row],[Phosphate (PPM)]]&gt;0.5, "Very high", IF(AllData[[#This Row],[Phosphate (PPM)]]&gt;0.1, "High", IF(AllData[[#This Row],[Phosphate (PPM)]]&gt;0.05, "Some evidence", IF(AllData[[#This Row],[Phosphate (PPM)]]&lt;=0.05, "No Evidence", ""))))</f>
        <v>Very high</v>
      </c>
      <c r="U1127">
        <v>7.0000000000000007E-2</v>
      </c>
    </row>
    <row r="1128" spans="1:22" x14ac:dyDescent="0.25">
      <c r="A1128" t="s">
        <v>1841</v>
      </c>
      <c r="B1128" s="2">
        <v>45507</v>
      </c>
      <c r="C1128" s="2" t="str" cm="1">
        <f t="array" ref="C11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8">
        <f>YEAR(AllData[[#This Row],[Date]])</f>
        <v>2024</v>
      </c>
      <c r="E1128" s="1">
        <v>0.47083333333333333</v>
      </c>
      <c r="F1128" s="2" t="str">
        <f>IF(AND(AllData[[#This Row],[Time]]&lt;0.5, AllData[[#This Row],[Time]]&gt;0.17)=TRUE, "Morning", IF(AND(AllData[[#This Row],[Time]]&lt;0.75, AllData[[#This Row],[Time]]&gt;=0.5)=TRUE, "Afternoon", IF(AND(AllData[[#This Row],[Time]]&lt;1, AllData[[#This Row],[Time]]&gt;=0.75)=TRUE, "Evening", "Night")))</f>
        <v>Morning</v>
      </c>
      <c r="G1128" t="str">
        <f>_xlfn.XLOOKUP(AllData[[#This Row],[Location Name]], Locations[Location Name],Locations[Group As])</f>
        <v>Site 3  :  Severn Trent Water processing plant outflow</v>
      </c>
      <c r="H1128" t="e" vm="2">
        <f>_xlfn.XLOOKUP(AllData[[#This Row],[Site Name]],LocationsKey[Site Name],LocationsKey[District])</f>
        <v>#VALUE!</v>
      </c>
      <c r="I1128" t="e" vm="11">
        <f>_xlfn.XLOOKUP(AllData[[#This Row],[Site Name]],LocationsKey[Site Name],LocationsKey[Town])</f>
        <v>#VALUE!</v>
      </c>
      <c r="J1128" t="str">
        <f>_xlfn.XLOOKUP(AllData[[#This Row],[Site Name]],LocationsKey[Site Name], LocationsKey[Waterway])</f>
        <v>Fosseway Brook</v>
      </c>
      <c r="K1128" t="s">
        <v>1864</v>
      </c>
      <c r="L1128">
        <v>52.082183000000001</v>
      </c>
      <c r="M1128">
        <v>-1.6408750000000001</v>
      </c>
      <c r="N1128" t="s">
        <v>29</v>
      </c>
      <c r="O1128">
        <v>850</v>
      </c>
      <c r="P1128">
        <v>20.100000000000001</v>
      </c>
      <c r="Q1128">
        <v>10</v>
      </c>
      <c r="R1128" s="7" t="str">
        <f>IF(AllData[[#This Row],[Nitrate (PPM)]]&gt;2, "Very high", IF(AllData[[#This Row],[Nitrate (PPM)]]&gt;1, "High", IF(AllData[[#This Row],[Nitrate (PPM)]]&gt;0.5, "Some evidence", IF(AllData[[#This Row],[Nitrate (PPM)]]&gt;=0, "No evidence"))))</f>
        <v>Very high</v>
      </c>
      <c r="S1128" s="4">
        <v>2.5</v>
      </c>
      <c r="T1128" s="7" t="str">
        <f>IF(AllData[[#This Row],[Phosphate (PPM)]]&gt;0.5, "Very high", IF(AllData[[#This Row],[Phosphate (PPM)]]&gt;0.1, "High", IF(AllData[[#This Row],[Phosphate (PPM)]]&gt;0.05, "Some evidence", IF(AllData[[#This Row],[Phosphate (PPM)]]&lt;=0.05, "No Evidence", ""))))</f>
        <v>Very high</v>
      </c>
      <c r="U1128">
        <v>0.1</v>
      </c>
    </row>
    <row r="1129" spans="1:22" x14ac:dyDescent="0.25">
      <c r="A1129" t="s">
        <v>1829</v>
      </c>
      <c r="B1129" s="2">
        <v>45507</v>
      </c>
      <c r="C1129" s="2" t="str" cm="1">
        <f t="array" ref="C11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9">
        <f>YEAR(AllData[[#This Row],[Date]])</f>
        <v>2024</v>
      </c>
      <c r="E1129" s="1">
        <v>0.47916666666666669</v>
      </c>
      <c r="F1129" s="2" t="str">
        <f>IF(AND(AllData[[#This Row],[Time]]&lt;0.5, AllData[[#This Row],[Time]]&gt;0.17)=TRUE, "Morning", IF(AND(AllData[[#This Row],[Time]]&lt;0.75, AllData[[#This Row],[Time]]&gt;=0.5)=TRUE, "Afternoon", IF(AND(AllData[[#This Row],[Time]]&lt;1, AllData[[#This Row],[Time]]&gt;=0.75)=TRUE, "Evening", "Night")))</f>
        <v>Morning</v>
      </c>
      <c r="G1129" t="str">
        <f>_xlfn.XLOOKUP(AllData[[#This Row],[Location Name]], Locations[Location Name],Locations[Group As])</f>
        <v>Carrant Bredon Rd</v>
      </c>
      <c r="H1129" t="e" vm="1">
        <f>_xlfn.XLOOKUP(AllData[[#This Row],[Site Name]],LocationsKey[Site Name],LocationsKey[District])</f>
        <v>#VALUE!</v>
      </c>
      <c r="I1129" t="e" vm="1">
        <f>_xlfn.XLOOKUP(AllData[[#This Row],[Site Name]],LocationsKey[Site Name],LocationsKey[Town])</f>
        <v>#VALUE!</v>
      </c>
      <c r="J1129" t="str">
        <f>_xlfn.XLOOKUP(AllData[[#This Row],[Site Name]],LocationsKey[Site Name], LocationsKey[Waterway])</f>
        <v>Carrant</v>
      </c>
      <c r="K1129" t="s">
        <v>600</v>
      </c>
      <c r="L1129">
        <v>51.996138000000002</v>
      </c>
      <c r="M1129">
        <v>-2.1559650000000001</v>
      </c>
      <c r="N1129" t="s">
        <v>23</v>
      </c>
      <c r="O1129">
        <v>698</v>
      </c>
      <c r="P1129">
        <v>19.600000000000001</v>
      </c>
      <c r="Q1129">
        <v>5</v>
      </c>
      <c r="R1129" s="7" t="str">
        <f>IF(AllData[[#This Row],[Nitrate (PPM)]]&gt;2, "Very high", IF(AllData[[#This Row],[Nitrate (PPM)]]&gt;1, "High", IF(AllData[[#This Row],[Nitrate (PPM)]]&gt;0.5, "Some evidence", IF(AllData[[#This Row],[Nitrate (PPM)]]&gt;=0, "No evidence"))))</f>
        <v>Very high</v>
      </c>
      <c r="S1129" s="4">
        <v>0.56000000000000005</v>
      </c>
      <c r="T1129" s="7" t="str">
        <f>IF(AllData[[#This Row],[Phosphate (PPM)]]&gt;0.5, "Very high", IF(AllData[[#This Row],[Phosphate (PPM)]]&gt;0.1, "High", IF(AllData[[#This Row],[Phosphate (PPM)]]&gt;0.05, "Some evidence", IF(AllData[[#This Row],[Phosphate (PPM)]]&lt;=0.05, "No Evidence", ""))))</f>
        <v>Very high</v>
      </c>
      <c r="U1129">
        <v>0</v>
      </c>
    </row>
    <row r="1130" spans="1:22" x14ac:dyDescent="0.25">
      <c r="A1130" t="s">
        <v>1840</v>
      </c>
      <c r="B1130" s="2">
        <v>45507</v>
      </c>
      <c r="C1130" s="2" t="str" cm="1">
        <f t="array" ref="C11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0">
        <f>YEAR(AllData[[#This Row],[Date]])</f>
        <v>2024</v>
      </c>
      <c r="E1130" s="1">
        <v>0.64930555555555558</v>
      </c>
      <c r="F1130" s="2" t="str">
        <f>IF(AND(AllData[[#This Row],[Time]]&lt;0.5, AllData[[#This Row],[Time]]&gt;0.17)=TRUE, "Morning", IF(AND(AllData[[#This Row],[Time]]&lt;0.75, AllData[[#This Row],[Time]]&gt;=0.5)=TRUE, "Afternoon", IF(AND(AllData[[#This Row],[Time]]&lt;1, AllData[[#This Row],[Time]]&gt;=0.75)=TRUE, "Evening", "Night")))</f>
        <v>Afternoon</v>
      </c>
      <c r="G1130" t="str">
        <f>_xlfn.XLOOKUP(AllData[[#This Row],[Location Name]], Locations[Location Name],Locations[Group As])</f>
        <v>Black Bear</v>
      </c>
      <c r="H1130" t="e" vm="1">
        <f>_xlfn.XLOOKUP(AllData[[#This Row],[Site Name]],LocationsKey[Site Name],LocationsKey[District])</f>
        <v>#VALUE!</v>
      </c>
      <c r="I1130" t="e" vm="1">
        <f>_xlfn.XLOOKUP(AllData[[#This Row],[Site Name]],LocationsKey[Site Name],LocationsKey[Town])</f>
        <v>#VALUE!</v>
      </c>
      <c r="J1130" t="str">
        <f>_xlfn.XLOOKUP(AllData[[#This Row],[Site Name]],LocationsKey[Site Name], LocationsKey[Waterway])</f>
        <v>Avon</v>
      </c>
      <c r="K1130" t="s">
        <v>1045</v>
      </c>
      <c r="L1130">
        <v>51.997698999999997</v>
      </c>
      <c r="M1130">
        <v>-2.1563870000000001</v>
      </c>
      <c r="N1130" t="s">
        <v>23</v>
      </c>
      <c r="O1130">
        <v>980</v>
      </c>
      <c r="P1130">
        <v>23.4</v>
      </c>
      <c r="Q1130">
        <v>10</v>
      </c>
      <c r="R1130" s="7" t="str">
        <f>IF(AllData[[#This Row],[Nitrate (PPM)]]&gt;2, "Very high", IF(AllData[[#This Row],[Nitrate (PPM)]]&gt;1, "High", IF(AllData[[#This Row],[Nitrate (PPM)]]&gt;0.5, "Some evidence", IF(AllData[[#This Row],[Nitrate (PPM)]]&gt;=0, "No evidence"))))</f>
        <v>Very high</v>
      </c>
      <c r="S1130" s="4">
        <v>1.1599999999999999</v>
      </c>
      <c r="T1130" s="7" t="str">
        <f>IF(AllData[[#This Row],[Phosphate (PPM)]]&gt;0.5, "Very high", IF(AllData[[#This Row],[Phosphate (PPM)]]&gt;0.1, "High", IF(AllData[[#This Row],[Phosphate (PPM)]]&gt;0.05, "Some evidence", IF(AllData[[#This Row],[Phosphate (PPM)]]&lt;=0.05, "No Evidence", ""))))</f>
        <v>Very high</v>
      </c>
      <c r="U1130">
        <v>0</v>
      </c>
    </row>
    <row r="1131" spans="1:22" x14ac:dyDescent="0.25">
      <c r="A1131" t="s">
        <v>1838</v>
      </c>
      <c r="B1131" s="2">
        <v>45507</v>
      </c>
      <c r="C1131" s="2" t="str" cm="1">
        <f t="array" ref="C11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1">
        <f>YEAR(AllData[[#This Row],[Date]])</f>
        <v>2024</v>
      </c>
      <c r="E1131" s="1">
        <v>0.80625000000000002</v>
      </c>
      <c r="F1131" s="2" t="str">
        <f>IF(AND(AllData[[#This Row],[Time]]&lt;0.5, AllData[[#This Row],[Time]]&gt;0.17)=TRUE, "Morning", IF(AND(AllData[[#This Row],[Time]]&lt;0.75, AllData[[#This Row],[Time]]&gt;=0.5)=TRUE, "Afternoon", IF(AND(AllData[[#This Row],[Time]]&lt;1, AllData[[#This Row],[Time]]&gt;=0.75)=TRUE, "Evening", "Night")))</f>
        <v>Evening</v>
      </c>
      <c r="G1131" t="str">
        <f>_xlfn.XLOOKUP(AllData[[#This Row],[Location Name]], Locations[Location Name],Locations[Group As])</f>
        <v>Abbey Mill</v>
      </c>
      <c r="H1131" t="e" vm="1">
        <f>_xlfn.XLOOKUP(AllData[[#This Row],[Site Name]],LocationsKey[Site Name],LocationsKey[District])</f>
        <v>#VALUE!</v>
      </c>
      <c r="I1131" t="e" vm="1">
        <f>_xlfn.XLOOKUP(AllData[[#This Row],[Site Name]],LocationsKey[Site Name],LocationsKey[Town])</f>
        <v>#VALUE!</v>
      </c>
      <c r="J1131" t="str">
        <f>_xlfn.XLOOKUP(AllData[[#This Row],[Site Name]],LocationsKey[Site Name], LocationsKey[Waterway])</f>
        <v>Avon</v>
      </c>
      <c r="K1131" t="s">
        <v>25</v>
      </c>
      <c r="L1131">
        <v>51.991456999999997</v>
      </c>
      <c r="M1131">
        <v>-2.1626150000000002</v>
      </c>
      <c r="N1131" t="s">
        <v>23</v>
      </c>
      <c r="O1131">
        <v>983</v>
      </c>
      <c r="P1131">
        <v>22.7</v>
      </c>
      <c r="Q1131">
        <v>15</v>
      </c>
      <c r="R1131" s="7" t="str">
        <f>IF(AllData[[#This Row],[Nitrate (PPM)]]&gt;2, "Very high", IF(AllData[[#This Row],[Nitrate (PPM)]]&gt;1, "High", IF(AllData[[#This Row],[Nitrate (PPM)]]&gt;0.5, "Some evidence", IF(AllData[[#This Row],[Nitrate (PPM)]]&gt;=0, "No evidence"))))</f>
        <v>Very high</v>
      </c>
      <c r="S1131" s="4">
        <v>0.97</v>
      </c>
      <c r="T1131" s="7" t="str">
        <f>IF(AllData[[#This Row],[Phosphate (PPM)]]&gt;0.5, "Very high", IF(AllData[[#This Row],[Phosphate (PPM)]]&gt;0.1, "High", IF(AllData[[#This Row],[Phosphate (PPM)]]&gt;0.05, "Some evidence", IF(AllData[[#This Row],[Phosphate (PPM)]]&lt;=0.05, "No Evidence", ""))))</f>
        <v>Very high</v>
      </c>
      <c r="U1131">
        <v>0.45</v>
      </c>
    </row>
    <row r="1132" spans="1:22" x14ac:dyDescent="0.25">
      <c r="A1132" t="s">
        <v>1827</v>
      </c>
      <c r="B1132" s="2">
        <v>45508</v>
      </c>
      <c r="C1132" s="2" t="str" cm="1">
        <f t="array" ref="C11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2">
        <f>YEAR(AllData[[#This Row],[Date]])</f>
        <v>2024</v>
      </c>
      <c r="E1132" s="1">
        <v>0.35694444444444445</v>
      </c>
      <c r="F1132" s="2" t="str">
        <f>IF(AND(AllData[[#This Row],[Time]]&lt;0.5, AllData[[#This Row],[Time]]&gt;0.17)=TRUE, "Morning", IF(AND(AllData[[#This Row],[Time]]&lt;0.75, AllData[[#This Row],[Time]]&gt;=0.5)=TRUE, "Afternoon", IF(AND(AllData[[#This Row],[Time]]&lt;1, AllData[[#This Row],[Time]]&gt;=0.75)=TRUE, "Evening", "Night")))</f>
        <v>Morning</v>
      </c>
      <c r="G1132" t="str">
        <f>_xlfn.XLOOKUP(AllData[[#This Row],[Location Name]], Locations[Location Name],Locations[Group As])</f>
        <v>The Ford, Langley</v>
      </c>
      <c r="H1132" t="e" vm="2">
        <f>_xlfn.XLOOKUP(AllData[[#This Row],[Site Name]],LocationsKey[Site Name],LocationsKey[District])</f>
        <v>#VALUE!</v>
      </c>
      <c r="I1132" t="str">
        <f>_xlfn.XLOOKUP(AllData[[#This Row],[Site Name]],LocationsKey[Site Name],LocationsKey[Town])</f>
        <v>Langley</v>
      </c>
      <c r="J1132" t="str">
        <f>_xlfn.XLOOKUP(AllData[[#This Row],[Site Name]],LocationsKey[Site Name], LocationsKey[Waterway])</f>
        <v>Langley Ford</v>
      </c>
      <c r="K1132" t="s">
        <v>557</v>
      </c>
      <c r="L1132">
        <v>52.259782000000001</v>
      </c>
      <c r="M1132">
        <v>-1.7185280000000001</v>
      </c>
      <c r="N1132" t="s">
        <v>29</v>
      </c>
      <c r="O1132">
        <v>844</v>
      </c>
      <c r="P1132">
        <v>16.899999999999999</v>
      </c>
      <c r="Q1132">
        <v>5</v>
      </c>
      <c r="R1132" s="7" t="str">
        <f>IF(AllData[[#This Row],[Nitrate (PPM)]]&gt;2, "Very high", IF(AllData[[#This Row],[Nitrate (PPM)]]&gt;1, "High", IF(AllData[[#This Row],[Nitrate (PPM)]]&gt;0.5, "Some evidence", IF(AllData[[#This Row],[Nitrate (PPM)]]&gt;=0, "No evidence"))))</f>
        <v>Very high</v>
      </c>
      <c r="S1132" s="4">
        <v>0.97</v>
      </c>
      <c r="T1132" s="7" t="str">
        <f>IF(AllData[[#This Row],[Phosphate (PPM)]]&gt;0.5, "Very high", IF(AllData[[#This Row],[Phosphate (PPM)]]&gt;0.1, "High", IF(AllData[[#This Row],[Phosphate (PPM)]]&gt;0.05, "Some evidence", IF(AllData[[#This Row],[Phosphate (PPM)]]&lt;=0.05, "No Evidence", ""))))</f>
        <v>Very high</v>
      </c>
      <c r="U1132">
        <v>0.05</v>
      </c>
    </row>
    <row r="1133" spans="1:22" x14ac:dyDescent="0.25">
      <c r="A1133" t="s">
        <v>1690</v>
      </c>
      <c r="B1133" s="2">
        <v>45508</v>
      </c>
      <c r="C1133" s="2" t="str" cm="1">
        <f t="array" ref="C11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3">
        <f>YEAR(AllData[[#This Row],[Date]])</f>
        <v>2024</v>
      </c>
      <c r="E1133" s="1">
        <v>0.41666666666666669</v>
      </c>
      <c r="F1133" s="2" t="str">
        <f>IF(AND(AllData[[#This Row],[Time]]&lt;0.5, AllData[[#This Row],[Time]]&gt;0.17)=TRUE, "Morning", IF(AND(AllData[[#This Row],[Time]]&lt;0.75, AllData[[#This Row],[Time]]&gt;=0.5)=TRUE, "Afternoon", IF(AND(AllData[[#This Row],[Time]]&lt;1, AllData[[#This Row],[Time]]&gt;=0.75)=TRUE, "Evening", "Night")))</f>
        <v>Morning</v>
      </c>
      <c r="G1133" t="str">
        <f>_xlfn.XLOOKUP(AllData[[#This Row],[Location Name]], Locations[Location Name],Locations[Group As])</f>
        <v>Sherbourne Brook 1</v>
      </c>
      <c r="H1133" t="e" vm="2">
        <f>_xlfn.XLOOKUP(AllData[[#This Row],[Site Name]],LocationsKey[Site Name],LocationsKey[District])</f>
        <v>#VALUE!</v>
      </c>
      <c r="I1133" t="e" vm="16">
        <f>_xlfn.XLOOKUP(AllData[[#This Row],[Site Name]],LocationsKey[Site Name],LocationsKey[Town])</f>
        <v>#VALUE!</v>
      </c>
      <c r="J1133" t="str">
        <f>_xlfn.XLOOKUP(AllData[[#This Row],[Site Name]],LocationsKey[Site Name], LocationsKey[Waterway])</f>
        <v>Sherbourne Brook</v>
      </c>
      <c r="K1133" t="s">
        <v>570</v>
      </c>
      <c r="L1133">
        <v>52.252499999999998</v>
      </c>
      <c r="M1133">
        <v>-1.6685000000000001</v>
      </c>
      <c r="N1133" t="s">
        <v>23</v>
      </c>
      <c r="O1133">
        <v>1110</v>
      </c>
      <c r="P1133">
        <v>16.5</v>
      </c>
      <c r="Q1133">
        <v>9</v>
      </c>
      <c r="R1133" s="7" t="str">
        <f>IF(AllData[[#This Row],[Nitrate (PPM)]]&gt;2, "Very high", IF(AllData[[#This Row],[Nitrate (PPM)]]&gt;1, "High", IF(AllData[[#This Row],[Nitrate (PPM)]]&gt;0.5, "Some evidence", IF(AllData[[#This Row],[Nitrate (PPM)]]&gt;=0, "No evidence"))))</f>
        <v>Very high</v>
      </c>
      <c r="S1133" s="4">
        <v>0.39</v>
      </c>
      <c r="T1133" s="7" t="str">
        <f>IF(AllData[[#This Row],[Phosphate (PPM)]]&gt;0.5, "Very high", IF(AllData[[#This Row],[Phosphate (PPM)]]&gt;0.1, "High", IF(AllData[[#This Row],[Phosphate (PPM)]]&gt;0.05, "Some evidence", IF(AllData[[#This Row],[Phosphate (PPM)]]&lt;=0.05, "No Evidence", ""))))</f>
        <v>High</v>
      </c>
      <c r="U1133">
        <v>0.1</v>
      </c>
    </row>
    <row r="1134" spans="1:22" x14ac:dyDescent="0.25">
      <c r="A1134" t="s">
        <v>1689</v>
      </c>
      <c r="B1134" s="2">
        <v>45508</v>
      </c>
      <c r="C1134" s="2" t="str" cm="1">
        <f t="array" ref="C11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4">
        <f>YEAR(AllData[[#This Row],[Date]])</f>
        <v>2024</v>
      </c>
      <c r="E1134" s="1">
        <v>0.42708333333333331</v>
      </c>
      <c r="F1134" s="2" t="str">
        <f>IF(AND(AllData[[#This Row],[Time]]&lt;0.5, AllData[[#This Row],[Time]]&gt;0.17)=TRUE, "Morning", IF(AND(AllData[[#This Row],[Time]]&lt;0.75, AllData[[#This Row],[Time]]&gt;=0.5)=TRUE, "Afternoon", IF(AND(AllData[[#This Row],[Time]]&lt;1, AllData[[#This Row],[Time]]&gt;=0.75)=TRUE, "Evening", "Night")))</f>
        <v>Morning</v>
      </c>
      <c r="G1134" t="str">
        <f>_xlfn.XLOOKUP(AllData[[#This Row],[Location Name]], Locations[Location Name],Locations[Group As])</f>
        <v>Bell Brook 1</v>
      </c>
      <c r="H1134" t="e" vm="2">
        <f>_xlfn.XLOOKUP(AllData[[#This Row],[Site Name]],LocationsKey[Site Name],LocationsKey[District])</f>
        <v>#VALUE!</v>
      </c>
      <c r="I1134" t="e" vm="15">
        <f>_xlfn.XLOOKUP(AllData[[#This Row],[Site Name]],LocationsKey[Site Name],LocationsKey[Town])</f>
        <v>#VALUE!</v>
      </c>
      <c r="J1134" t="str">
        <f>_xlfn.XLOOKUP(AllData[[#This Row],[Site Name]],LocationsKey[Site Name], LocationsKey[Waterway])</f>
        <v>Bell Brook</v>
      </c>
      <c r="K1134" t="s">
        <v>534</v>
      </c>
      <c r="L1134">
        <v>52.244900000000001</v>
      </c>
      <c r="M1134">
        <v>-1.6617</v>
      </c>
      <c r="N1134" t="s">
        <v>23</v>
      </c>
      <c r="O1134">
        <v>909</v>
      </c>
      <c r="P1134">
        <v>17.600000000000001</v>
      </c>
      <c r="Q1134">
        <v>8</v>
      </c>
      <c r="R1134" s="7" t="str">
        <f>IF(AllData[[#This Row],[Nitrate (PPM)]]&gt;2, "Very high", IF(AllData[[#This Row],[Nitrate (PPM)]]&gt;1, "High", IF(AllData[[#This Row],[Nitrate (PPM)]]&gt;0.5, "Some evidence", IF(AllData[[#This Row],[Nitrate (PPM)]]&gt;=0, "No evidence"))))</f>
        <v>Very high</v>
      </c>
      <c r="S1134" s="4">
        <v>0.67</v>
      </c>
      <c r="T1134" s="7" t="str">
        <f>IF(AllData[[#This Row],[Phosphate (PPM)]]&gt;0.5, "Very high", IF(AllData[[#This Row],[Phosphate (PPM)]]&gt;0.1, "High", IF(AllData[[#This Row],[Phosphate (PPM)]]&gt;0.05, "Some evidence", IF(AllData[[#This Row],[Phosphate (PPM)]]&lt;=0.05, "No Evidence", ""))))</f>
        <v>Very high</v>
      </c>
      <c r="U1134">
        <v>0.1</v>
      </c>
    </row>
    <row r="1135" spans="1:22" x14ac:dyDescent="0.25">
      <c r="A1135" t="s">
        <v>1837</v>
      </c>
      <c r="B1135" s="2">
        <v>45508</v>
      </c>
      <c r="C1135" s="2" t="str" cm="1">
        <f t="array" ref="C11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5">
        <f>YEAR(AllData[[#This Row],[Date]])</f>
        <v>2024</v>
      </c>
      <c r="E1135" s="1">
        <v>0.6875</v>
      </c>
      <c r="F1135" s="2" t="str">
        <f>IF(AND(AllData[[#This Row],[Time]]&lt;0.5, AllData[[#This Row],[Time]]&gt;0.17)=TRUE, "Morning", IF(AND(AllData[[#This Row],[Time]]&lt;0.75, AllData[[#This Row],[Time]]&gt;=0.5)=TRUE, "Afternoon", IF(AND(AllData[[#This Row],[Time]]&lt;1, AllData[[#This Row],[Time]]&gt;=0.75)=TRUE, "Evening", "Night")))</f>
        <v>Afternoon</v>
      </c>
      <c r="G1135" t="str">
        <f>_xlfn.XLOOKUP(AllData[[#This Row],[Location Name]], Locations[Location Name],Locations[Group As])</f>
        <v>Fell Mill Footbridge</v>
      </c>
      <c r="H1135" t="e" vm="2">
        <f>_xlfn.XLOOKUP(AllData[[#This Row],[Site Name]],LocationsKey[Site Name],LocationsKey[District])</f>
        <v>#VALUE!</v>
      </c>
      <c r="I1135" t="e" vm="10">
        <f>_xlfn.XLOOKUP(AllData[[#This Row],[Site Name]],LocationsKey[Site Name],LocationsKey[Town])</f>
        <v>#VALUE!</v>
      </c>
      <c r="J1135" t="str">
        <f>_xlfn.XLOOKUP(AllData[[#This Row],[Site Name]],LocationsKey[Site Name], LocationsKey[Waterway])</f>
        <v>Stour</v>
      </c>
      <c r="K1135" t="s">
        <v>818</v>
      </c>
      <c r="L1135">
        <v>52.070086000000003</v>
      </c>
      <c r="M1135">
        <v>-1.61145</v>
      </c>
      <c r="N1135" t="s">
        <v>29</v>
      </c>
      <c r="O1135">
        <v>626</v>
      </c>
      <c r="P1135">
        <v>18.399999999999999</v>
      </c>
      <c r="Q1135">
        <v>5</v>
      </c>
      <c r="R1135" s="7" t="str">
        <f>IF(AllData[[#This Row],[Nitrate (PPM)]]&gt;2, "Very high", IF(AllData[[#This Row],[Nitrate (PPM)]]&gt;1, "High", IF(AllData[[#This Row],[Nitrate (PPM)]]&gt;0.5, "Some evidence", IF(AllData[[#This Row],[Nitrate (PPM)]]&gt;=0, "No evidence"))))</f>
        <v>Very high</v>
      </c>
      <c r="S1135" s="4">
        <v>0.51</v>
      </c>
      <c r="T1135" s="7" t="str">
        <f>IF(AllData[[#This Row],[Phosphate (PPM)]]&gt;0.5, "Very high", IF(AllData[[#This Row],[Phosphate (PPM)]]&gt;0.1, "High", IF(AllData[[#This Row],[Phosphate (PPM)]]&gt;0.05, "Some evidence", IF(AllData[[#This Row],[Phosphate (PPM)]]&lt;=0.05, "No Evidence", ""))))</f>
        <v>Very high</v>
      </c>
      <c r="U1135">
        <v>1.1000000000000001</v>
      </c>
      <c r="V1135" t="s">
        <v>1932</v>
      </c>
    </row>
    <row r="1136" spans="1:22" x14ac:dyDescent="0.25">
      <c r="A1136" t="s">
        <v>1824</v>
      </c>
      <c r="B1136" s="2">
        <v>45509</v>
      </c>
      <c r="C1136" s="2" t="str" cm="1">
        <f t="array" ref="C11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6">
        <f>YEAR(AllData[[#This Row],[Date]])</f>
        <v>2024</v>
      </c>
      <c r="E1136" s="1">
        <v>0.3125</v>
      </c>
      <c r="F1136" s="2" t="str">
        <f>IF(AND(AllData[[#This Row],[Time]]&lt;0.5, AllData[[#This Row],[Time]]&gt;0.17)=TRUE, "Morning", IF(AND(AllData[[#This Row],[Time]]&lt;0.75, AllData[[#This Row],[Time]]&gt;=0.5)=TRUE, "Afternoon", IF(AND(AllData[[#This Row],[Time]]&lt;1, AllData[[#This Row],[Time]]&gt;=0.75)=TRUE, "Evening", "Night")))</f>
        <v>Morning</v>
      </c>
      <c r="G1136" t="str">
        <f>_xlfn.XLOOKUP(AllData[[#This Row],[Location Name]], Locations[Location Name],Locations[Group As])</f>
        <v>Carrant M5 Bridge</v>
      </c>
      <c r="H1136" t="e" vm="1">
        <f>_xlfn.XLOOKUP(AllData[[#This Row],[Site Name]],LocationsKey[Site Name],LocationsKey[District])</f>
        <v>#VALUE!</v>
      </c>
      <c r="I1136" t="e" vm="1">
        <f>_xlfn.XLOOKUP(AllData[[#This Row],[Site Name]],LocationsKey[Site Name],LocationsKey[Town])</f>
        <v>#VALUE!</v>
      </c>
      <c r="J1136" t="str">
        <f>_xlfn.XLOOKUP(AllData[[#This Row],[Site Name]],LocationsKey[Site Name], LocationsKey[Waterway])</f>
        <v>Carrant</v>
      </c>
      <c r="K1136" t="s">
        <v>1015</v>
      </c>
      <c r="N1136" t="s">
        <v>23</v>
      </c>
      <c r="O1136">
        <v>793</v>
      </c>
      <c r="P1136">
        <v>20</v>
      </c>
      <c r="Q1136">
        <v>6</v>
      </c>
      <c r="R1136" s="7" t="str">
        <f>IF(AllData[[#This Row],[Nitrate (PPM)]]&gt;2, "Very high", IF(AllData[[#This Row],[Nitrate (PPM)]]&gt;1, "High", IF(AllData[[#This Row],[Nitrate (PPM)]]&gt;0.5, "Some evidence", IF(AllData[[#This Row],[Nitrate (PPM)]]&gt;=0, "No evidence"))))</f>
        <v>Very high</v>
      </c>
      <c r="S1136" s="4">
        <v>1.75</v>
      </c>
      <c r="T1136" s="7" t="str">
        <f>IF(AllData[[#This Row],[Phosphate (PPM)]]&gt;0.5, "Very high", IF(AllData[[#This Row],[Phosphate (PPM)]]&gt;0.1, "High", IF(AllData[[#This Row],[Phosphate (PPM)]]&gt;0.05, "Some evidence", IF(AllData[[#This Row],[Phosphate (PPM)]]&lt;=0.05, "No Evidence", ""))))</f>
        <v>Very high</v>
      </c>
      <c r="U1136">
        <v>0</v>
      </c>
    </row>
    <row r="1137" spans="1:22" x14ac:dyDescent="0.25">
      <c r="A1137" t="s">
        <v>1835</v>
      </c>
      <c r="B1137" s="2">
        <v>45509</v>
      </c>
      <c r="C1137" s="2" t="str" cm="1">
        <f t="array" ref="C11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7">
        <f>YEAR(AllData[[#This Row],[Date]])</f>
        <v>2024</v>
      </c>
      <c r="E1137" s="1">
        <v>0.34722222222222221</v>
      </c>
      <c r="F1137" s="2" t="str">
        <f>IF(AND(AllData[[#This Row],[Time]]&lt;0.5, AllData[[#This Row],[Time]]&gt;0.17)=TRUE, "Morning", IF(AND(AllData[[#This Row],[Time]]&lt;0.75, AllData[[#This Row],[Time]]&gt;=0.5)=TRUE, "Afternoon", IF(AND(AllData[[#This Row],[Time]]&lt;1, AllData[[#This Row],[Time]]&gt;=0.75)=TRUE, "Evening", "Night")))</f>
        <v>Morning</v>
      </c>
      <c r="G1137" t="str">
        <f>_xlfn.XLOOKUP(AllData[[#This Row],[Location Name]], Locations[Location Name],Locations[Group As])</f>
        <v>Chipping Campden Lady J Gateway</v>
      </c>
      <c r="H1137" t="e" vm="23">
        <f>_xlfn.XLOOKUP(AllData[[#This Row],[Site Name]],LocationsKey[Site Name],LocationsKey[District])</f>
        <v>#VALUE!</v>
      </c>
      <c r="I1137" t="e" vm="24">
        <f>_xlfn.XLOOKUP(AllData[[#This Row],[Site Name]],LocationsKey[Site Name],LocationsKey[Town])</f>
        <v>#VALUE!</v>
      </c>
      <c r="J1137" t="str">
        <f>_xlfn.XLOOKUP(AllData[[#This Row],[Site Name]],LocationsKey[Site Name], LocationsKey[Waterway])</f>
        <v>Cam Brook</v>
      </c>
      <c r="K1137" t="s">
        <v>1476</v>
      </c>
      <c r="N1137" t="s">
        <v>66</v>
      </c>
      <c r="O1137">
        <v>450</v>
      </c>
      <c r="P1137">
        <v>17.2</v>
      </c>
      <c r="Q1137">
        <v>5</v>
      </c>
      <c r="R1137" s="7" t="str">
        <f>IF(AllData[[#This Row],[Nitrate (PPM)]]&gt;2, "Very high", IF(AllData[[#This Row],[Nitrate (PPM)]]&gt;1, "High", IF(AllData[[#This Row],[Nitrate (PPM)]]&gt;0.5, "Some evidence", IF(AllData[[#This Row],[Nitrate (PPM)]]&gt;=0, "No evidence"))))</f>
        <v>Very high</v>
      </c>
      <c r="S1137" s="4">
        <v>0.08</v>
      </c>
      <c r="T1137" s="7" t="str">
        <f>IF(AllData[[#This Row],[Phosphate (PPM)]]&gt;0.5, "Very high", IF(AllData[[#This Row],[Phosphate (PPM)]]&gt;0.1, "High", IF(AllData[[#This Row],[Phosphate (PPM)]]&gt;0.05, "Some evidence", IF(AllData[[#This Row],[Phosphate (PPM)]]&lt;=0.05, "No Evidence", ""))))</f>
        <v>Some evidence</v>
      </c>
      <c r="U1137">
        <v>0.06</v>
      </c>
    </row>
    <row r="1138" spans="1:22" x14ac:dyDescent="0.25">
      <c r="A1138" t="s">
        <v>1836</v>
      </c>
      <c r="B1138" s="2">
        <v>45509</v>
      </c>
      <c r="C1138" s="2" t="str" cm="1">
        <f t="array" ref="C11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8">
        <f>YEAR(AllData[[#This Row],[Date]])</f>
        <v>2024</v>
      </c>
      <c r="E1138" s="1">
        <v>0.40625</v>
      </c>
      <c r="F1138" s="2" t="str">
        <f>IF(AND(AllData[[#This Row],[Time]]&lt;0.5, AllData[[#This Row],[Time]]&gt;0.17)=TRUE, "Morning", IF(AND(AllData[[#This Row],[Time]]&lt;0.75, AllData[[#This Row],[Time]]&gt;=0.5)=TRUE, "Afternoon", IF(AND(AllData[[#This Row],[Time]]&lt;1, AllData[[#This Row],[Time]]&gt;=0.75)=TRUE, "Evening", "Night")))</f>
        <v>Morning</v>
      </c>
      <c r="G1138" t="str">
        <f>_xlfn.XLOOKUP(AllData[[#This Row],[Location Name]], Locations[Location Name],Locations[Group As])</f>
        <v>Chipping Campden Sewage Works</v>
      </c>
      <c r="H1138" t="e" vm="23">
        <f>_xlfn.XLOOKUP(AllData[[#This Row],[Site Name]],LocationsKey[Site Name],LocationsKey[District])</f>
        <v>#VALUE!</v>
      </c>
      <c r="I1138" t="e" vm="24">
        <f>_xlfn.XLOOKUP(AllData[[#This Row],[Site Name]],LocationsKey[Site Name],LocationsKey[Town])</f>
        <v>#VALUE!</v>
      </c>
      <c r="J1138" t="str">
        <f>_xlfn.XLOOKUP(AllData[[#This Row],[Site Name]],LocationsKey[Site Name], LocationsKey[Waterway])</f>
        <v>Cam Brook</v>
      </c>
      <c r="K1138" t="s">
        <v>1474</v>
      </c>
      <c r="N1138" t="s">
        <v>29</v>
      </c>
      <c r="O1138">
        <v>759</v>
      </c>
      <c r="P1138">
        <v>17</v>
      </c>
      <c r="Q1138">
        <v>5</v>
      </c>
      <c r="R1138" s="7" t="str">
        <f>IF(AllData[[#This Row],[Nitrate (PPM)]]&gt;2, "Very high", IF(AllData[[#This Row],[Nitrate (PPM)]]&gt;1, "High", IF(AllData[[#This Row],[Nitrate (PPM)]]&gt;0.5, "Some evidence", IF(AllData[[#This Row],[Nitrate (PPM)]]&gt;=0, "No evidence"))))</f>
        <v>Very high</v>
      </c>
      <c r="S1138" s="4">
        <v>0.37</v>
      </c>
      <c r="T1138" s="7" t="str">
        <f>IF(AllData[[#This Row],[Phosphate (PPM)]]&gt;0.5, "Very high", IF(AllData[[#This Row],[Phosphate (PPM)]]&gt;0.1, "High", IF(AllData[[#This Row],[Phosphate (PPM)]]&gt;0.05, "Some evidence", IF(AllData[[#This Row],[Phosphate (PPM)]]&lt;=0.05, "No Evidence", ""))))</f>
        <v>High</v>
      </c>
      <c r="U1138">
        <v>0.23</v>
      </c>
    </row>
    <row r="1139" spans="1:22" x14ac:dyDescent="0.25">
      <c r="A1139" t="s">
        <v>1830</v>
      </c>
      <c r="B1139" s="2">
        <v>45509</v>
      </c>
      <c r="C1139" s="2" t="str" cm="1">
        <f t="array" ref="C11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9">
        <f>YEAR(AllData[[#This Row],[Date]])</f>
        <v>2024</v>
      </c>
      <c r="E1139" s="1">
        <v>0.63194444444444442</v>
      </c>
      <c r="F1139" s="2" t="str">
        <f>IF(AND(AllData[[#This Row],[Time]]&lt;0.5, AllData[[#This Row],[Time]]&gt;0.17)=TRUE, "Morning", IF(AND(AllData[[#This Row],[Time]]&lt;0.75, AllData[[#This Row],[Time]]&gt;=0.5)=TRUE, "Afternoon", IF(AND(AllData[[#This Row],[Time]]&lt;1, AllData[[#This Row],[Time]]&gt;=0.75)=TRUE, "Evening", "Night")))</f>
        <v>Afternoon</v>
      </c>
      <c r="G1139" t="str">
        <f>_xlfn.XLOOKUP(AllData[[#This Row],[Location Name]], Locations[Location Name],Locations[Group As])</f>
        <v>Chipping Campden Craves</v>
      </c>
      <c r="H1139" t="e" vm="23">
        <f>_xlfn.XLOOKUP(AllData[[#This Row],[Site Name]],LocationsKey[Site Name],LocationsKey[District])</f>
        <v>#VALUE!</v>
      </c>
      <c r="I1139" t="e" vm="24">
        <f>_xlfn.XLOOKUP(AllData[[#This Row],[Site Name]],LocationsKey[Site Name],LocationsKey[Town])</f>
        <v>#VALUE!</v>
      </c>
      <c r="J1139" t="str">
        <f>_xlfn.XLOOKUP(AllData[[#This Row],[Site Name]],LocationsKey[Site Name], LocationsKey[Waterway])</f>
        <v>Cam Brook</v>
      </c>
      <c r="K1139" t="s">
        <v>1862</v>
      </c>
      <c r="L1139">
        <v>52.048583000000001</v>
      </c>
      <c r="M1139">
        <v>-1.7862039999999999</v>
      </c>
      <c r="N1139" t="s">
        <v>66</v>
      </c>
      <c r="O1139">
        <v>421</v>
      </c>
      <c r="P1139">
        <v>21.4</v>
      </c>
      <c r="Q1139">
        <v>2</v>
      </c>
      <c r="R1139" s="7" t="str">
        <f>IF(AllData[[#This Row],[Nitrate (PPM)]]&gt;2, "Very high", IF(AllData[[#This Row],[Nitrate (PPM)]]&gt;1, "High", IF(AllData[[#This Row],[Nitrate (PPM)]]&gt;0.5, "Some evidence", IF(AllData[[#This Row],[Nitrate (PPM)]]&gt;=0, "No evidence"))))</f>
        <v>High</v>
      </c>
      <c r="S1139" s="4">
        <v>3</v>
      </c>
      <c r="T1139" s="7" t="str">
        <f>IF(AllData[[#This Row],[Phosphate (PPM)]]&gt;0.5, "Very high", IF(AllData[[#This Row],[Phosphate (PPM)]]&gt;0.1, "High", IF(AllData[[#This Row],[Phosphate (PPM)]]&gt;0.05, "Some evidence", IF(AllData[[#This Row],[Phosphate (PPM)]]&lt;=0.05, "No Evidence", ""))))</f>
        <v>Very high</v>
      </c>
      <c r="U1139">
        <v>17.2</v>
      </c>
    </row>
    <row r="1140" spans="1:22" x14ac:dyDescent="0.25">
      <c r="A1140" t="s">
        <v>1834</v>
      </c>
      <c r="B1140" s="2">
        <v>45509</v>
      </c>
      <c r="C1140" s="2" t="str" cm="1">
        <f t="array" ref="C11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0">
        <f>YEAR(AllData[[#This Row],[Date]])</f>
        <v>2024</v>
      </c>
      <c r="E1140" s="1">
        <v>0.70138888888888884</v>
      </c>
      <c r="F1140" s="2" t="str">
        <f>IF(AND(AllData[[#This Row],[Time]]&lt;0.5, AllData[[#This Row],[Time]]&gt;0.17)=TRUE, "Morning", IF(AND(AllData[[#This Row],[Time]]&lt;0.75, AllData[[#This Row],[Time]]&gt;=0.5)=TRUE, "Afternoon", IF(AND(AllData[[#This Row],[Time]]&lt;1, AllData[[#This Row],[Time]]&gt;=0.75)=TRUE, "Evening", "Night")))</f>
        <v>Afternoon</v>
      </c>
      <c r="G1140" t="str">
        <f>_xlfn.XLOOKUP(AllData[[#This Row],[Location Name]], Locations[Location Name],Locations[Group As])</f>
        <v>Carrant Back Lane Beckford</v>
      </c>
      <c r="H1140" t="e" vm="1">
        <f>_xlfn.XLOOKUP(AllData[[#This Row],[Site Name]],LocationsKey[Site Name],LocationsKey[District])</f>
        <v>#VALUE!</v>
      </c>
      <c r="I1140" t="str">
        <f>_xlfn.XLOOKUP(AllData[[#This Row],[Site Name]],LocationsKey[Site Name],LocationsKey[Town])</f>
        <v>Beckford</v>
      </c>
      <c r="J1140" t="str">
        <f>_xlfn.XLOOKUP(AllData[[#This Row],[Site Name]],LocationsKey[Site Name], LocationsKey[Waterway])</f>
        <v>Carrant</v>
      </c>
      <c r="K1140" t="s">
        <v>1490</v>
      </c>
      <c r="L1140">
        <v>52.018538999999997</v>
      </c>
      <c r="M1140">
        <v>-2.0388130000000002</v>
      </c>
      <c r="N1140" t="s">
        <v>66</v>
      </c>
      <c r="O1140">
        <v>769</v>
      </c>
      <c r="P1140">
        <v>18.7</v>
      </c>
      <c r="Q1140">
        <v>11</v>
      </c>
      <c r="R1140" s="7" t="str">
        <f>IF(AllData[[#This Row],[Nitrate (PPM)]]&gt;2, "Very high", IF(AllData[[#This Row],[Nitrate (PPM)]]&gt;1, "High", IF(AllData[[#This Row],[Nitrate (PPM)]]&gt;0.5, "Some evidence", IF(AllData[[#This Row],[Nitrate (PPM)]]&gt;=0, "No evidence"))))</f>
        <v>Very high</v>
      </c>
      <c r="S1140" s="4">
        <v>0.73</v>
      </c>
      <c r="T1140" s="7" t="str">
        <f>IF(AllData[[#This Row],[Phosphate (PPM)]]&gt;0.5, "Very high", IF(AllData[[#This Row],[Phosphate (PPM)]]&gt;0.1, "High", IF(AllData[[#This Row],[Phosphate (PPM)]]&gt;0.05, "Some evidence", IF(AllData[[#This Row],[Phosphate (PPM)]]&lt;=0.05, "No Evidence", ""))))</f>
        <v>Very high</v>
      </c>
      <c r="U1140">
        <v>0.2</v>
      </c>
      <c r="V1140" t="s">
        <v>1931</v>
      </c>
    </row>
    <row r="1141" spans="1:22" x14ac:dyDescent="0.25">
      <c r="A1141" t="s">
        <v>1832</v>
      </c>
      <c r="B1141" s="2">
        <v>45509</v>
      </c>
      <c r="C1141" s="2" t="str" cm="1">
        <f t="array" ref="C11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1">
        <f>YEAR(AllData[[#This Row],[Date]])</f>
        <v>2024</v>
      </c>
      <c r="E1141" s="1">
        <v>0.71388888888888891</v>
      </c>
      <c r="F1141" s="2" t="str">
        <f>IF(AND(AllData[[#This Row],[Time]]&lt;0.5, AllData[[#This Row],[Time]]&gt;0.17)=TRUE, "Morning", IF(AND(AllData[[#This Row],[Time]]&lt;0.75, AllData[[#This Row],[Time]]&gt;=0.5)=TRUE, "Afternoon", IF(AND(AllData[[#This Row],[Time]]&lt;1, AllData[[#This Row],[Time]]&gt;=0.75)=TRUE, "Evening", "Night")))</f>
        <v>Afternoon</v>
      </c>
      <c r="G1141" t="str">
        <f>_xlfn.XLOOKUP(AllData[[#This Row],[Location Name]], Locations[Location Name],Locations[Group As])</f>
        <v>Bredon Marina</v>
      </c>
      <c r="H1141" t="e" vm="1">
        <f>_xlfn.XLOOKUP(AllData[[#This Row],[Site Name]],LocationsKey[Site Name],LocationsKey[District])</f>
        <v>#VALUE!</v>
      </c>
      <c r="I1141" t="e" vm="25">
        <f>_xlfn.XLOOKUP(AllData[[#This Row],[Site Name]],LocationsKey[Site Name],LocationsKey[Town])</f>
        <v>#VALUE!</v>
      </c>
      <c r="J1141" t="str">
        <f>_xlfn.XLOOKUP(AllData[[#This Row],[Site Name]],LocationsKey[Site Name], LocationsKey[Waterway])</f>
        <v>Avon</v>
      </c>
      <c r="K1141" t="s">
        <v>1500</v>
      </c>
      <c r="L1141">
        <v>52.033195999999997</v>
      </c>
      <c r="M1141">
        <v>-2.1162109999999998</v>
      </c>
      <c r="N1141" t="s">
        <v>29</v>
      </c>
      <c r="O1141">
        <v>9400</v>
      </c>
      <c r="P1141">
        <v>23.4</v>
      </c>
      <c r="Q1141">
        <v>6</v>
      </c>
      <c r="R1141" s="7" t="str">
        <f>IF(AllData[[#This Row],[Nitrate (PPM)]]&gt;2, "Very high", IF(AllData[[#This Row],[Nitrate (PPM)]]&gt;1, "High", IF(AllData[[#This Row],[Nitrate (PPM)]]&gt;0.5, "Some evidence", IF(AllData[[#This Row],[Nitrate (PPM)]]&gt;=0, "No evidence"))))</f>
        <v>Very high</v>
      </c>
      <c r="S1141" s="4">
        <v>1.58</v>
      </c>
      <c r="T1141" s="7" t="str">
        <f>IF(AllData[[#This Row],[Phosphate (PPM)]]&gt;0.5, "Very high", IF(AllData[[#This Row],[Phosphate (PPM)]]&gt;0.1, "High", IF(AllData[[#This Row],[Phosphate (PPM)]]&gt;0.05, "Some evidence", IF(AllData[[#This Row],[Phosphate (PPM)]]&lt;=0.05, "No Evidence", ""))))</f>
        <v>Very high</v>
      </c>
      <c r="U1141">
        <v>0</v>
      </c>
    </row>
    <row r="1142" spans="1:22" x14ac:dyDescent="0.25">
      <c r="A1142" t="s">
        <v>1833</v>
      </c>
      <c r="B1142" s="2">
        <v>45509</v>
      </c>
      <c r="C1142" s="2" t="str" cm="1">
        <f t="array" ref="C11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2">
        <f>YEAR(AllData[[#This Row],[Date]])</f>
        <v>2024</v>
      </c>
      <c r="E1142" s="1">
        <v>0.71527777777777779</v>
      </c>
      <c r="F1142" s="2" t="str">
        <f>IF(AND(AllData[[#This Row],[Time]]&lt;0.5, AllData[[#This Row],[Time]]&gt;0.17)=TRUE, "Morning", IF(AND(AllData[[#This Row],[Time]]&lt;0.75, AllData[[#This Row],[Time]]&gt;=0.5)=TRUE, "Afternoon", IF(AND(AllData[[#This Row],[Time]]&lt;1, AllData[[#This Row],[Time]]&gt;=0.75)=TRUE, "Evening", "Night")))</f>
        <v>Afternoon</v>
      </c>
      <c r="G1142" t="str">
        <f>_xlfn.XLOOKUP(AllData[[#This Row],[Location Name]], Locations[Location Name],Locations[Group As])</f>
        <v>Stour Stretton-on-Fosse Village</v>
      </c>
      <c r="H1142" t="e" vm="2">
        <f>_xlfn.XLOOKUP(AllData[[#This Row],[Site Name]],LocationsKey[Site Name],LocationsKey[District])</f>
        <v>#VALUE!</v>
      </c>
      <c r="I1142" t="e" vm="14">
        <f>_xlfn.XLOOKUP(AllData[[#This Row],[Site Name]],LocationsKey[Site Name],LocationsKey[Town])</f>
        <v>#VALUE!</v>
      </c>
      <c r="J1142" t="str">
        <f>_xlfn.XLOOKUP(AllData[[#This Row],[Site Name]],LocationsKey[Site Name], LocationsKey[Waterway])</f>
        <v>Stour</v>
      </c>
      <c r="K1142" t="s">
        <v>544</v>
      </c>
      <c r="L1142">
        <v>52.046540999999998</v>
      </c>
      <c r="M1142">
        <v>-1.6734070000000001</v>
      </c>
      <c r="N1142" t="s">
        <v>66</v>
      </c>
      <c r="O1142">
        <v>742</v>
      </c>
      <c r="P1142">
        <v>18.5</v>
      </c>
      <c r="Q1142">
        <v>0.5</v>
      </c>
      <c r="R1142" s="7" t="str">
        <f>IF(AllData[[#This Row],[Nitrate (PPM)]]&gt;2, "Very high", IF(AllData[[#This Row],[Nitrate (PPM)]]&gt;1, "High", IF(AllData[[#This Row],[Nitrate (PPM)]]&gt;0.5, "Some evidence", IF(AllData[[#This Row],[Nitrate (PPM)]]&gt;=0, "No evidence"))))</f>
        <v>No evidence</v>
      </c>
      <c r="S1142" s="4">
        <v>2.5</v>
      </c>
      <c r="T1142" s="7" t="str">
        <f>IF(AllData[[#This Row],[Phosphate (PPM)]]&gt;0.5, "Very high", IF(AllData[[#This Row],[Phosphate (PPM)]]&gt;0.1, "High", IF(AllData[[#This Row],[Phosphate (PPM)]]&gt;0.05, "Some evidence", IF(AllData[[#This Row],[Phosphate (PPM)]]&lt;=0.05, "No Evidence", ""))))</f>
        <v>Very high</v>
      </c>
      <c r="U1142">
        <v>0.15</v>
      </c>
      <c r="V1142" t="s">
        <v>1177</v>
      </c>
    </row>
    <row r="1143" spans="1:22" x14ac:dyDescent="0.25">
      <c r="A1143" t="s">
        <v>1831</v>
      </c>
      <c r="B1143" s="2">
        <v>45509</v>
      </c>
      <c r="C1143" s="2" t="str" cm="1">
        <f t="array" ref="C11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3">
        <f>YEAR(AllData[[#This Row],[Date]])</f>
        <v>2024</v>
      </c>
      <c r="E1143" s="1">
        <v>0.72499999999999998</v>
      </c>
      <c r="F1143" s="2" t="str">
        <f>IF(AND(AllData[[#This Row],[Time]]&lt;0.5, AllData[[#This Row],[Time]]&gt;0.17)=TRUE, "Morning", IF(AND(AllData[[#This Row],[Time]]&lt;0.75, AllData[[#This Row],[Time]]&gt;=0.5)=TRUE, "Afternoon", IF(AND(AllData[[#This Row],[Time]]&lt;1, AllData[[#This Row],[Time]]&gt;=0.75)=TRUE, "Evening", "Night")))</f>
        <v>Afternoon</v>
      </c>
      <c r="G1143" t="str">
        <f>_xlfn.XLOOKUP(AllData[[#This Row],[Location Name]], Locations[Location Name],Locations[Group As])</f>
        <v>Stour Stretton-on-Fosse Sewage Works</v>
      </c>
      <c r="H1143" t="e" vm="2">
        <f>_xlfn.XLOOKUP(AllData[[#This Row],[Site Name]],LocationsKey[Site Name],LocationsKey[District])</f>
        <v>#VALUE!</v>
      </c>
      <c r="I1143" t="e" vm="14">
        <f>_xlfn.XLOOKUP(AllData[[#This Row],[Site Name]],LocationsKey[Site Name],LocationsKey[Town])</f>
        <v>#VALUE!</v>
      </c>
      <c r="J1143" t="str">
        <f>_xlfn.XLOOKUP(AllData[[#This Row],[Site Name]],LocationsKey[Site Name], LocationsKey[Waterway])</f>
        <v>Stour</v>
      </c>
      <c r="K1143" t="s">
        <v>335</v>
      </c>
      <c r="L1143">
        <v>52.045654999999996</v>
      </c>
      <c r="M1143">
        <v>-1.6719040000000001</v>
      </c>
      <c r="N1143" t="s">
        <v>29</v>
      </c>
      <c r="O1143">
        <v>890</v>
      </c>
      <c r="P1143">
        <v>19.399999999999999</v>
      </c>
      <c r="Q1143">
        <v>0.5</v>
      </c>
      <c r="R1143" s="7" t="str">
        <f>IF(AllData[[#This Row],[Nitrate (PPM)]]&gt;2, "Very high", IF(AllData[[#This Row],[Nitrate (PPM)]]&gt;1, "High", IF(AllData[[#This Row],[Nitrate (PPM)]]&gt;0.5, "Some evidence", IF(AllData[[#This Row],[Nitrate (PPM)]]&gt;=0, "No evidence"))))</f>
        <v>No evidence</v>
      </c>
      <c r="S1143" s="4">
        <v>2.5</v>
      </c>
      <c r="T1143" s="7" t="str">
        <f>IF(AllData[[#This Row],[Phosphate (PPM)]]&gt;0.5, "Very high", IF(AllData[[#This Row],[Phosphate (PPM)]]&gt;0.1, "High", IF(AllData[[#This Row],[Phosphate (PPM)]]&gt;0.05, "Some evidence", IF(AllData[[#This Row],[Phosphate (PPM)]]&lt;=0.05, "No Evidence", ""))))</f>
        <v>Very high</v>
      </c>
      <c r="U1143">
        <v>0.2</v>
      </c>
      <c r="V1143" t="s">
        <v>1177</v>
      </c>
    </row>
    <row r="1144" spans="1:22" x14ac:dyDescent="0.25">
      <c r="A1144" t="s">
        <v>1825</v>
      </c>
      <c r="B1144" s="2">
        <v>45510</v>
      </c>
      <c r="C1144" s="2" t="str" cm="1">
        <f t="array" ref="C11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4">
        <f>YEAR(AllData[[#This Row],[Date]])</f>
        <v>2024</v>
      </c>
      <c r="E1144" s="1">
        <v>0.64652777777777781</v>
      </c>
      <c r="F1144" s="2" t="str">
        <f>IF(AND(AllData[[#This Row],[Time]]&lt;0.5, AllData[[#This Row],[Time]]&gt;0.17)=TRUE, "Morning", IF(AND(AllData[[#This Row],[Time]]&lt;0.75, AllData[[#This Row],[Time]]&gt;=0.5)=TRUE, "Afternoon", IF(AND(AllData[[#This Row],[Time]]&lt;1, AllData[[#This Row],[Time]]&gt;=0.75)=TRUE, "Evening", "Night")))</f>
        <v>Afternoon</v>
      </c>
      <c r="G1144" t="str">
        <f>_xlfn.XLOOKUP(AllData[[#This Row],[Location Name]], Locations[Location Name],Locations[Group As])</f>
        <v>Carrant Mitton Bridge</v>
      </c>
      <c r="H1144" t="e" vm="1">
        <f>_xlfn.XLOOKUP(AllData[[#This Row],[Site Name]],LocationsKey[Site Name],LocationsKey[District])</f>
        <v>#VALUE!</v>
      </c>
      <c r="I1144" t="e" vm="1">
        <f>_xlfn.XLOOKUP(AllData[[#This Row],[Site Name]],LocationsKey[Site Name],LocationsKey[Town])</f>
        <v>#VALUE!</v>
      </c>
      <c r="J1144" t="str">
        <f>_xlfn.XLOOKUP(AllData[[#This Row],[Site Name]],LocationsKey[Site Name], LocationsKey[Waterway])</f>
        <v>Carrant</v>
      </c>
      <c r="K1144" t="s">
        <v>1209</v>
      </c>
      <c r="L1144">
        <v>52.000326000000001</v>
      </c>
      <c r="M1144">
        <v>-2.1417839999999999</v>
      </c>
      <c r="N1144" t="s">
        <v>23</v>
      </c>
      <c r="O1144">
        <v>657</v>
      </c>
      <c r="P1144">
        <v>20.399999999999999</v>
      </c>
      <c r="Q1144">
        <v>8</v>
      </c>
      <c r="R1144" s="7" t="str">
        <f>IF(AllData[[#This Row],[Nitrate (PPM)]]&gt;2, "Very high", IF(AllData[[#This Row],[Nitrate (PPM)]]&gt;1, "High", IF(AllData[[#This Row],[Nitrate (PPM)]]&gt;0.5, "Some evidence", IF(AllData[[#This Row],[Nitrate (PPM)]]&gt;=0, "No evidence"))))</f>
        <v>Very high</v>
      </c>
      <c r="S1144" s="4">
        <v>0.5</v>
      </c>
      <c r="T1144" s="7" t="str">
        <f>IF(AllData[[#This Row],[Phosphate (PPM)]]&gt;0.5, "Very high", IF(AllData[[#This Row],[Phosphate (PPM)]]&gt;0.1, "High", IF(AllData[[#This Row],[Phosphate (PPM)]]&gt;0.05, "Some evidence", IF(AllData[[#This Row],[Phosphate (PPM)]]&lt;=0.05, "No Evidence", ""))))</f>
        <v>High</v>
      </c>
      <c r="U1144">
        <v>0</v>
      </c>
    </row>
    <row r="1145" spans="1:22" x14ac:dyDescent="0.25">
      <c r="A1145" t="s">
        <v>1823</v>
      </c>
      <c r="B1145" s="2">
        <v>45511</v>
      </c>
      <c r="C1145" s="2" t="str" cm="1">
        <f t="array" ref="C11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5">
        <f>YEAR(AllData[[#This Row],[Date]])</f>
        <v>2024</v>
      </c>
      <c r="E1145" s="1">
        <v>0.75</v>
      </c>
      <c r="F1145" s="2" t="str">
        <f>IF(AND(AllData[[#This Row],[Time]]&lt;0.5, AllData[[#This Row],[Time]]&gt;0.17)=TRUE, "Morning", IF(AND(AllData[[#This Row],[Time]]&lt;0.75, AllData[[#This Row],[Time]]&gt;=0.5)=TRUE, "Afternoon", IF(AND(AllData[[#This Row],[Time]]&lt;1, AllData[[#This Row],[Time]]&gt;=0.75)=TRUE, "Evening", "Night")))</f>
        <v>Evening</v>
      </c>
      <c r="G1145" t="str">
        <f>_xlfn.XLOOKUP(AllData[[#This Row],[Location Name]], Locations[Location Name],Locations[Group As])</f>
        <v>Stour Newbold Mill</v>
      </c>
      <c r="H1145" t="e" vm="2">
        <f>_xlfn.XLOOKUP(AllData[[#This Row],[Site Name]],LocationsKey[Site Name],LocationsKey[District])</f>
        <v>#VALUE!</v>
      </c>
      <c r="I1145" t="e" vm="8">
        <f>_xlfn.XLOOKUP(AllData[[#This Row],[Site Name]],LocationsKey[Site Name],LocationsKey[Town])</f>
        <v>#VALUE!</v>
      </c>
      <c r="J1145" t="str">
        <f>_xlfn.XLOOKUP(AllData[[#This Row],[Site Name]],LocationsKey[Site Name], LocationsKey[Waterway])</f>
        <v>Stour</v>
      </c>
      <c r="K1145" t="s">
        <v>140</v>
      </c>
      <c r="N1145" t="s">
        <v>29</v>
      </c>
      <c r="O1145">
        <v>694</v>
      </c>
      <c r="P1145">
        <v>17.399999999999999</v>
      </c>
      <c r="Q1145">
        <v>2</v>
      </c>
      <c r="R1145" s="7" t="str">
        <f>IF(AllData[[#This Row],[Nitrate (PPM)]]&gt;2, "Very high", IF(AllData[[#This Row],[Nitrate (PPM)]]&gt;1, "High", IF(AllData[[#This Row],[Nitrate (PPM)]]&gt;0.5, "Some evidence", IF(AllData[[#This Row],[Nitrate (PPM)]]&gt;=0, "No evidence"))))</f>
        <v>High</v>
      </c>
      <c r="S1145" s="4">
        <v>0.63</v>
      </c>
      <c r="T1145" s="7" t="str">
        <f>IF(AllData[[#This Row],[Phosphate (PPM)]]&gt;0.5, "Very high", IF(AllData[[#This Row],[Phosphate (PPM)]]&gt;0.1, "High", IF(AllData[[#This Row],[Phosphate (PPM)]]&gt;0.05, "Some evidence", IF(AllData[[#This Row],[Phosphate (PPM)]]&lt;=0.05, "No Evidence", ""))))</f>
        <v>Very high</v>
      </c>
      <c r="U1145">
        <v>2</v>
      </c>
      <c r="V1145" t="s">
        <v>1101</v>
      </c>
    </row>
    <row r="1146" spans="1:22" x14ac:dyDescent="0.25">
      <c r="A1146" t="s">
        <v>1812</v>
      </c>
      <c r="B1146" s="2">
        <v>45512</v>
      </c>
      <c r="C1146" s="2" t="str" cm="1">
        <f t="array" ref="C11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6">
        <f>YEAR(AllData[[#This Row],[Date]])</f>
        <v>2024</v>
      </c>
      <c r="E1146" s="1">
        <v>0.4375</v>
      </c>
      <c r="F1146" s="2" t="str">
        <f>IF(AND(AllData[[#This Row],[Time]]&lt;0.5, AllData[[#This Row],[Time]]&gt;0.17)=TRUE, "Morning", IF(AND(AllData[[#This Row],[Time]]&lt;0.75, AllData[[#This Row],[Time]]&gt;=0.5)=TRUE, "Afternoon", IF(AND(AllData[[#This Row],[Time]]&lt;1, AllData[[#This Row],[Time]]&gt;=0.75)=TRUE, "Evening", "Night")))</f>
        <v>Morning</v>
      </c>
      <c r="G1146" t="str">
        <f>_xlfn.XLOOKUP(AllData[[#This Row],[Location Name]], Locations[Location Name],Locations[Group As])</f>
        <v>Swilgate</v>
      </c>
      <c r="H1146" t="e" vm="1">
        <f>_xlfn.XLOOKUP(AllData[[#This Row],[Site Name]],LocationsKey[Site Name],LocationsKey[District])</f>
        <v>#VALUE!</v>
      </c>
      <c r="I1146" t="e" vm="1">
        <f>_xlfn.XLOOKUP(AllData[[#This Row],[Site Name]],LocationsKey[Site Name],LocationsKey[Town])</f>
        <v>#VALUE!</v>
      </c>
      <c r="J1146" t="str">
        <f>_xlfn.XLOOKUP(AllData[[#This Row],[Site Name]],LocationsKey[Site Name], LocationsKey[Waterway])</f>
        <v>Swilgate</v>
      </c>
      <c r="K1146" t="s">
        <v>84</v>
      </c>
      <c r="N1146" t="s">
        <v>23</v>
      </c>
      <c r="O1146">
        <v>1116</v>
      </c>
      <c r="P1146">
        <v>17.7</v>
      </c>
      <c r="Q1146">
        <v>5</v>
      </c>
      <c r="R1146" s="7" t="str">
        <f>IF(AllData[[#This Row],[Nitrate (PPM)]]&gt;2, "Very high", IF(AllData[[#This Row],[Nitrate (PPM)]]&gt;1, "High", IF(AllData[[#This Row],[Nitrate (PPM)]]&gt;0.5, "Some evidence", IF(AllData[[#This Row],[Nitrate (PPM)]]&gt;=0, "No evidence"))))</f>
        <v>Very high</v>
      </c>
      <c r="S1146" s="4">
        <v>1.05</v>
      </c>
      <c r="T1146" s="7" t="str">
        <f>IF(AllData[[#This Row],[Phosphate (PPM)]]&gt;0.5, "Very high", IF(AllData[[#This Row],[Phosphate (PPM)]]&gt;0.1, "High", IF(AllData[[#This Row],[Phosphate (PPM)]]&gt;0.05, "Some evidence", IF(AllData[[#This Row],[Phosphate (PPM)]]&lt;=0.05, "No Evidence", ""))))</f>
        <v>Very high</v>
      </c>
      <c r="U1146">
        <v>0</v>
      </c>
    </row>
    <row r="1147" spans="1:22" x14ac:dyDescent="0.25">
      <c r="A1147" t="s">
        <v>1821</v>
      </c>
      <c r="B1147" s="2">
        <v>45512</v>
      </c>
      <c r="C1147" s="2" t="str" cm="1">
        <f t="array" ref="C11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7">
        <f>YEAR(AllData[[#This Row],[Date]])</f>
        <v>2024</v>
      </c>
      <c r="E1147" s="1">
        <v>0.47222222222222221</v>
      </c>
      <c r="F1147" s="2" t="str">
        <f>IF(AND(AllData[[#This Row],[Time]]&lt;0.5, AllData[[#This Row],[Time]]&gt;0.17)=TRUE, "Morning", IF(AND(AllData[[#This Row],[Time]]&lt;0.75, AllData[[#This Row],[Time]]&gt;=0.5)=TRUE, "Afternoon", IF(AND(AllData[[#This Row],[Time]]&lt;1, AllData[[#This Row],[Time]]&gt;=0.75)=TRUE, "Evening", "Night")))</f>
        <v>Morning</v>
      </c>
      <c r="G1147" t="str">
        <f>_xlfn.XLOOKUP(AllData[[#This Row],[Location Name]], Locations[Location Name],Locations[Group As])</f>
        <v>Alveston Weir</v>
      </c>
      <c r="H1147" t="e" vm="2">
        <f>_xlfn.XLOOKUP(AllData[[#This Row],[Site Name]],LocationsKey[Site Name],LocationsKey[District])</f>
        <v>#VALUE!</v>
      </c>
      <c r="I1147" t="e" vm="13">
        <f>_xlfn.XLOOKUP(AllData[[#This Row],[Site Name]],LocationsKey[Site Name],LocationsKey[Town])</f>
        <v>#VALUE!</v>
      </c>
      <c r="J1147" t="str">
        <f>_xlfn.XLOOKUP(AllData[[#This Row],[Site Name]],LocationsKey[Site Name], LocationsKey[Waterway])</f>
        <v>Avon</v>
      </c>
      <c r="K1147" t="s">
        <v>286</v>
      </c>
      <c r="L1147">
        <v>52.212288999999998</v>
      </c>
      <c r="M1147">
        <v>-1.660452</v>
      </c>
      <c r="N1147" t="s">
        <v>29</v>
      </c>
      <c r="O1147">
        <v>745</v>
      </c>
      <c r="P1147">
        <v>19</v>
      </c>
      <c r="Q1147">
        <v>0.15</v>
      </c>
      <c r="R1147" s="7" t="str">
        <f>IF(AllData[[#This Row],[Nitrate (PPM)]]&gt;2, "Very high", IF(AllData[[#This Row],[Nitrate (PPM)]]&gt;1, "High", IF(AllData[[#This Row],[Nitrate (PPM)]]&gt;0.5, "Some evidence", IF(AllData[[#This Row],[Nitrate (PPM)]]&gt;=0, "No evidence"))))</f>
        <v>No evidence</v>
      </c>
      <c r="S1147" s="4">
        <v>0.51</v>
      </c>
      <c r="T1147" s="7" t="str">
        <f>IF(AllData[[#This Row],[Phosphate (PPM)]]&gt;0.5, "Very high", IF(AllData[[#This Row],[Phosphate (PPM)]]&gt;0.1, "High", IF(AllData[[#This Row],[Phosphate (PPM)]]&gt;0.05, "Some evidence", IF(AllData[[#This Row],[Phosphate (PPM)]]&lt;=0.05, "No Evidence", ""))))</f>
        <v>Very high</v>
      </c>
      <c r="U1147">
        <v>0</v>
      </c>
      <c r="V1147" t="s">
        <v>1930</v>
      </c>
    </row>
    <row r="1148" spans="1:22" x14ac:dyDescent="0.25">
      <c r="A1148" t="s">
        <v>1822</v>
      </c>
      <c r="B1148" s="2">
        <v>45512</v>
      </c>
      <c r="C1148" s="2" t="str" cm="1">
        <f t="array" ref="C11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8">
        <f>YEAR(AllData[[#This Row],[Date]])</f>
        <v>2024</v>
      </c>
      <c r="E1148" s="1">
        <v>0.47986111111111113</v>
      </c>
      <c r="F1148" s="2" t="str">
        <f>IF(AND(AllData[[#This Row],[Time]]&lt;0.5, AllData[[#This Row],[Time]]&gt;0.17)=TRUE, "Morning", IF(AND(AllData[[#This Row],[Time]]&lt;0.75, AllData[[#This Row],[Time]]&gt;=0.5)=TRUE, "Afternoon", IF(AND(AllData[[#This Row],[Time]]&lt;1, AllData[[#This Row],[Time]]&gt;=0.75)=TRUE, "Evening", "Night")))</f>
        <v>Morning</v>
      </c>
      <c r="G1148" t="str">
        <f>_xlfn.XLOOKUP(AllData[[#This Row],[Location Name]], Locations[Location Name],Locations[Group As])</f>
        <v>Swiffen Bank</v>
      </c>
      <c r="H1148" t="e" vm="2">
        <f>_xlfn.XLOOKUP(AllData[[#This Row],[Site Name]],LocationsKey[Site Name],LocationsKey[District])</f>
        <v>#VALUE!</v>
      </c>
      <c r="I1148" t="e" vm="13">
        <f>_xlfn.XLOOKUP(AllData[[#This Row],[Site Name]],LocationsKey[Site Name],LocationsKey[Town])</f>
        <v>#VALUE!</v>
      </c>
      <c r="J1148" t="str">
        <f>_xlfn.XLOOKUP(AllData[[#This Row],[Site Name]],LocationsKey[Site Name], LocationsKey[Waterway])</f>
        <v>Avon</v>
      </c>
      <c r="K1148" t="s">
        <v>284</v>
      </c>
      <c r="L1148">
        <v>52.206477999999997</v>
      </c>
      <c r="M1148">
        <v>-1.653894</v>
      </c>
      <c r="N1148" t="s">
        <v>29</v>
      </c>
      <c r="O1148">
        <v>729</v>
      </c>
      <c r="P1148">
        <v>19.3</v>
      </c>
      <c r="Q1148">
        <v>5</v>
      </c>
      <c r="R1148" s="7" t="str">
        <f>IF(AllData[[#This Row],[Nitrate (PPM)]]&gt;2, "Very high", IF(AllData[[#This Row],[Nitrate (PPM)]]&gt;1, "High", IF(AllData[[#This Row],[Nitrate (PPM)]]&gt;0.5, "Some evidence", IF(AllData[[#This Row],[Nitrate (PPM)]]&gt;=0, "No evidence"))))</f>
        <v>Very high</v>
      </c>
      <c r="S1148" s="4">
        <v>0</v>
      </c>
      <c r="T1148" s="7" t="str">
        <f>IF(AllData[[#This Row],[Phosphate (PPM)]]&gt;0.5, "Very high", IF(AllData[[#This Row],[Phosphate (PPM)]]&gt;0.1, "High", IF(AllData[[#This Row],[Phosphate (PPM)]]&gt;0.05, "Some evidence", IF(AllData[[#This Row],[Phosphate (PPM)]]&lt;=0.05, "No Evidence", ""))))</f>
        <v>No Evidence</v>
      </c>
      <c r="U1148">
        <v>0</v>
      </c>
      <c r="V1148" t="s">
        <v>1468</v>
      </c>
    </row>
    <row r="1149" spans="1:22" x14ac:dyDescent="0.25">
      <c r="A1149" t="s">
        <v>1820</v>
      </c>
      <c r="B1149" s="2">
        <v>45512</v>
      </c>
      <c r="C1149" s="2" t="str" cm="1">
        <f t="array" ref="C11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9">
        <f>YEAR(AllData[[#This Row],[Date]])</f>
        <v>2024</v>
      </c>
      <c r="E1149" s="1">
        <v>0.5</v>
      </c>
      <c r="F1149" s="2" t="str">
        <f>IF(AND(AllData[[#This Row],[Time]]&lt;0.5, AllData[[#This Row],[Time]]&gt;0.17)=TRUE, "Morning", IF(AND(AllData[[#This Row],[Time]]&lt;0.75, AllData[[#This Row],[Time]]&gt;=0.5)=TRUE, "Afternoon", IF(AND(AllData[[#This Row],[Time]]&lt;1, AllData[[#This Row],[Time]]&gt;=0.75)=TRUE, "Evening", "Night")))</f>
        <v>Afternoon</v>
      </c>
      <c r="G1149" t="str">
        <f>_xlfn.XLOOKUP(AllData[[#This Row],[Location Name]], Locations[Location Name],Locations[Group As])</f>
        <v>Stour Willington</v>
      </c>
      <c r="H1149" t="e" vm="2">
        <f>_xlfn.XLOOKUP(AllData[[#This Row],[Site Name]],LocationsKey[Site Name],LocationsKey[District])</f>
        <v>#VALUE!</v>
      </c>
      <c r="I1149" t="str">
        <f>_xlfn.XLOOKUP(AllData[[#This Row],[Site Name]],LocationsKey[Site Name],LocationsKey[Town])</f>
        <v>Willington</v>
      </c>
      <c r="J1149" t="str">
        <f>_xlfn.XLOOKUP(AllData[[#This Row],[Site Name]],LocationsKey[Site Name], LocationsKey[Waterway])</f>
        <v>Stour</v>
      </c>
      <c r="K1149" t="s">
        <v>517</v>
      </c>
      <c r="L1149">
        <v>52.053547999999999</v>
      </c>
      <c r="M1149">
        <v>-1.6201369999999999</v>
      </c>
      <c r="N1149" t="s">
        <v>23</v>
      </c>
      <c r="O1149">
        <v>640</v>
      </c>
      <c r="P1149">
        <v>17.100000000000001</v>
      </c>
      <c r="Q1149">
        <v>2</v>
      </c>
      <c r="R1149" s="7" t="str">
        <f>IF(AllData[[#This Row],[Nitrate (PPM)]]&gt;2, "Very high", IF(AllData[[#This Row],[Nitrate (PPM)]]&gt;1, "High", IF(AllData[[#This Row],[Nitrate (PPM)]]&gt;0.5, "Some evidence", IF(AllData[[#This Row],[Nitrate (PPM)]]&gt;=0, "No evidence"))))</f>
        <v>High</v>
      </c>
      <c r="S1149" s="4">
        <v>0.45</v>
      </c>
      <c r="T1149" s="7" t="str">
        <f>IF(AllData[[#This Row],[Phosphate (PPM)]]&gt;0.5, "Very high", IF(AllData[[#This Row],[Phosphate (PPM)]]&gt;0.1, "High", IF(AllData[[#This Row],[Phosphate (PPM)]]&gt;0.05, "Some evidence", IF(AllData[[#This Row],[Phosphate (PPM)]]&lt;=0.05, "No Evidence", ""))))</f>
        <v>High</v>
      </c>
      <c r="U1149">
        <v>0.5</v>
      </c>
    </row>
    <row r="1150" spans="1:22" x14ac:dyDescent="0.25">
      <c r="A1150" t="s">
        <v>1732</v>
      </c>
      <c r="B1150" s="2">
        <v>45514</v>
      </c>
      <c r="C1150" s="2" t="str" cm="1">
        <f t="array" ref="C11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0">
        <f>YEAR(AllData[[#This Row],[Date]])</f>
        <v>2024</v>
      </c>
      <c r="E1150" s="1">
        <v>0.4201388888888889</v>
      </c>
      <c r="F1150" s="2" t="str">
        <f>IF(AND(AllData[[#This Row],[Time]]&lt;0.5, AllData[[#This Row],[Time]]&gt;0.17)=TRUE, "Morning", IF(AND(AllData[[#This Row],[Time]]&lt;0.75, AllData[[#This Row],[Time]]&gt;=0.5)=TRUE, "Afternoon", IF(AND(AllData[[#This Row],[Time]]&lt;1, AllData[[#This Row],[Time]]&gt;=0.75)=TRUE, "Evening", "Night")))</f>
        <v>Morning</v>
      </c>
      <c r="G1150" t="str">
        <f>_xlfn.XLOOKUP(AllData[[#This Row],[Location Name]], Locations[Location Name],Locations[Group As])</f>
        <v>Avon Smiths Meadow Wyre Piddle</v>
      </c>
      <c r="H1150" t="e" vm="17">
        <f>_xlfn.XLOOKUP(AllData[[#This Row],[Site Name]],LocationsKey[Site Name],LocationsKey[District])</f>
        <v>#VALUE!</v>
      </c>
      <c r="I1150" t="e" vm="20">
        <f>_xlfn.XLOOKUP(AllData[[#This Row],[Site Name]],LocationsKey[Site Name],LocationsKey[Town])</f>
        <v>#VALUE!</v>
      </c>
      <c r="J1150" t="str">
        <f>_xlfn.XLOOKUP(AllData[[#This Row],[Site Name]],LocationsKey[Site Name], LocationsKey[Waterway])</f>
        <v>Avon</v>
      </c>
      <c r="K1150" t="s">
        <v>741</v>
      </c>
      <c r="L1150">
        <v>52.122874000000003</v>
      </c>
      <c r="M1150">
        <v>-2.0575209999999999</v>
      </c>
      <c r="N1150" t="s">
        <v>23</v>
      </c>
      <c r="O1150">
        <v>1050</v>
      </c>
      <c r="P1150">
        <v>19.3</v>
      </c>
      <c r="Q1150">
        <v>10</v>
      </c>
      <c r="R1150" s="7" t="str">
        <f>IF(AllData[[#This Row],[Nitrate (PPM)]]&gt;2, "Very high", IF(AllData[[#This Row],[Nitrate (PPM)]]&gt;1, "High", IF(AllData[[#This Row],[Nitrate (PPM)]]&gt;0.5, "Some evidence", IF(AllData[[#This Row],[Nitrate (PPM)]]&gt;=0, "No evidence"))))</f>
        <v>Very high</v>
      </c>
      <c r="S1150" s="4">
        <v>0.86</v>
      </c>
      <c r="T1150" s="7" t="str">
        <f>IF(AllData[[#This Row],[Phosphate (PPM)]]&gt;0.5, "Very high", IF(AllData[[#This Row],[Phosphate (PPM)]]&gt;0.1, "High", IF(AllData[[#This Row],[Phosphate (PPM)]]&gt;0.05, "Some evidence", IF(AllData[[#This Row],[Phosphate (PPM)]]&lt;=0.05, "No Evidence", ""))))</f>
        <v>Very high</v>
      </c>
      <c r="U1150">
        <v>0.5</v>
      </c>
      <c r="V1150" t="s">
        <v>1889</v>
      </c>
    </row>
    <row r="1151" spans="1:22" x14ac:dyDescent="0.25">
      <c r="A1151" t="s">
        <v>1731</v>
      </c>
      <c r="B1151" s="2">
        <v>45514</v>
      </c>
      <c r="C1151" s="2" t="str" cm="1">
        <f t="array" ref="C11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1">
        <f>YEAR(AllData[[#This Row],[Date]])</f>
        <v>2024</v>
      </c>
      <c r="E1151" s="1">
        <v>0.4375</v>
      </c>
      <c r="F1151" s="2" t="str">
        <f>IF(AND(AllData[[#This Row],[Time]]&lt;0.5, AllData[[#This Row],[Time]]&gt;0.17)=TRUE, "Morning", IF(AND(AllData[[#This Row],[Time]]&lt;0.75, AllData[[#This Row],[Time]]&gt;=0.5)=TRUE, "Afternoon", IF(AND(AllData[[#This Row],[Time]]&lt;1, AllData[[#This Row],[Time]]&gt;=0.75)=TRUE, "Evening", "Night")))</f>
        <v>Morning</v>
      </c>
      <c r="G1151" t="str">
        <f>_xlfn.XLOOKUP(AllData[[#This Row],[Location Name]], Locations[Location Name],Locations[Group As])</f>
        <v>Piddle Brook Wyre Piddle Bridge</v>
      </c>
      <c r="H1151" t="e" vm="17">
        <f>_xlfn.XLOOKUP(AllData[[#This Row],[Site Name]],LocationsKey[Site Name],LocationsKey[District])</f>
        <v>#VALUE!</v>
      </c>
      <c r="I1151" t="e" vm="20">
        <f>_xlfn.XLOOKUP(AllData[[#This Row],[Site Name]],LocationsKey[Site Name],LocationsKey[Town])</f>
        <v>#VALUE!</v>
      </c>
      <c r="J1151" t="str">
        <f>_xlfn.XLOOKUP(AllData[[#This Row],[Site Name]],LocationsKey[Site Name], LocationsKey[Waterway])</f>
        <v>Piddle Brook</v>
      </c>
      <c r="K1151" t="s">
        <v>744</v>
      </c>
      <c r="L1151">
        <v>52.126415999999999</v>
      </c>
      <c r="M1151">
        <v>-2.0564499999999999</v>
      </c>
      <c r="N1151" t="s">
        <v>23</v>
      </c>
      <c r="O1151">
        <v>1870</v>
      </c>
      <c r="P1151">
        <v>17.3</v>
      </c>
      <c r="Q1151">
        <v>10</v>
      </c>
      <c r="R1151" s="7" t="str">
        <f>IF(AllData[[#This Row],[Nitrate (PPM)]]&gt;2, "Very high", IF(AllData[[#This Row],[Nitrate (PPM)]]&gt;1, "High", IF(AllData[[#This Row],[Nitrate (PPM)]]&gt;0.5, "Some evidence", IF(AllData[[#This Row],[Nitrate (PPM)]]&gt;=0, "No evidence"))))</f>
        <v>Very high</v>
      </c>
      <c r="S1151" s="4">
        <v>1.29</v>
      </c>
      <c r="T1151" s="7" t="str">
        <f>IF(AllData[[#This Row],[Phosphate (PPM)]]&gt;0.5, "Very high", IF(AllData[[#This Row],[Phosphate (PPM)]]&gt;0.1, "High", IF(AllData[[#This Row],[Phosphate (PPM)]]&gt;0.05, "Some evidence", IF(AllData[[#This Row],[Phosphate (PPM)]]&lt;=0.05, "No Evidence", ""))))</f>
        <v>Very high</v>
      </c>
      <c r="U1151">
        <v>0.14000000000000001</v>
      </c>
      <c r="V1151" t="s">
        <v>1888</v>
      </c>
    </row>
    <row r="1152" spans="1:22" x14ac:dyDescent="0.25">
      <c r="A1152" t="s">
        <v>1819</v>
      </c>
      <c r="B1152" s="2">
        <v>45514</v>
      </c>
      <c r="C1152" s="2" t="str" cm="1">
        <f t="array" ref="C11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2">
        <f>YEAR(AllData[[#This Row],[Date]])</f>
        <v>2024</v>
      </c>
      <c r="E1152" s="1">
        <v>0.44861111111111113</v>
      </c>
      <c r="F1152" s="2" t="str">
        <f>IF(AND(AllData[[#This Row],[Time]]&lt;0.5, AllData[[#This Row],[Time]]&gt;0.17)=TRUE, "Morning", IF(AND(AllData[[#This Row],[Time]]&lt;0.75, AllData[[#This Row],[Time]]&gt;=0.5)=TRUE, "Afternoon", IF(AND(AllData[[#This Row],[Time]]&lt;1, AllData[[#This Row],[Time]]&gt;=0.75)=TRUE, "Evening", "Night")))</f>
        <v>Morning</v>
      </c>
      <c r="G1152" t="str">
        <f>_xlfn.XLOOKUP(AllData[[#This Row],[Location Name]], Locations[Location Name],Locations[Group As])</f>
        <v>Site 1  :  Middle Street</v>
      </c>
      <c r="H1152" t="e" vm="2">
        <f>_xlfn.XLOOKUP(AllData[[#This Row],[Site Name]],LocationsKey[Site Name],LocationsKey[District])</f>
        <v>#VALUE!</v>
      </c>
      <c r="I1152" t="e" vm="11">
        <f>_xlfn.XLOOKUP(AllData[[#This Row],[Site Name]],LocationsKey[Site Name],LocationsKey[Town])</f>
        <v>#VALUE!</v>
      </c>
      <c r="J1152" t="str">
        <f>_xlfn.XLOOKUP(AllData[[#This Row],[Site Name]],LocationsKey[Site Name], LocationsKey[Waterway])</f>
        <v>Fosseway Brook</v>
      </c>
      <c r="K1152" t="s">
        <v>1850</v>
      </c>
      <c r="L1152">
        <v>52.090074000000001</v>
      </c>
      <c r="M1152">
        <v>-1.6926559999999999</v>
      </c>
      <c r="N1152" t="s">
        <v>66</v>
      </c>
      <c r="O1152">
        <v>635</v>
      </c>
      <c r="P1152">
        <v>19.3</v>
      </c>
      <c r="Q1152">
        <v>2</v>
      </c>
      <c r="R1152" s="7" t="str">
        <f>IF(AllData[[#This Row],[Nitrate (PPM)]]&gt;2, "Very high", IF(AllData[[#This Row],[Nitrate (PPM)]]&gt;1, "High", IF(AllData[[#This Row],[Nitrate (PPM)]]&gt;0.5, "Some evidence", IF(AllData[[#This Row],[Nitrate (PPM)]]&gt;=0, "No evidence"))))</f>
        <v>High</v>
      </c>
      <c r="S1152" s="4">
        <v>0.66</v>
      </c>
      <c r="T1152" s="7" t="str">
        <f>IF(AllData[[#This Row],[Phosphate (PPM)]]&gt;0.5, "Very high", IF(AllData[[#This Row],[Phosphate (PPM)]]&gt;0.1, "High", IF(AllData[[#This Row],[Phosphate (PPM)]]&gt;0.05, "Some evidence", IF(AllData[[#This Row],[Phosphate (PPM)]]&lt;=0.05, "No Evidence", ""))))</f>
        <v>Very high</v>
      </c>
      <c r="U1152">
        <v>0.05</v>
      </c>
      <c r="V1152" t="s">
        <v>1929</v>
      </c>
    </row>
    <row r="1153" spans="1:22" x14ac:dyDescent="0.25">
      <c r="A1153" t="s">
        <v>1818</v>
      </c>
      <c r="B1153" s="2">
        <v>45514</v>
      </c>
      <c r="C1153" s="2" t="str" cm="1">
        <f t="array" ref="C11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3">
        <f>YEAR(AllData[[#This Row],[Date]])</f>
        <v>2024</v>
      </c>
      <c r="E1153" s="1">
        <v>0.45416666666666666</v>
      </c>
      <c r="F1153" s="2" t="str">
        <f>IF(AND(AllData[[#This Row],[Time]]&lt;0.5, AllData[[#This Row],[Time]]&gt;0.17)=TRUE, "Morning", IF(AND(AllData[[#This Row],[Time]]&lt;0.75, AllData[[#This Row],[Time]]&gt;=0.5)=TRUE, "Afternoon", IF(AND(AllData[[#This Row],[Time]]&lt;1, AllData[[#This Row],[Time]]&gt;=0.75)=TRUE, "Evening", "Night")))</f>
        <v>Morning</v>
      </c>
      <c r="G1153" t="str">
        <f>_xlfn.XLOOKUP(AllData[[#This Row],[Location Name]], Locations[Location Name],Locations[Group As])</f>
        <v>Site 2  :  Cross Leys culvert</v>
      </c>
      <c r="H1153" t="e" vm="2">
        <f>_xlfn.XLOOKUP(AllData[[#This Row],[Site Name]],LocationsKey[Site Name],LocationsKey[District])</f>
        <v>#VALUE!</v>
      </c>
      <c r="I1153" t="e" vm="11">
        <f>_xlfn.XLOOKUP(AllData[[#This Row],[Site Name]],LocationsKey[Site Name],LocationsKey[Town])</f>
        <v>#VALUE!</v>
      </c>
      <c r="J1153" t="str">
        <f>_xlfn.XLOOKUP(AllData[[#This Row],[Site Name]],LocationsKey[Site Name], LocationsKey[Waterway])</f>
        <v>Fosseway Brook</v>
      </c>
      <c r="K1153" t="s">
        <v>1937</v>
      </c>
      <c r="L1153">
        <v>52.092950000000002</v>
      </c>
      <c r="M1153">
        <v>-1.68625</v>
      </c>
      <c r="N1153" t="s">
        <v>66</v>
      </c>
      <c r="O1153">
        <v>1020</v>
      </c>
      <c r="P1153">
        <v>16.7</v>
      </c>
      <c r="Q1153">
        <v>0</v>
      </c>
      <c r="R1153" s="7" t="str">
        <f>IF(AllData[[#This Row],[Nitrate (PPM)]]&gt;2, "Very high", IF(AllData[[#This Row],[Nitrate (PPM)]]&gt;1, "High", IF(AllData[[#This Row],[Nitrate (PPM)]]&gt;0.5, "Some evidence", IF(AllData[[#This Row],[Nitrate (PPM)]]&gt;=0, "No evidence"))))</f>
        <v>No evidence</v>
      </c>
      <c r="S1153" s="4">
        <v>0.71</v>
      </c>
      <c r="T1153" s="7" t="str">
        <f>IF(AllData[[#This Row],[Phosphate (PPM)]]&gt;0.5, "Very high", IF(AllData[[#This Row],[Phosphate (PPM)]]&gt;0.1, "High", IF(AllData[[#This Row],[Phosphate (PPM)]]&gt;0.05, "Some evidence", IF(AllData[[#This Row],[Phosphate (PPM)]]&lt;=0.05, "No Evidence", ""))))</f>
        <v>Very high</v>
      </c>
      <c r="U1153">
        <v>0.15</v>
      </c>
    </row>
    <row r="1154" spans="1:22" x14ac:dyDescent="0.25">
      <c r="A1154" t="s">
        <v>1669</v>
      </c>
      <c r="B1154" s="2">
        <v>45514</v>
      </c>
      <c r="C1154" s="2" t="str" cm="1">
        <f t="array" ref="C11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4">
        <f>YEAR(AllData[[#This Row],[Date]])</f>
        <v>2024</v>
      </c>
      <c r="E1154" s="1">
        <v>0.45763888888888887</v>
      </c>
      <c r="F1154" s="2" t="str">
        <f>IF(AND(AllData[[#This Row],[Time]]&lt;0.5, AllData[[#This Row],[Time]]&gt;0.17)=TRUE, "Morning", IF(AND(AllData[[#This Row],[Time]]&lt;0.75, AllData[[#This Row],[Time]]&gt;=0.5)=TRUE, "Afternoon", IF(AND(AllData[[#This Row],[Time]]&lt;1, AllData[[#This Row],[Time]]&gt;=0.75)=TRUE, "Evening", "Night")))</f>
        <v>Morning</v>
      </c>
      <c r="G1154" t="str">
        <f>_xlfn.XLOOKUP(AllData[[#This Row],[Location Name]], Locations[Location Name],Locations[Group As])</f>
        <v>Pitch 16</v>
      </c>
      <c r="H1154" t="e" vm="2">
        <f>_xlfn.XLOOKUP(AllData[[#This Row],[Site Name]],LocationsKey[Site Name],LocationsKey[District])</f>
        <v>#VALUE!</v>
      </c>
      <c r="I1154" t="e" vm="7">
        <f>_xlfn.XLOOKUP(AllData[[#This Row],[Site Name]],LocationsKey[Site Name],LocationsKey[Town])</f>
        <v>#VALUE!</v>
      </c>
      <c r="J1154" t="str">
        <f>_xlfn.XLOOKUP(AllData[[#This Row],[Site Name]],LocationsKey[Site Name], LocationsKey[Waterway])</f>
        <v>Avon</v>
      </c>
      <c r="K1154" t="s">
        <v>69</v>
      </c>
      <c r="N1154" t="s">
        <v>29</v>
      </c>
      <c r="O1154">
        <v>982</v>
      </c>
      <c r="P1154">
        <v>25.1</v>
      </c>
      <c r="Q1154">
        <v>5</v>
      </c>
      <c r="R1154" s="7" t="str">
        <f>IF(AllData[[#This Row],[Nitrate (PPM)]]&gt;2, "Very high", IF(AllData[[#This Row],[Nitrate (PPM)]]&gt;1, "High", IF(AllData[[#This Row],[Nitrate (PPM)]]&gt;0.5, "Some evidence", IF(AllData[[#This Row],[Nitrate (PPM)]]&gt;=0, "No evidence"))))</f>
        <v>Very high</v>
      </c>
      <c r="S1154" s="4">
        <v>0.56000000000000005</v>
      </c>
      <c r="T1154" s="7" t="str">
        <f>IF(AllData[[#This Row],[Phosphate (PPM)]]&gt;0.5, "Very high", IF(AllData[[#This Row],[Phosphate (PPM)]]&gt;0.1, "High", IF(AllData[[#This Row],[Phosphate (PPM)]]&gt;0.05, "Some evidence", IF(AllData[[#This Row],[Phosphate (PPM)]]&lt;=0.05, "No Evidence", ""))))</f>
        <v>Very high</v>
      </c>
      <c r="U1154">
        <v>1</v>
      </c>
    </row>
    <row r="1155" spans="1:22" x14ac:dyDescent="0.25">
      <c r="A1155" t="s">
        <v>1668</v>
      </c>
      <c r="B1155" s="2">
        <v>45514</v>
      </c>
      <c r="C1155" s="2" t="str" cm="1">
        <f t="array" ref="C11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5">
        <f>YEAR(AllData[[#This Row],[Date]])</f>
        <v>2024</v>
      </c>
      <c r="E1155" s="1">
        <v>0.45902777777777776</v>
      </c>
      <c r="F1155" s="2" t="str">
        <f>IF(AND(AllData[[#This Row],[Time]]&lt;0.5, AllData[[#This Row],[Time]]&gt;0.17)=TRUE, "Morning", IF(AND(AllData[[#This Row],[Time]]&lt;0.75, AllData[[#This Row],[Time]]&gt;=0.5)=TRUE, "Afternoon", IF(AND(AllData[[#This Row],[Time]]&lt;1, AllData[[#This Row],[Time]]&gt;=0.75)=TRUE, "Evening", "Night")))</f>
        <v>Morning</v>
      </c>
      <c r="G1155" t="str">
        <f>_xlfn.XLOOKUP(AllData[[#This Row],[Location Name]], Locations[Location Name],Locations[Group As])</f>
        <v>Avonbank Drive</v>
      </c>
      <c r="H1155" t="e" vm="2">
        <f>_xlfn.XLOOKUP(AllData[[#This Row],[Site Name]],LocationsKey[Site Name],LocationsKey[District])</f>
        <v>#VALUE!</v>
      </c>
      <c r="I1155" t="e" vm="7">
        <f>_xlfn.XLOOKUP(AllData[[#This Row],[Site Name]],LocationsKey[Site Name],LocationsKey[Town])</f>
        <v>#VALUE!</v>
      </c>
      <c r="J1155" t="str">
        <f>_xlfn.XLOOKUP(AllData[[#This Row],[Site Name]],LocationsKey[Site Name], LocationsKey[Waterway])</f>
        <v>Avon</v>
      </c>
      <c r="K1155" t="s">
        <v>103</v>
      </c>
      <c r="L1155">
        <v>52.177</v>
      </c>
      <c r="M1155">
        <v>-1.736</v>
      </c>
      <c r="N1155" t="s">
        <v>66</v>
      </c>
      <c r="O1155">
        <v>1102</v>
      </c>
      <c r="P1155">
        <v>23</v>
      </c>
      <c r="Q1155">
        <v>5</v>
      </c>
      <c r="R1155" s="7" t="str">
        <f>IF(AllData[[#This Row],[Nitrate (PPM)]]&gt;2, "Very high", IF(AllData[[#This Row],[Nitrate (PPM)]]&gt;1, "High", IF(AllData[[#This Row],[Nitrate (PPM)]]&gt;0.5, "Some evidence", IF(AllData[[#This Row],[Nitrate (PPM)]]&gt;=0, "No evidence"))))</f>
        <v>Very high</v>
      </c>
      <c r="S1155" s="4">
        <v>0.52</v>
      </c>
      <c r="T1155" s="7" t="str">
        <f>IF(AllData[[#This Row],[Phosphate (PPM)]]&gt;0.5, "Very high", IF(AllData[[#This Row],[Phosphate (PPM)]]&gt;0.1, "High", IF(AllData[[#This Row],[Phosphate (PPM)]]&gt;0.05, "Some evidence", IF(AllData[[#This Row],[Phosphate (PPM)]]&lt;=0.05, "No Evidence", ""))))</f>
        <v>Very high</v>
      </c>
      <c r="U1155">
        <v>1</v>
      </c>
    </row>
    <row r="1156" spans="1:22" x14ac:dyDescent="0.25">
      <c r="A1156" t="s">
        <v>1817</v>
      </c>
      <c r="B1156" s="2">
        <v>45514</v>
      </c>
      <c r="C1156" s="2" t="str" cm="1">
        <f t="array" ref="C11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6">
        <f>YEAR(AllData[[#This Row],[Date]])</f>
        <v>2024</v>
      </c>
      <c r="E1156" s="1">
        <v>0.46250000000000002</v>
      </c>
      <c r="F1156" s="2" t="str">
        <f>IF(AND(AllData[[#This Row],[Time]]&lt;0.5, AllData[[#This Row],[Time]]&gt;0.17)=TRUE, "Morning", IF(AND(AllData[[#This Row],[Time]]&lt;0.75, AllData[[#This Row],[Time]]&gt;=0.5)=TRUE, "Afternoon", IF(AND(AllData[[#This Row],[Time]]&lt;1, AllData[[#This Row],[Time]]&gt;=0.75)=TRUE, "Evening", "Night")))</f>
        <v>Morning</v>
      </c>
      <c r="G1156" t="str">
        <f>_xlfn.XLOOKUP(AllData[[#This Row],[Location Name]], Locations[Location Name],Locations[Group As])</f>
        <v>Mill Bridge Peopleton</v>
      </c>
      <c r="H1156" t="e" vm="17">
        <f>_xlfn.XLOOKUP(AllData[[#This Row],[Site Name]],LocationsKey[Site Name],LocationsKey[District])</f>
        <v>#VALUE!</v>
      </c>
      <c r="I1156" t="str">
        <f>_xlfn.XLOOKUP(AllData[[#This Row],[Site Name]],LocationsKey[Site Name],LocationsKey[Town])</f>
        <v>Peopleton</v>
      </c>
      <c r="J1156" t="str">
        <f>_xlfn.XLOOKUP(AllData[[#This Row],[Site Name]],LocationsKey[Site Name], LocationsKey[Waterway])</f>
        <v>Bow Brook</v>
      </c>
      <c r="K1156" t="s">
        <v>921</v>
      </c>
      <c r="L1156">
        <v>52.151699999999998</v>
      </c>
      <c r="M1156">
        <v>-2.0963940000000001</v>
      </c>
      <c r="N1156" t="s">
        <v>29</v>
      </c>
      <c r="O1156">
        <v>1250</v>
      </c>
      <c r="P1156">
        <v>18.600000000000001</v>
      </c>
      <c r="Q1156">
        <v>10</v>
      </c>
      <c r="R1156" s="7" t="str">
        <f>IF(AllData[[#This Row],[Nitrate (PPM)]]&gt;2, "Very high", IF(AllData[[#This Row],[Nitrate (PPM)]]&gt;1, "High", IF(AllData[[#This Row],[Nitrate (PPM)]]&gt;0.5, "Some evidence", IF(AllData[[#This Row],[Nitrate (PPM)]]&gt;=0, "No evidence"))))</f>
        <v>Very high</v>
      </c>
      <c r="S1156" s="4">
        <v>1.61</v>
      </c>
      <c r="T1156" s="7" t="str">
        <f>IF(AllData[[#This Row],[Phosphate (PPM)]]&gt;0.5, "Very high", IF(AllData[[#This Row],[Phosphate (PPM)]]&gt;0.1, "High", IF(AllData[[#This Row],[Phosphate (PPM)]]&gt;0.05, "Some evidence", IF(AllData[[#This Row],[Phosphate (PPM)]]&lt;=0.05, "No Evidence", ""))))</f>
        <v>Very high</v>
      </c>
      <c r="U1156">
        <v>0.2</v>
      </c>
      <c r="V1156" t="s">
        <v>1358</v>
      </c>
    </row>
    <row r="1157" spans="1:22" x14ac:dyDescent="0.25">
      <c r="A1157" t="s">
        <v>1816</v>
      </c>
      <c r="B1157" s="2">
        <v>45514</v>
      </c>
      <c r="C1157" s="2" t="str" cm="1">
        <f t="array" ref="C11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7">
        <f>YEAR(AllData[[#This Row],[Date]])</f>
        <v>2024</v>
      </c>
      <c r="E1157" s="1">
        <v>0.46388888888888891</v>
      </c>
      <c r="F1157" s="2" t="str">
        <f>IF(AND(AllData[[#This Row],[Time]]&lt;0.5, AllData[[#This Row],[Time]]&gt;0.17)=TRUE, "Morning", IF(AND(AllData[[#This Row],[Time]]&lt;0.75, AllData[[#This Row],[Time]]&gt;=0.5)=TRUE, "Afternoon", IF(AND(AllData[[#This Row],[Time]]&lt;1, AllData[[#This Row],[Time]]&gt;=0.75)=TRUE, "Evening", "Night")))</f>
        <v>Morning</v>
      </c>
      <c r="G1157" t="str">
        <f>_xlfn.XLOOKUP(AllData[[#This Row],[Location Name]], Locations[Location Name],Locations[Group As])</f>
        <v>Site 3  :  Severn Trent Water processing plant outflow</v>
      </c>
      <c r="H1157" t="e" vm="2">
        <f>_xlfn.XLOOKUP(AllData[[#This Row],[Site Name]],LocationsKey[Site Name],LocationsKey[District])</f>
        <v>#VALUE!</v>
      </c>
      <c r="I1157" t="e" vm="11">
        <f>_xlfn.XLOOKUP(AllData[[#This Row],[Site Name]],LocationsKey[Site Name],LocationsKey[Town])</f>
        <v>#VALUE!</v>
      </c>
      <c r="J1157" t="str">
        <f>_xlfn.XLOOKUP(AllData[[#This Row],[Site Name]],LocationsKey[Site Name], LocationsKey[Waterway])</f>
        <v>Fosseway Brook</v>
      </c>
      <c r="K1157" t="s">
        <v>1849</v>
      </c>
      <c r="L1157">
        <v>52.094448</v>
      </c>
      <c r="M1157">
        <v>-1.675926</v>
      </c>
      <c r="N1157" t="s">
        <v>29</v>
      </c>
      <c r="O1157">
        <v>955</v>
      </c>
      <c r="P1157">
        <v>18.5</v>
      </c>
      <c r="Q1157">
        <v>10</v>
      </c>
      <c r="R1157" s="7" t="str">
        <f>IF(AllData[[#This Row],[Nitrate (PPM)]]&gt;2, "Very high", IF(AllData[[#This Row],[Nitrate (PPM)]]&gt;1, "High", IF(AllData[[#This Row],[Nitrate (PPM)]]&gt;0.5, "Some evidence", IF(AllData[[#This Row],[Nitrate (PPM)]]&gt;=0, "No evidence"))))</f>
        <v>Very high</v>
      </c>
      <c r="S1157" s="4">
        <v>2.5</v>
      </c>
      <c r="T1157" s="7" t="str">
        <f>IF(AllData[[#This Row],[Phosphate (PPM)]]&gt;0.5, "Very high", IF(AllData[[#This Row],[Phosphate (PPM)]]&gt;0.1, "High", IF(AllData[[#This Row],[Phosphate (PPM)]]&gt;0.05, "Some evidence", IF(AllData[[#This Row],[Phosphate (PPM)]]&lt;=0.05, "No Evidence", ""))))</f>
        <v>Very high</v>
      </c>
      <c r="U1157">
        <v>0.15</v>
      </c>
    </row>
    <row r="1158" spans="1:22" x14ac:dyDescent="0.25">
      <c r="A1158" t="s">
        <v>1814</v>
      </c>
      <c r="B1158" s="2">
        <v>45514</v>
      </c>
      <c r="C1158" s="2" t="str" cm="1">
        <f t="array" ref="C11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8">
        <f>YEAR(AllData[[#This Row],[Date]])</f>
        <v>2024</v>
      </c>
      <c r="E1158" s="1">
        <v>0.5</v>
      </c>
      <c r="F1158" s="2" t="str">
        <f>IF(AND(AllData[[#This Row],[Time]]&lt;0.5, AllData[[#This Row],[Time]]&gt;0.17)=TRUE, "Morning", IF(AND(AllData[[#This Row],[Time]]&lt;0.75, AllData[[#This Row],[Time]]&gt;=0.5)=TRUE, "Afternoon", IF(AND(AllData[[#This Row],[Time]]&lt;1, AllData[[#This Row],[Time]]&gt;=0.75)=TRUE, "Evening", "Night")))</f>
        <v>Afternoon</v>
      </c>
      <c r="G1158" t="str">
        <f>_xlfn.XLOOKUP(AllData[[#This Row],[Location Name]], Locations[Location Name],Locations[Group As])</f>
        <v>Carrant Bredon Rd</v>
      </c>
      <c r="H1158" t="e" vm="1">
        <f>_xlfn.XLOOKUP(AllData[[#This Row],[Site Name]],LocationsKey[Site Name],LocationsKey[District])</f>
        <v>#VALUE!</v>
      </c>
      <c r="I1158" t="e" vm="1">
        <f>_xlfn.XLOOKUP(AllData[[#This Row],[Site Name]],LocationsKey[Site Name],LocationsKey[Town])</f>
        <v>#VALUE!</v>
      </c>
      <c r="J1158" t="str">
        <f>_xlfn.XLOOKUP(AllData[[#This Row],[Site Name]],LocationsKey[Site Name], LocationsKey[Waterway])</f>
        <v>Carrant</v>
      </c>
      <c r="K1158" t="s">
        <v>600</v>
      </c>
      <c r="L1158">
        <v>51.996177000000003</v>
      </c>
      <c r="M1158">
        <v>-2.1560299999999999</v>
      </c>
      <c r="N1158" t="s">
        <v>23</v>
      </c>
      <c r="O1158">
        <v>716</v>
      </c>
      <c r="P1158">
        <v>18.600000000000001</v>
      </c>
      <c r="Q1158">
        <v>4</v>
      </c>
      <c r="R1158" s="7" t="str">
        <f>IF(AllData[[#This Row],[Nitrate (PPM)]]&gt;2, "Very high", IF(AllData[[#This Row],[Nitrate (PPM)]]&gt;1, "High", IF(AllData[[#This Row],[Nitrate (PPM)]]&gt;0.5, "Some evidence", IF(AllData[[#This Row],[Nitrate (PPM)]]&gt;=0, "No evidence"))))</f>
        <v>Very high</v>
      </c>
      <c r="S1158" s="4">
        <v>0.67</v>
      </c>
      <c r="T1158" s="7" t="str">
        <f>IF(AllData[[#This Row],[Phosphate (PPM)]]&gt;0.5, "Very high", IF(AllData[[#This Row],[Phosphate (PPM)]]&gt;0.1, "High", IF(AllData[[#This Row],[Phosphate (PPM)]]&gt;0.05, "Some evidence", IF(AllData[[#This Row],[Phosphate (PPM)]]&lt;=0.05, "No Evidence", ""))))</f>
        <v>Very high</v>
      </c>
      <c r="U1158">
        <v>0</v>
      </c>
    </row>
    <row r="1159" spans="1:22" x14ac:dyDescent="0.25">
      <c r="A1159" t="s">
        <v>1815</v>
      </c>
      <c r="B1159" s="2">
        <v>45514</v>
      </c>
      <c r="C1159" s="2" t="str" cm="1">
        <f t="array" ref="C11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9">
        <f>YEAR(AllData[[#This Row],[Date]])</f>
        <v>2024</v>
      </c>
      <c r="E1159" s="1">
        <v>0.71875</v>
      </c>
      <c r="F1159" s="2" t="str">
        <f>IF(AND(AllData[[#This Row],[Time]]&lt;0.5, AllData[[#This Row],[Time]]&gt;0.17)=TRUE, "Morning", IF(AND(AllData[[#This Row],[Time]]&lt;0.75, AllData[[#This Row],[Time]]&gt;=0.5)=TRUE, "Afternoon", IF(AND(AllData[[#This Row],[Time]]&lt;1, AllData[[#This Row],[Time]]&gt;=0.75)=TRUE, "Evening", "Night")))</f>
        <v>Afternoon</v>
      </c>
      <c r="G1159" t="str">
        <f>_xlfn.XLOOKUP(AllData[[#This Row],[Location Name]], Locations[Location Name],Locations[Group As])</f>
        <v>Preston-on-Stour River Bridge</v>
      </c>
      <c r="H1159" t="e" vm="2">
        <f>_xlfn.XLOOKUP(AllData[[#This Row],[Site Name]],LocationsKey[Site Name],LocationsKey[District])</f>
        <v>#VALUE!</v>
      </c>
      <c r="I1159" t="e" vm="9">
        <f>_xlfn.XLOOKUP(AllData[[#This Row],[Site Name]],LocationsKey[Site Name],LocationsKey[Town])</f>
        <v>#VALUE!</v>
      </c>
      <c r="J1159" t="str">
        <f>_xlfn.XLOOKUP(AllData[[#This Row],[Site Name]],LocationsKey[Site Name], LocationsKey[Waterway])</f>
        <v>Stour</v>
      </c>
      <c r="K1159" t="s">
        <v>163</v>
      </c>
      <c r="L1159">
        <v>52.146476999999997</v>
      </c>
      <c r="M1159">
        <v>-1.699783</v>
      </c>
      <c r="N1159" t="s">
        <v>29</v>
      </c>
      <c r="O1159">
        <v>712</v>
      </c>
      <c r="P1159">
        <v>19.7</v>
      </c>
      <c r="Q1159">
        <v>6</v>
      </c>
      <c r="R1159" s="7" t="str">
        <f>IF(AllData[[#This Row],[Nitrate (PPM)]]&gt;2, "Very high", IF(AllData[[#This Row],[Nitrate (PPM)]]&gt;1, "High", IF(AllData[[#This Row],[Nitrate (PPM)]]&gt;0.5, "Some evidence", IF(AllData[[#This Row],[Nitrate (PPM)]]&gt;=0, "No evidence"))))</f>
        <v>Very high</v>
      </c>
      <c r="S1159" s="4">
        <v>0.54</v>
      </c>
      <c r="T1159" s="7" t="str">
        <f>IF(AllData[[#This Row],[Phosphate (PPM)]]&gt;0.5, "Very high", IF(AllData[[#This Row],[Phosphate (PPM)]]&gt;0.1, "High", IF(AllData[[#This Row],[Phosphate (PPM)]]&gt;0.05, "Some evidence", IF(AllData[[#This Row],[Phosphate (PPM)]]&lt;=0.05, "No Evidence", ""))))</f>
        <v>Very high</v>
      </c>
      <c r="U1159">
        <v>1</v>
      </c>
      <c r="V1159" t="s">
        <v>1928</v>
      </c>
    </row>
    <row r="1160" spans="1:22" x14ac:dyDescent="0.25">
      <c r="A1160" t="s">
        <v>1813</v>
      </c>
      <c r="B1160" s="2">
        <v>45515</v>
      </c>
      <c r="C1160" s="2" t="str" cm="1">
        <f t="array" ref="C11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0">
        <f>YEAR(AllData[[#This Row],[Date]])</f>
        <v>2024</v>
      </c>
      <c r="E1160" s="1">
        <v>0.45</v>
      </c>
      <c r="F1160" s="2" t="str">
        <f>IF(AND(AllData[[#This Row],[Time]]&lt;0.5, AllData[[#This Row],[Time]]&gt;0.17)=TRUE, "Morning", IF(AND(AllData[[#This Row],[Time]]&lt;0.75, AllData[[#This Row],[Time]]&gt;=0.5)=TRUE, "Afternoon", IF(AND(AllData[[#This Row],[Time]]&lt;1, AllData[[#This Row],[Time]]&gt;=0.75)=TRUE, "Evening", "Night")))</f>
        <v>Morning</v>
      </c>
      <c r="G1160" t="str">
        <f>_xlfn.XLOOKUP(AllData[[#This Row],[Location Name]], Locations[Location Name],Locations[Group As])</f>
        <v>Lower Lode</v>
      </c>
      <c r="H1160" t="e" vm="1">
        <f>_xlfn.XLOOKUP(AllData[[#This Row],[Site Name]],LocationsKey[Site Name],LocationsKey[District])</f>
        <v>#VALUE!</v>
      </c>
      <c r="I1160" t="e" vm="1">
        <f>_xlfn.XLOOKUP(AllData[[#This Row],[Site Name]],LocationsKey[Site Name],LocationsKey[Town])</f>
        <v>#VALUE!</v>
      </c>
      <c r="J1160" t="str">
        <f>_xlfn.XLOOKUP(AllData[[#This Row],[Site Name]],LocationsKey[Site Name], LocationsKey[Waterway])</f>
        <v>Avon</v>
      </c>
      <c r="K1160" t="s">
        <v>592</v>
      </c>
      <c r="L1160">
        <v>51.985007000000003</v>
      </c>
      <c r="M1160">
        <v>-2.1741809999999999</v>
      </c>
      <c r="N1160" t="s">
        <v>29</v>
      </c>
      <c r="O1160">
        <v>1080</v>
      </c>
      <c r="P1160">
        <v>22.7</v>
      </c>
      <c r="Q1160">
        <v>10</v>
      </c>
      <c r="R1160" s="7" t="str">
        <f>IF(AllData[[#This Row],[Nitrate (PPM)]]&gt;2, "Very high", IF(AllData[[#This Row],[Nitrate (PPM)]]&gt;1, "High", IF(AllData[[#This Row],[Nitrate (PPM)]]&gt;0.5, "Some evidence", IF(AllData[[#This Row],[Nitrate (PPM)]]&gt;=0, "No evidence"))))</f>
        <v>Very high</v>
      </c>
      <c r="S1160" s="4">
        <v>1.08</v>
      </c>
      <c r="T1160" s="7" t="str">
        <f>IF(AllData[[#This Row],[Phosphate (PPM)]]&gt;0.5, "Very high", IF(AllData[[#This Row],[Phosphate (PPM)]]&gt;0.1, "High", IF(AllData[[#This Row],[Phosphate (PPM)]]&gt;0.05, "Some evidence", IF(AllData[[#This Row],[Phosphate (PPM)]]&lt;=0.05, "No Evidence", ""))))</f>
        <v>Very high</v>
      </c>
      <c r="U1160">
        <v>0</v>
      </c>
    </row>
    <row r="1161" spans="1:22" x14ac:dyDescent="0.25">
      <c r="A1161" t="s">
        <v>1742</v>
      </c>
      <c r="B1161" s="2">
        <v>45515</v>
      </c>
      <c r="C1161" s="2" t="str" cm="1">
        <f t="array" ref="C11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1">
        <f>YEAR(AllData[[#This Row],[Date]])</f>
        <v>2024</v>
      </c>
      <c r="E1161" s="1">
        <v>0.72083333333333333</v>
      </c>
      <c r="F1161" s="2" t="str">
        <f>IF(AND(AllData[[#This Row],[Time]]&lt;0.5, AllData[[#This Row],[Time]]&gt;0.17)=TRUE, "Morning", IF(AND(AllData[[#This Row],[Time]]&lt;0.75, AllData[[#This Row],[Time]]&gt;=0.5)=TRUE, "Afternoon", IF(AND(AllData[[#This Row],[Time]]&lt;1, AllData[[#This Row],[Time]]&gt;=0.75)=TRUE, "Evening", "Night")))</f>
        <v>Afternoon</v>
      </c>
      <c r="G1161" t="str">
        <f>_xlfn.XLOOKUP(AllData[[#This Row],[Location Name]], Locations[Location Name],Locations[Group As])</f>
        <v>Carrant Back Lane Beckford</v>
      </c>
      <c r="H1161" t="e" vm="1">
        <f>_xlfn.XLOOKUP(AllData[[#This Row],[Site Name]],LocationsKey[Site Name],LocationsKey[District])</f>
        <v>#VALUE!</v>
      </c>
      <c r="I1161" t="str">
        <f>_xlfn.XLOOKUP(AllData[[#This Row],[Site Name]],LocationsKey[Site Name],LocationsKey[Town])</f>
        <v>Beckford</v>
      </c>
      <c r="J1161" t="str">
        <f>_xlfn.XLOOKUP(AllData[[#This Row],[Site Name]],LocationsKey[Site Name], LocationsKey[Waterway])</f>
        <v>Carrant</v>
      </c>
      <c r="K1161" t="s">
        <v>1858</v>
      </c>
      <c r="L1161">
        <v>52.018433999999999</v>
      </c>
      <c r="M1161">
        <v>-2.0387719999999998</v>
      </c>
      <c r="N1161" t="s">
        <v>66</v>
      </c>
      <c r="O1161">
        <v>794</v>
      </c>
      <c r="P1161">
        <v>20.6</v>
      </c>
      <c r="Q1161">
        <v>7</v>
      </c>
      <c r="R1161" s="7" t="str">
        <f>IF(AllData[[#This Row],[Nitrate (PPM)]]&gt;2, "Very high", IF(AllData[[#This Row],[Nitrate (PPM)]]&gt;1, "High", IF(AllData[[#This Row],[Nitrate (PPM)]]&gt;0.5, "Some evidence", IF(AllData[[#This Row],[Nitrate (PPM)]]&gt;=0, "No evidence"))))</f>
        <v>Very high</v>
      </c>
      <c r="S1161" s="4">
        <v>0.14000000000000001</v>
      </c>
      <c r="T1161" s="7" t="str">
        <f>IF(AllData[[#This Row],[Phosphate (PPM)]]&gt;0.5, "Very high", IF(AllData[[#This Row],[Phosphate (PPM)]]&gt;0.1, "High", IF(AllData[[#This Row],[Phosphate (PPM)]]&gt;0.05, "Some evidence", IF(AllData[[#This Row],[Phosphate (PPM)]]&lt;=0.05, "No Evidence", ""))))</f>
        <v>High</v>
      </c>
      <c r="U1161">
        <v>0.2</v>
      </c>
      <c r="V1161" t="s">
        <v>1893</v>
      </c>
    </row>
    <row r="1162" spans="1:22" x14ac:dyDescent="0.25">
      <c r="A1162" t="s">
        <v>1737</v>
      </c>
      <c r="B1162" s="2">
        <v>45515</v>
      </c>
      <c r="C1162" s="2" t="str" cm="1">
        <f t="array" ref="C11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2">
        <f>YEAR(AllData[[#This Row],[Date]])</f>
        <v>2024</v>
      </c>
      <c r="E1162" s="1">
        <v>0.79861111111111116</v>
      </c>
      <c r="F1162" s="2" t="str">
        <f>IF(AND(AllData[[#This Row],[Time]]&lt;0.5, AllData[[#This Row],[Time]]&gt;0.17)=TRUE, "Morning", IF(AND(AllData[[#This Row],[Time]]&lt;0.75, AllData[[#This Row],[Time]]&gt;=0.5)=TRUE, "Afternoon", IF(AND(AllData[[#This Row],[Time]]&lt;1, AllData[[#This Row],[Time]]&gt;=0.75)=TRUE, "Evening", "Night")))</f>
        <v>Evening</v>
      </c>
      <c r="G1162" t="str">
        <f>_xlfn.XLOOKUP(AllData[[#This Row],[Location Name]], Locations[Location Name],Locations[Group As])</f>
        <v>Fell Mill Footbridge</v>
      </c>
      <c r="H1162" t="e" vm="2">
        <f>_xlfn.XLOOKUP(AllData[[#This Row],[Site Name]],LocationsKey[Site Name],LocationsKey[District])</f>
        <v>#VALUE!</v>
      </c>
      <c r="I1162" t="e" vm="10">
        <f>_xlfn.XLOOKUP(AllData[[#This Row],[Site Name]],LocationsKey[Site Name],LocationsKey[Town])</f>
        <v>#VALUE!</v>
      </c>
      <c r="J1162" t="str">
        <f>_xlfn.XLOOKUP(AllData[[#This Row],[Site Name]],LocationsKey[Site Name], LocationsKey[Waterway])</f>
        <v>Stour</v>
      </c>
      <c r="K1162" t="s">
        <v>818</v>
      </c>
      <c r="L1162">
        <v>52.070086000000003</v>
      </c>
      <c r="M1162">
        <v>-1.61145</v>
      </c>
      <c r="N1162" t="s">
        <v>29</v>
      </c>
      <c r="O1162">
        <v>671</v>
      </c>
      <c r="P1162">
        <v>19.2</v>
      </c>
      <c r="Q1162">
        <v>5</v>
      </c>
      <c r="R1162" s="7" t="str">
        <f>IF(AllData[[#This Row],[Nitrate (PPM)]]&gt;2, "Very high", IF(AllData[[#This Row],[Nitrate (PPM)]]&gt;1, "High", IF(AllData[[#This Row],[Nitrate (PPM)]]&gt;0.5, "Some evidence", IF(AllData[[#This Row],[Nitrate (PPM)]]&gt;=0, "No evidence"))))</f>
        <v>Very high</v>
      </c>
      <c r="S1162" s="4">
        <v>0.54</v>
      </c>
      <c r="T1162" s="7" t="str">
        <f>IF(AllData[[#This Row],[Phosphate (PPM)]]&gt;0.5, "Very high", IF(AllData[[#This Row],[Phosphate (PPM)]]&gt;0.1, "High", IF(AllData[[#This Row],[Phosphate (PPM)]]&gt;0.05, "Some evidence", IF(AllData[[#This Row],[Phosphate (PPM)]]&lt;=0.05, "No Evidence", ""))))</f>
        <v>Very high</v>
      </c>
      <c r="U1162">
        <v>1.1000000000000001</v>
      </c>
    </row>
    <row r="1163" spans="1:22" x14ac:dyDescent="0.25">
      <c r="A1163" t="s">
        <v>1741</v>
      </c>
      <c r="B1163" s="2">
        <v>45515</v>
      </c>
      <c r="C1163" s="2" t="str" cm="1">
        <f t="array" ref="C11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3">
        <f>YEAR(AllData[[#This Row],[Date]])</f>
        <v>2024</v>
      </c>
      <c r="E1163" s="1">
        <v>0.84652777777777777</v>
      </c>
      <c r="F1163" s="2" t="str">
        <f>IF(AND(AllData[[#This Row],[Time]]&lt;0.5, AllData[[#This Row],[Time]]&gt;0.17)=TRUE, "Morning", IF(AND(AllData[[#This Row],[Time]]&lt;0.75, AllData[[#This Row],[Time]]&gt;=0.5)=TRUE, "Afternoon", IF(AND(AllData[[#This Row],[Time]]&lt;1, AllData[[#This Row],[Time]]&gt;=0.75)=TRUE, "Evening", "Night")))</f>
        <v>Evening</v>
      </c>
      <c r="G1163" t="str">
        <f>_xlfn.XLOOKUP(AllData[[#This Row],[Location Name]], Locations[Location Name],Locations[Group As])</f>
        <v>Black Bear</v>
      </c>
      <c r="H1163" t="e" vm="1">
        <f>_xlfn.XLOOKUP(AllData[[#This Row],[Site Name]],LocationsKey[Site Name],LocationsKey[District])</f>
        <v>#VALUE!</v>
      </c>
      <c r="I1163" t="e" vm="1">
        <f>_xlfn.XLOOKUP(AllData[[#This Row],[Site Name]],LocationsKey[Site Name],LocationsKey[Town])</f>
        <v>#VALUE!</v>
      </c>
      <c r="J1163" t="str">
        <f>_xlfn.XLOOKUP(AllData[[#This Row],[Site Name]],LocationsKey[Site Name], LocationsKey[Waterway])</f>
        <v>Avon</v>
      </c>
      <c r="K1163" t="s">
        <v>1045</v>
      </c>
      <c r="L1163">
        <v>51.997525000000003</v>
      </c>
      <c r="M1163">
        <v>-2.156285</v>
      </c>
      <c r="N1163" t="s">
        <v>23</v>
      </c>
      <c r="O1163">
        <v>100</v>
      </c>
      <c r="P1163">
        <v>23.2</v>
      </c>
      <c r="Q1163">
        <v>9</v>
      </c>
      <c r="R1163" s="7" t="str">
        <f>IF(AllData[[#This Row],[Nitrate (PPM)]]&gt;2, "Very high", IF(AllData[[#This Row],[Nitrate (PPM)]]&gt;1, "High", IF(AllData[[#This Row],[Nitrate (PPM)]]&gt;0.5, "Some evidence", IF(AllData[[#This Row],[Nitrate (PPM)]]&gt;=0, "No evidence"))))</f>
        <v>Very high</v>
      </c>
      <c r="S1163" s="4">
        <v>0.86</v>
      </c>
      <c r="T1163" s="7" t="str">
        <f>IF(AllData[[#This Row],[Phosphate (PPM)]]&gt;0.5, "Very high", IF(AllData[[#This Row],[Phosphate (PPM)]]&gt;0.1, "High", IF(AllData[[#This Row],[Phosphate (PPM)]]&gt;0.05, "Some evidence", IF(AllData[[#This Row],[Phosphate (PPM)]]&lt;=0.05, "No Evidence", ""))))</f>
        <v>Very high</v>
      </c>
      <c r="U1163">
        <v>0</v>
      </c>
    </row>
    <row r="1164" spans="1:22" x14ac:dyDescent="0.25">
      <c r="A1164" t="s">
        <v>1738</v>
      </c>
      <c r="B1164" s="2">
        <v>45516</v>
      </c>
      <c r="C1164" s="2" t="str" cm="1">
        <f t="array" ref="C11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4">
        <f>YEAR(AllData[[#This Row],[Date]])</f>
        <v>2024</v>
      </c>
      <c r="E1164" s="1">
        <v>0.33333333333333331</v>
      </c>
      <c r="F1164" s="2" t="str">
        <f>IF(AND(AllData[[#This Row],[Time]]&lt;0.5, AllData[[#This Row],[Time]]&gt;0.17)=TRUE, "Morning", IF(AND(AllData[[#This Row],[Time]]&lt;0.75, AllData[[#This Row],[Time]]&gt;=0.5)=TRUE, "Afternoon", IF(AND(AllData[[#This Row],[Time]]&lt;1, AllData[[#This Row],[Time]]&gt;=0.75)=TRUE, "Evening", "Night")))</f>
        <v>Morning</v>
      </c>
      <c r="G1164" t="str">
        <f>_xlfn.XLOOKUP(AllData[[#This Row],[Location Name]], Locations[Location Name],Locations[Group As])</f>
        <v>Carrant M5 Bridge</v>
      </c>
      <c r="H1164" t="e" vm="1">
        <f>_xlfn.XLOOKUP(AllData[[#This Row],[Site Name]],LocationsKey[Site Name],LocationsKey[District])</f>
        <v>#VALUE!</v>
      </c>
      <c r="I1164" t="e" vm="1">
        <f>_xlfn.XLOOKUP(AllData[[#This Row],[Site Name]],LocationsKey[Site Name],LocationsKey[Town])</f>
        <v>#VALUE!</v>
      </c>
      <c r="J1164" t="str">
        <f>_xlfn.XLOOKUP(AllData[[#This Row],[Site Name]],LocationsKey[Site Name], LocationsKey[Waterway])</f>
        <v>Carrant</v>
      </c>
      <c r="K1164" t="s">
        <v>960</v>
      </c>
      <c r="N1164" t="s">
        <v>23</v>
      </c>
      <c r="O1164">
        <v>517</v>
      </c>
      <c r="P1164">
        <v>22.8</v>
      </c>
      <c r="Q1164">
        <v>10</v>
      </c>
      <c r="R1164" s="7" t="str">
        <f>IF(AllData[[#This Row],[Nitrate (PPM)]]&gt;2, "Very high", IF(AllData[[#This Row],[Nitrate (PPM)]]&gt;1, "High", IF(AllData[[#This Row],[Nitrate (PPM)]]&gt;0.5, "Some evidence", IF(AllData[[#This Row],[Nitrate (PPM)]]&gt;=0, "No evidence"))))</f>
        <v>Very high</v>
      </c>
      <c r="S1164" s="4">
        <v>0.71</v>
      </c>
      <c r="T1164" s="7" t="str">
        <f>IF(AllData[[#This Row],[Phosphate (PPM)]]&gt;0.5, "Very high", IF(AllData[[#This Row],[Phosphate (PPM)]]&gt;0.1, "High", IF(AllData[[#This Row],[Phosphate (PPM)]]&gt;0.05, "Some evidence", IF(AllData[[#This Row],[Phosphate (PPM)]]&lt;=0.05, "No Evidence", ""))))</f>
        <v>Very high</v>
      </c>
      <c r="U1164">
        <v>0</v>
      </c>
    </row>
    <row r="1165" spans="1:22" x14ac:dyDescent="0.25">
      <c r="A1165" t="s">
        <v>1739</v>
      </c>
      <c r="B1165" s="2">
        <v>45516</v>
      </c>
      <c r="C1165" s="2" t="str" cm="1">
        <f t="array" ref="C11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5">
        <f>YEAR(AllData[[#This Row],[Date]])</f>
        <v>2024</v>
      </c>
      <c r="E1165" s="1">
        <v>0.34027777777777779</v>
      </c>
      <c r="F1165" s="2" t="str">
        <f>IF(AND(AllData[[#This Row],[Time]]&lt;0.5, AllData[[#This Row],[Time]]&gt;0.17)=TRUE, "Morning", IF(AND(AllData[[#This Row],[Time]]&lt;0.75, AllData[[#This Row],[Time]]&gt;=0.5)=TRUE, "Afternoon", IF(AND(AllData[[#This Row],[Time]]&lt;1, AllData[[#This Row],[Time]]&gt;=0.75)=TRUE, "Evening", "Night")))</f>
        <v>Morning</v>
      </c>
      <c r="G1165" t="str">
        <f>_xlfn.XLOOKUP(AllData[[#This Row],[Location Name]], Locations[Location Name],Locations[Group As])</f>
        <v>Chipping Campden Lady J Gateway</v>
      </c>
      <c r="H1165" t="e" vm="23">
        <f>_xlfn.XLOOKUP(AllData[[#This Row],[Site Name]],LocationsKey[Site Name],LocationsKey[District])</f>
        <v>#VALUE!</v>
      </c>
      <c r="I1165" t="e" vm="24">
        <f>_xlfn.XLOOKUP(AllData[[#This Row],[Site Name]],LocationsKey[Site Name],LocationsKey[Town])</f>
        <v>#VALUE!</v>
      </c>
      <c r="J1165" t="str">
        <f>_xlfn.XLOOKUP(AllData[[#This Row],[Site Name]],LocationsKey[Site Name], LocationsKey[Waterway])</f>
        <v>Cam Brook</v>
      </c>
      <c r="K1165" t="s">
        <v>1476</v>
      </c>
      <c r="N1165" t="s">
        <v>66</v>
      </c>
      <c r="O1165">
        <v>509</v>
      </c>
      <c r="P1165">
        <v>18.899999999999999</v>
      </c>
      <c r="Q1165">
        <v>5</v>
      </c>
      <c r="R1165" s="7" t="str">
        <f>IF(AllData[[#This Row],[Nitrate (PPM)]]&gt;2, "Very high", IF(AllData[[#This Row],[Nitrate (PPM)]]&gt;1, "High", IF(AllData[[#This Row],[Nitrate (PPM)]]&gt;0.5, "Some evidence", IF(AllData[[#This Row],[Nitrate (PPM)]]&gt;=0, "No evidence"))))</f>
        <v>Very high</v>
      </c>
      <c r="S1165" s="4">
        <v>7.0000000000000007E-2</v>
      </c>
      <c r="T1165" s="7" t="str">
        <f>IF(AllData[[#This Row],[Phosphate (PPM)]]&gt;0.5, "Very high", IF(AllData[[#This Row],[Phosphate (PPM)]]&gt;0.1, "High", IF(AllData[[#This Row],[Phosphate (PPM)]]&gt;0.05, "Some evidence", IF(AllData[[#This Row],[Phosphate (PPM)]]&lt;=0.05, "No Evidence", ""))))</f>
        <v>Some evidence</v>
      </c>
      <c r="U1165">
        <v>0.08</v>
      </c>
    </row>
    <row r="1166" spans="1:22" x14ac:dyDescent="0.25">
      <c r="A1166" t="s">
        <v>1740</v>
      </c>
      <c r="B1166" s="2">
        <v>45516</v>
      </c>
      <c r="C1166" s="2" t="str" cm="1">
        <f t="array" ref="C11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6">
        <f>YEAR(AllData[[#This Row],[Date]])</f>
        <v>2024</v>
      </c>
      <c r="E1166" s="1">
        <v>0.3576388888888889</v>
      </c>
      <c r="F1166" s="2" t="str">
        <f>IF(AND(AllData[[#This Row],[Time]]&lt;0.5, AllData[[#This Row],[Time]]&gt;0.17)=TRUE, "Morning", IF(AND(AllData[[#This Row],[Time]]&lt;0.75, AllData[[#This Row],[Time]]&gt;=0.5)=TRUE, "Afternoon", IF(AND(AllData[[#This Row],[Time]]&lt;1, AllData[[#This Row],[Time]]&gt;=0.75)=TRUE, "Evening", "Night")))</f>
        <v>Morning</v>
      </c>
      <c r="G1166" t="str">
        <f>_xlfn.XLOOKUP(AllData[[#This Row],[Location Name]], Locations[Location Name],Locations[Group As])</f>
        <v>Chipping Campden Sewage Works</v>
      </c>
      <c r="H1166" t="e" vm="23">
        <f>_xlfn.XLOOKUP(AllData[[#This Row],[Site Name]],LocationsKey[Site Name],LocationsKey[District])</f>
        <v>#VALUE!</v>
      </c>
      <c r="I1166" t="e" vm="24">
        <f>_xlfn.XLOOKUP(AllData[[#This Row],[Site Name]],LocationsKey[Site Name],LocationsKey[Town])</f>
        <v>#VALUE!</v>
      </c>
      <c r="J1166" t="str">
        <f>_xlfn.XLOOKUP(AllData[[#This Row],[Site Name]],LocationsKey[Site Name], LocationsKey[Waterway])</f>
        <v>Cam Brook</v>
      </c>
      <c r="K1166" t="s">
        <v>1474</v>
      </c>
      <c r="L1166">
        <v>52.052225</v>
      </c>
      <c r="M1166">
        <v>-1.761579</v>
      </c>
      <c r="N1166" t="s">
        <v>29</v>
      </c>
      <c r="O1166">
        <v>757</v>
      </c>
      <c r="P1166">
        <v>18.600000000000001</v>
      </c>
      <c r="Q1166">
        <v>5</v>
      </c>
      <c r="R1166" s="7" t="str">
        <f>IF(AllData[[#This Row],[Nitrate (PPM)]]&gt;2, "Very high", IF(AllData[[#This Row],[Nitrate (PPM)]]&gt;1, "High", IF(AllData[[#This Row],[Nitrate (PPM)]]&gt;0.5, "Some evidence", IF(AllData[[#This Row],[Nitrate (PPM)]]&gt;=0, "No evidence"))))</f>
        <v>Very high</v>
      </c>
      <c r="S1166" s="4">
        <v>0.32</v>
      </c>
      <c r="T1166" s="7" t="str">
        <f>IF(AllData[[#This Row],[Phosphate (PPM)]]&gt;0.5, "Very high", IF(AllData[[#This Row],[Phosphate (PPM)]]&gt;0.1, "High", IF(AllData[[#This Row],[Phosphate (PPM)]]&gt;0.05, "Some evidence", IF(AllData[[#This Row],[Phosphate (PPM)]]&lt;=0.05, "No Evidence", ""))))</f>
        <v>High</v>
      </c>
      <c r="U1166">
        <v>0.23</v>
      </c>
    </row>
    <row r="1167" spans="1:22" x14ac:dyDescent="0.25">
      <c r="A1167" t="s">
        <v>1688</v>
      </c>
      <c r="B1167" s="2">
        <v>45516</v>
      </c>
      <c r="C1167" s="2" t="str" cm="1">
        <f t="array" ref="C11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7">
        <f>YEAR(AllData[[#This Row],[Date]])</f>
        <v>2024</v>
      </c>
      <c r="E1167" s="1">
        <v>0.4236111111111111</v>
      </c>
      <c r="F1167" s="2" t="str">
        <f>IF(AND(AllData[[#This Row],[Time]]&lt;0.5, AllData[[#This Row],[Time]]&gt;0.17)=TRUE, "Morning", IF(AND(AllData[[#This Row],[Time]]&lt;0.75, AllData[[#This Row],[Time]]&gt;=0.5)=TRUE, "Afternoon", IF(AND(AllData[[#This Row],[Time]]&lt;1, AllData[[#This Row],[Time]]&gt;=0.75)=TRUE, "Evening", "Night")))</f>
        <v>Morning</v>
      </c>
      <c r="G1167" t="str">
        <f>_xlfn.XLOOKUP(AllData[[#This Row],[Location Name]], Locations[Location Name],Locations[Group As])</f>
        <v>Sherbourne Brook 1</v>
      </c>
      <c r="H1167" t="e" vm="2">
        <f>_xlfn.XLOOKUP(AllData[[#This Row],[Site Name]],LocationsKey[Site Name],LocationsKey[District])</f>
        <v>#VALUE!</v>
      </c>
      <c r="I1167" t="e" vm="16">
        <f>_xlfn.XLOOKUP(AllData[[#This Row],[Site Name]],LocationsKey[Site Name],LocationsKey[Town])</f>
        <v>#VALUE!</v>
      </c>
      <c r="J1167" t="str">
        <f>_xlfn.XLOOKUP(AllData[[#This Row],[Site Name]],LocationsKey[Site Name], LocationsKey[Waterway])</f>
        <v>Sherbourne Brook</v>
      </c>
      <c r="K1167" t="s">
        <v>570</v>
      </c>
      <c r="L1167">
        <v>52.252499999999998</v>
      </c>
      <c r="M1167">
        <v>-1.6685000000000001</v>
      </c>
      <c r="N1167" t="s">
        <v>23</v>
      </c>
      <c r="O1167">
        <v>1070</v>
      </c>
      <c r="P1167">
        <v>20.6</v>
      </c>
      <c r="Q1167">
        <v>7</v>
      </c>
      <c r="R1167" s="7" t="str">
        <f>IF(AllData[[#This Row],[Nitrate (PPM)]]&gt;2, "Very high", IF(AllData[[#This Row],[Nitrate (PPM)]]&gt;1, "High", IF(AllData[[#This Row],[Nitrate (PPM)]]&gt;0.5, "Some evidence", IF(AllData[[#This Row],[Nitrate (PPM)]]&gt;=0, "No evidence"))))</f>
        <v>Very high</v>
      </c>
      <c r="S1167" s="4">
        <v>0.37</v>
      </c>
      <c r="T1167" s="7" t="str">
        <f>IF(AllData[[#This Row],[Phosphate (PPM)]]&gt;0.5, "Very high", IF(AllData[[#This Row],[Phosphate (PPM)]]&gt;0.1, "High", IF(AllData[[#This Row],[Phosphate (PPM)]]&gt;0.05, "Some evidence", IF(AllData[[#This Row],[Phosphate (PPM)]]&lt;=0.05, "No Evidence", ""))))</f>
        <v>High</v>
      </c>
      <c r="U1167">
        <v>0.1</v>
      </c>
    </row>
    <row r="1168" spans="1:22" x14ac:dyDescent="0.25">
      <c r="A1168" t="s">
        <v>1687</v>
      </c>
      <c r="B1168" s="2">
        <v>45516</v>
      </c>
      <c r="C1168" s="2" t="str" cm="1">
        <f t="array" ref="C11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8">
        <f>YEAR(AllData[[#This Row],[Date]])</f>
        <v>2024</v>
      </c>
      <c r="E1168" s="1">
        <v>0.42708333333333331</v>
      </c>
      <c r="F1168" s="2" t="str">
        <f>IF(AND(AllData[[#This Row],[Time]]&lt;0.5, AllData[[#This Row],[Time]]&gt;0.17)=TRUE, "Morning", IF(AND(AllData[[#This Row],[Time]]&lt;0.75, AllData[[#This Row],[Time]]&gt;=0.5)=TRUE, "Afternoon", IF(AND(AllData[[#This Row],[Time]]&lt;1, AllData[[#This Row],[Time]]&gt;=0.75)=TRUE, "Evening", "Night")))</f>
        <v>Morning</v>
      </c>
      <c r="G1168" t="str">
        <f>_xlfn.XLOOKUP(AllData[[#This Row],[Location Name]], Locations[Location Name],Locations[Group As])</f>
        <v>Bell Brook 1</v>
      </c>
      <c r="H1168" t="e" vm="2">
        <f>_xlfn.XLOOKUP(AllData[[#This Row],[Site Name]],LocationsKey[Site Name],LocationsKey[District])</f>
        <v>#VALUE!</v>
      </c>
      <c r="I1168" t="e" vm="15">
        <f>_xlfn.XLOOKUP(AllData[[#This Row],[Site Name]],LocationsKey[Site Name],LocationsKey[Town])</f>
        <v>#VALUE!</v>
      </c>
      <c r="J1168" t="str">
        <f>_xlfn.XLOOKUP(AllData[[#This Row],[Site Name]],LocationsKey[Site Name], LocationsKey[Waterway])</f>
        <v>Bell Brook</v>
      </c>
      <c r="K1168" t="s">
        <v>534</v>
      </c>
      <c r="L1168">
        <v>52.244900000000001</v>
      </c>
      <c r="M1168">
        <v>-1.6617</v>
      </c>
      <c r="N1168" t="s">
        <v>23</v>
      </c>
      <c r="O1168">
        <v>860</v>
      </c>
      <c r="P1168">
        <v>22.6</v>
      </c>
      <c r="Q1168">
        <v>15</v>
      </c>
      <c r="R1168" s="7" t="str">
        <f>IF(AllData[[#This Row],[Nitrate (PPM)]]&gt;2, "Very high", IF(AllData[[#This Row],[Nitrate (PPM)]]&gt;1, "High", IF(AllData[[#This Row],[Nitrate (PPM)]]&gt;0.5, "Some evidence", IF(AllData[[#This Row],[Nitrate (PPM)]]&gt;=0, "No evidence"))))</f>
        <v>Very high</v>
      </c>
      <c r="S1168" s="4">
        <v>0.89</v>
      </c>
      <c r="T1168" s="7" t="str">
        <f>IF(AllData[[#This Row],[Phosphate (PPM)]]&gt;0.5, "Very high", IF(AllData[[#This Row],[Phosphate (PPM)]]&gt;0.1, "High", IF(AllData[[#This Row],[Phosphate (PPM)]]&gt;0.05, "Some evidence", IF(AllData[[#This Row],[Phosphate (PPM)]]&lt;=0.05, "No Evidence", ""))))</f>
        <v>Very high</v>
      </c>
      <c r="U1168">
        <v>0.1</v>
      </c>
    </row>
    <row r="1169" spans="1:22" x14ac:dyDescent="0.25">
      <c r="A1169" t="s">
        <v>1736</v>
      </c>
      <c r="B1169" s="2">
        <v>45516</v>
      </c>
      <c r="C1169" s="2" t="str" cm="1">
        <f t="array" ref="C11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9">
        <f>YEAR(AllData[[#This Row],[Date]])</f>
        <v>2024</v>
      </c>
      <c r="E1169" s="1">
        <v>0.8125</v>
      </c>
      <c r="F1169" s="2" t="str">
        <f>IF(AND(AllData[[#This Row],[Time]]&lt;0.5, AllData[[#This Row],[Time]]&gt;0.17)=TRUE, "Morning", IF(AND(AllData[[#This Row],[Time]]&lt;0.75, AllData[[#This Row],[Time]]&gt;=0.5)=TRUE, "Afternoon", IF(AND(AllData[[#This Row],[Time]]&lt;1, AllData[[#This Row],[Time]]&gt;=0.75)=TRUE, "Evening", "Night")))</f>
        <v>Evening</v>
      </c>
      <c r="G1169" t="str">
        <f>_xlfn.XLOOKUP(AllData[[#This Row],[Location Name]], Locations[Location Name],Locations[Group As])</f>
        <v>Chipping Campden Craves</v>
      </c>
      <c r="H1169" t="e" vm="23">
        <f>_xlfn.XLOOKUP(AllData[[#This Row],[Site Name]],LocationsKey[Site Name],LocationsKey[District])</f>
        <v>#VALUE!</v>
      </c>
      <c r="I1169" t="e" vm="24">
        <f>_xlfn.XLOOKUP(AllData[[#This Row],[Site Name]],LocationsKey[Site Name],LocationsKey[Town])</f>
        <v>#VALUE!</v>
      </c>
      <c r="J1169" t="str">
        <f>_xlfn.XLOOKUP(AllData[[#This Row],[Site Name]],LocationsKey[Site Name], LocationsKey[Waterway])</f>
        <v>Cam Brook</v>
      </c>
      <c r="K1169" t="s">
        <v>1857</v>
      </c>
      <c r="L1169">
        <v>52.048684000000002</v>
      </c>
      <c r="M1169">
        <v>-1.7863309999999999</v>
      </c>
      <c r="N1169" t="s">
        <v>66</v>
      </c>
      <c r="O1169">
        <v>398</v>
      </c>
      <c r="P1169">
        <v>23.7</v>
      </c>
      <c r="Q1169">
        <v>2</v>
      </c>
      <c r="R1169" s="7" t="str">
        <f>IF(AllData[[#This Row],[Nitrate (PPM)]]&gt;2, "Very high", IF(AllData[[#This Row],[Nitrate (PPM)]]&gt;1, "High", IF(AllData[[#This Row],[Nitrate (PPM)]]&gt;0.5, "Some evidence", IF(AllData[[#This Row],[Nitrate (PPM)]]&gt;=0, "No evidence"))))</f>
        <v>High</v>
      </c>
      <c r="S1169" s="4">
        <v>0.32</v>
      </c>
      <c r="T1169" s="7" t="str">
        <f>IF(AllData[[#This Row],[Phosphate (PPM)]]&gt;0.5, "Very high", IF(AllData[[#This Row],[Phosphate (PPM)]]&gt;0.1, "High", IF(AllData[[#This Row],[Phosphate (PPM)]]&gt;0.05, "Some evidence", IF(AllData[[#This Row],[Phosphate (PPM)]]&lt;=0.05, "No Evidence", ""))))</f>
        <v>High</v>
      </c>
      <c r="U1169">
        <v>15.2</v>
      </c>
    </row>
    <row r="1170" spans="1:22" x14ac:dyDescent="0.25">
      <c r="A1170" t="s">
        <v>1735</v>
      </c>
      <c r="B1170" s="2">
        <v>45518</v>
      </c>
      <c r="C1170" s="2" t="str" cm="1">
        <f t="array" ref="C11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0">
        <f>YEAR(AllData[[#This Row],[Date]])</f>
        <v>2024</v>
      </c>
      <c r="E1170" s="1">
        <v>0.51180555555555551</v>
      </c>
      <c r="F1170" s="2" t="str">
        <f>IF(AND(AllData[[#This Row],[Time]]&lt;0.5, AllData[[#This Row],[Time]]&gt;0.17)=TRUE, "Morning", IF(AND(AllData[[#This Row],[Time]]&lt;0.75, AllData[[#This Row],[Time]]&gt;=0.5)=TRUE, "Afternoon", IF(AND(AllData[[#This Row],[Time]]&lt;1, AllData[[#This Row],[Time]]&gt;=0.75)=TRUE, "Evening", "Night")))</f>
        <v>Afternoon</v>
      </c>
      <c r="G1170" t="str">
        <f>_xlfn.XLOOKUP(AllData[[#This Row],[Location Name]], Locations[Location Name],Locations[Group As])</f>
        <v>Bredon Marina</v>
      </c>
      <c r="H1170" t="e" vm="1">
        <f>_xlfn.XLOOKUP(AllData[[#This Row],[Site Name]],LocationsKey[Site Name],LocationsKey[District])</f>
        <v>#VALUE!</v>
      </c>
      <c r="I1170" t="e" vm="25">
        <f>_xlfn.XLOOKUP(AllData[[#This Row],[Site Name]],LocationsKey[Site Name],LocationsKey[Town])</f>
        <v>#VALUE!</v>
      </c>
      <c r="J1170" t="str">
        <f>_xlfn.XLOOKUP(AllData[[#This Row],[Site Name]],LocationsKey[Site Name], LocationsKey[Waterway])</f>
        <v>Avon</v>
      </c>
      <c r="K1170" t="s">
        <v>1649</v>
      </c>
      <c r="L1170">
        <v>52.031205</v>
      </c>
      <c r="M1170">
        <v>-2.114001</v>
      </c>
      <c r="N1170" t="s">
        <v>29</v>
      </c>
      <c r="O1170">
        <v>1020</v>
      </c>
      <c r="P1170">
        <v>21.2</v>
      </c>
      <c r="Q1170">
        <v>10</v>
      </c>
      <c r="R1170" s="7" t="str">
        <f>IF(AllData[[#This Row],[Nitrate (PPM)]]&gt;2, "Very high", IF(AllData[[#This Row],[Nitrate (PPM)]]&gt;1, "High", IF(AllData[[#This Row],[Nitrate (PPM)]]&gt;0.5, "Some evidence", IF(AllData[[#This Row],[Nitrate (PPM)]]&gt;=0, "No evidence"))))</f>
        <v>Very high</v>
      </c>
      <c r="S1170" s="4">
        <v>0.82</v>
      </c>
      <c r="T1170" s="7" t="str">
        <f>IF(AllData[[#This Row],[Phosphate (PPM)]]&gt;0.5, "Very high", IF(AllData[[#This Row],[Phosphate (PPM)]]&gt;0.1, "High", IF(AllData[[#This Row],[Phosphate (PPM)]]&gt;0.05, "Some evidence", IF(AllData[[#This Row],[Phosphate (PPM)]]&lt;=0.05, "No Evidence", ""))))</f>
        <v>Very high</v>
      </c>
      <c r="U1170">
        <v>2</v>
      </c>
      <c r="V1170" t="s">
        <v>1892</v>
      </c>
    </row>
    <row r="1171" spans="1:22" x14ac:dyDescent="0.25">
      <c r="A1171" t="s">
        <v>1734</v>
      </c>
      <c r="B1171" s="2">
        <v>45518</v>
      </c>
      <c r="C1171" s="2" t="str" cm="1">
        <f t="array" ref="C11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1">
        <f>YEAR(AllData[[#This Row],[Date]])</f>
        <v>2024</v>
      </c>
      <c r="E1171" s="1">
        <v>0.59722222222222221</v>
      </c>
      <c r="F1171" s="2" t="str">
        <f>IF(AND(AllData[[#This Row],[Time]]&lt;0.5, AllData[[#This Row],[Time]]&gt;0.17)=TRUE, "Morning", IF(AND(AllData[[#This Row],[Time]]&lt;0.75, AllData[[#This Row],[Time]]&gt;=0.5)=TRUE, "Afternoon", IF(AND(AllData[[#This Row],[Time]]&lt;1, AllData[[#This Row],[Time]]&gt;=0.75)=TRUE, "Evening", "Night")))</f>
        <v>Afternoon</v>
      </c>
      <c r="G1171" t="str">
        <f>_xlfn.XLOOKUP(AllData[[#This Row],[Location Name]], Locations[Location Name],Locations[Group As])</f>
        <v>Alveston Weir</v>
      </c>
      <c r="H1171" t="e" vm="2">
        <f>_xlfn.XLOOKUP(AllData[[#This Row],[Site Name]],LocationsKey[Site Name],LocationsKey[District])</f>
        <v>#VALUE!</v>
      </c>
      <c r="I1171" t="e" vm="13">
        <f>_xlfn.XLOOKUP(AllData[[#This Row],[Site Name]],LocationsKey[Site Name],LocationsKey[Town])</f>
        <v>#VALUE!</v>
      </c>
      <c r="J1171" t="str">
        <f>_xlfn.XLOOKUP(AllData[[#This Row],[Site Name]],LocationsKey[Site Name], LocationsKey[Waterway])</f>
        <v>Avon</v>
      </c>
      <c r="K1171" t="s">
        <v>286</v>
      </c>
      <c r="L1171">
        <v>52.212288000000001</v>
      </c>
      <c r="M1171">
        <v>-1.660452</v>
      </c>
      <c r="N1171" t="s">
        <v>29</v>
      </c>
      <c r="O1171" s="219">
        <v>0.55000000000000004</v>
      </c>
      <c r="P1171">
        <v>20.7</v>
      </c>
      <c r="Q1171" s="219">
        <v>10</v>
      </c>
      <c r="R1171" s="7" t="str">
        <f>IF(AllData[[#This Row],[Nitrate (PPM)]]&gt;2, "Very high", IF(AllData[[#This Row],[Nitrate (PPM)]]&gt;1, "High", IF(AllData[[#This Row],[Nitrate (PPM)]]&gt;0.5, "Some evidence", IF(AllData[[#This Row],[Nitrate (PPM)]]&gt;=0, "No evidence"))))</f>
        <v>Very high</v>
      </c>
      <c r="S1171" s="221">
        <v>0.55000000000000004</v>
      </c>
      <c r="T1171" s="7" t="str">
        <f>IF(AllData[[#This Row],[Phosphate (PPM)]]&gt;0.5, "Very high", IF(AllData[[#This Row],[Phosphate (PPM)]]&gt;0.1, "High", IF(AllData[[#This Row],[Phosphate (PPM)]]&gt;0.05, "Some evidence", IF(AllData[[#This Row],[Phosphate (PPM)]]&lt;=0.05, "No Evidence", ""))))</f>
        <v>Very high</v>
      </c>
      <c r="U1171">
        <v>0</v>
      </c>
      <c r="V1171" t="s">
        <v>1891</v>
      </c>
    </row>
    <row r="1172" spans="1:22" x14ac:dyDescent="0.25">
      <c r="A1172" t="s">
        <v>1733</v>
      </c>
      <c r="B1172" s="2">
        <v>45518</v>
      </c>
      <c r="C1172" s="2" t="str" cm="1">
        <f t="array" ref="C11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2">
        <f>YEAR(AllData[[#This Row],[Date]])</f>
        <v>2024</v>
      </c>
      <c r="E1172" s="1">
        <v>0.62777777777777777</v>
      </c>
      <c r="F1172" s="2" t="str">
        <f>IF(AND(AllData[[#This Row],[Time]]&lt;0.5, AllData[[#This Row],[Time]]&gt;0.17)=TRUE, "Morning", IF(AND(AllData[[#This Row],[Time]]&lt;0.75, AllData[[#This Row],[Time]]&gt;=0.5)=TRUE, "Afternoon", IF(AND(AllData[[#This Row],[Time]]&lt;1, AllData[[#This Row],[Time]]&gt;=0.75)=TRUE, "Evening", "Night")))</f>
        <v>Afternoon</v>
      </c>
      <c r="G1172" t="str">
        <f>_xlfn.XLOOKUP(AllData[[#This Row],[Location Name]], Locations[Location Name],Locations[Group As])</f>
        <v>Swiffen Bank</v>
      </c>
      <c r="H1172" t="e" vm="2">
        <f>_xlfn.XLOOKUP(AllData[[#This Row],[Site Name]],LocationsKey[Site Name],LocationsKey[District])</f>
        <v>#VALUE!</v>
      </c>
      <c r="I1172" t="e" vm="13">
        <f>_xlfn.XLOOKUP(AllData[[#This Row],[Site Name]],LocationsKey[Site Name],LocationsKey[Town])</f>
        <v>#VALUE!</v>
      </c>
      <c r="J1172" t="str">
        <f>_xlfn.XLOOKUP(AllData[[#This Row],[Site Name]],LocationsKey[Site Name], LocationsKey[Waterway])</f>
        <v>Avon</v>
      </c>
      <c r="K1172" t="s">
        <v>284</v>
      </c>
      <c r="L1172">
        <v>52.206477999999997</v>
      </c>
      <c r="M1172">
        <v>-1.653894</v>
      </c>
      <c r="N1172" t="s">
        <v>29</v>
      </c>
      <c r="O1172">
        <v>765</v>
      </c>
      <c r="P1172">
        <v>21</v>
      </c>
      <c r="Q1172">
        <v>10</v>
      </c>
      <c r="R1172" s="7" t="str">
        <f>IF(AllData[[#This Row],[Nitrate (PPM)]]&gt;2, "Very high", IF(AllData[[#This Row],[Nitrate (PPM)]]&gt;1, "High", IF(AllData[[#This Row],[Nitrate (PPM)]]&gt;0.5, "Some evidence", IF(AllData[[#This Row],[Nitrate (PPM)]]&gt;=0, "No evidence"))))</f>
        <v>Very high</v>
      </c>
      <c r="S1172" s="4">
        <v>0.66</v>
      </c>
      <c r="T1172" s="7" t="str">
        <f>IF(AllData[[#This Row],[Phosphate (PPM)]]&gt;0.5, "Very high", IF(AllData[[#This Row],[Phosphate (PPM)]]&gt;0.1, "High", IF(AllData[[#This Row],[Phosphate (PPM)]]&gt;0.05, "Some evidence", IF(AllData[[#This Row],[Phosphate (PPM)]]&lt;=0.05, "No Evidence", ""))))</f>
        <v>Very high</v>
      </c>
      <c r="U1172">
        <v>0</v>
      </c>
      <c r="V1172" t="s">
        <v>1890</v>
      </c>
    </row>
    <row r="1173" spans="1:22" x14ac:dyDescent="0.25">
      <c r="A1173" t="s">
        <v>1730</v>
      </c>
      <c r="B1173" s="2">
        <v>45519</v>
      </c>
      <c r="C1173" s="2" t="str" cm="1">
        <f t="array" ref="C11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3">
        <f>YEAR(AllData[[#This Row],[Date]])</f>
        <v>2024</v>
      </c>
      <c r="E1173" s="1">
        <v>0.38541666666666669</v>
      </c>
      <c r="F1173" s="2" t="str">
        <f>IF(AND(AllData[[#This Row],[Time]]&lt;0.5, AllData[[#This Row],[Time]]&gt;0.17)=TRUE, "Morning", IF(AND(AllData[[#This Row],[Time]]&lt;0.75, AllData[[#This Row],[Time]]&gt;=0.5)=TRUE, "Afternoon", IF(AND(AllData[[#This Row],[Time]]&lt;1, AllData[[#This Row],[Time]]&gt;=0.75)=TRUE, "Evening", "Night")))</f>
        <v>Morning</v>
      </c>
      <c r="G1173" t="str">
        <f>_xlfn.XLOOKUP(AllData[[#This Row],[Location Name]], Locations[Location Name],Locations[Group As])</f>
        <v>Swilgate</v>
      </c>
      <c r="H1173" t="e" vm="1">
        <f>_xlfn.XLOOKUP(AllData[[#This Row],[Site Name]],LocationsKey[Site Name],LocationsKey[District])</f>
        <v>#VALUE!</v>
      </c>
      <c r="I1173" t="e" vm="1">
        <f>_xlfn.XLOOKUP(AllData[[#This Row],[Site Name]],LocationsKey[Site Name],LocationsKey[Town])</f>
        <v>#VALUE!</v>
      </c>
      <c r="J1173" t="str">
        <f>_xlfn.XLOOKUP(AllData[[#This Row],[Site Name]],LocationsKey[Site Name], LocationsKey[Waterway])</f>
        <v>Swilgate</v>
      </c>
      <c r="K1173" t="s">
        <v>84</v>
      </c>
      <c r="N1173" t="s">
        <v>23</v>
      </c>
      <c r="O1173">
        <v>850</v>
      </c>
      <c r="P1173">
        <v>17</v>
      </c>
      <c r="Q1173">
        <v>5</v>
      </c>
      <c r="R1173" s="7" t="str">
        <f>IF(AllData[[#This Row],[Nitrate (PPM)]]&gt;2, "Very high", IF(AllData[[#This Row],[Nitrate (PPM)]]&gt;1, "High", IF(AllData[[#This Row],[Nitrate (PPM)]]&gt;0.5, "Some evidence", IF(AllData[[#This Row],[Nitrate (PPM)]]&gt;=0, "No evidence"))))</f>
        <v>Very high</v>
      </c>
      <c r="S1173" s="4">
        <v>0.83</v>
      </c>
      <c r="T1173" s="7" t="str">
        <f>IF(AllData[[#This Row],[Phosphate (PPM)]]&gt;0.5, "Very high", IF(AllData[[#This Row],[Phosphate (PPM)]]&gt;0.1, "High", IF(AllData[[#This Row],[Phosphate (PPM)]]&gt;0.05, "Some evidence", IF(AllData[[#This Row],[Phosphate (PPM)]]&lt;=0.05, "No Evidence", ""))))</f>
        <v>Very high</v>
      </c>
      <c r="U1173">
        <v>0</v>
      </c>
    </row>
    <row r="1174" spans="1:22" x14ac:dyDescent="0.25">
      <c r="A1174" t="s">
        <v>1709</v>
      </c>
      <c r="B1174" s="2">
        <v>45520</v>
      </c>
      <c r="C1174" s="2" t="str" cm="1">
        <f t="array" ref="C11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4">
        <f>YEAR(AllData[[#This Row],[Date]])</f>
        <v>2024</v>
      </c>
      <c r="E1174" s="1">
        <v>0.5</v>
      </c>
      <c r="F1174" s="2" t="str">
        <f>IF(AND(AllData[[#This Row],[Time]]&lt;0.5, AllData[[#This Row],[Time]]&gt;0.17)=TRUE, "Morning", IF(AND(AllData[[#This Row],[Time]]&lt;0.75, AllData[[#This Row],[Time]]&gt;=0.5)=TRUE, "Afternoon", IF(AND(AllData[[#This Row],[Time]]&lt;1, AllData[[#This Row],[Time]]&gt;=0.75)=TRUE, "Evening", "Night")))</f>
        <v>Afternoon</v>
      </c>
      <c r="G1174" t="str">
        <f>_xlfn.XLOOKUP(AllData[[#This Row],[Location Name]], Locations[Location Name],Locations[Group As])</f>
        <v>Stour Willington</v>
      </c>
      <c r="H1174" t="e" vm="2">
        <f>_xlfn.XLOOKUP(AllData[[#This Row],[Site Name]],LocationsKey[Site Name],LocationsKey[District])</f>
        <v>#VALUE!</v>
      </c>
      <c r="I1174" t="str">
        <f>_xlfn.XLOOKUP(AllData[[#This Row],[Site Name]],LocationsKey[Site Name],LocationsKey[Town])</f>
        <v>Willington</v>
      </c>
      <c r="J1174" t="str">
        <f>_xlfn.XLOOKUP(AllData[[#This Row],[Site Name]],LocationsKey[Site Name], LocationsKey[Waterway])</f>
        <v>Stour</v>
      </c>
      <c r="K1174" t="s">
        <v>517</v>
      </c>
      <c r="L1174">
        <v>52.053507000000003</v>
      </c>
      <c r="M1174">
        <v>-1.6202840000000001</v>
      </c>
      <c r="N1174" t="s">
        <v>23</v>
      </c>
      <c r="O1174">
        <v>637</v>
      </c>
      <c r="P1174">
        <v>17.100000000000001</v>
      </c>
      <c r="Q1174">
        <v>2</v>
      </c>
      <c r="R1174" s="7" t="str">
        <f>IF(AllData[[#This Row],[Nitrate (PPM)]]&gt;2, "Very high", IF(AllData[[#This Row],[Nitrate (PPM)]]&gt;1, "High", IF(AllData[[#This Row],[Nitrate (PPM)]]&gt;0.5, "Some evidence", IF(AllData[[#This Row],[Nitrate (PPM)]]&gt;=0, "No evidence"))))</f>
        <v>High</v>
      </c>
      <c r="S1174" s="4">
        <v>0.67</v>
      </c>
      <c r="T1174" s="7" t="str">
        <f>IF(AllData[[#This Row],[Phosphate (PPM)]]&gt;0.5, "Very high", IF(AllData[[#This Row],[Phosphate (PPM)]]&gt;0.1, "High", IF(AllData[[#This Row],[Phosphate (PPM)]]&gt;0.05, "Some evidence", IF(AllData[[#This Row],[Phosphate (PPM)]]&lt;=0.05, "No Evidence", ""))))</f>
        <v>Very high</v>
      </c>
      <c r="U1174">
        <v>0.5</v>
      </c>
    </row>
    <row r="1175" spans="1:22" x14ac:dyDescent="0.25">
      <c r="A1175" t="s">
        <v>1729</v>
      </c>
      <c r="B1175" s="2">
        <v>45520</v>
      </c>
      <c r="C1175" s="2" t="str" cm="1">
        <f t="array" ref="C11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5">
        <f>YEAR(AllData[[#This Row],[Date]])</f>
        <v>2024</v>
      </c>
      <c r="E1175" s="1">
        <v>0.67708333333333337</v>
      </c>
      <c r="F1175" s="2" t="str">
        <f>IF(AND(AllData[[#This Row],[Time]]&lt;0.5, AllData[[#This Row],[Time]]&gt;0.17)=TRUE, "Morning", IF(AND(AllData[[#This Row],[Time]]&lt;0.75, AllData[[#This Row],[Time]]&gt;=0.5)=TRUE, "Afternoon", IF(AND(AllData[[#This Row],[Time]]&lt;1, AllData[[#This Row],[Time]]&gt;=0.75)=TRUE, "Evening", "Night")))</f>
        <v>Afternoon</v>
      </c>
      <c r="G1175" t="str">
        <f>_xlfn.XLOOKUP(AllData[[#This Row],[Location Name]], Locations[Location Name],Locations[Group As])</f>
        <v>Abbey Mill</v>
      </c>
      <c r="H1175" t="e" vm="1">
        <f>_xlfn.XLOOKUP(AllData[[#This Row],[Site Name]],LocationsKey[Site Name],LocationsKey[District])</f>
        <v>#VALUE!</v>
      </c>
      <c r="I1175" t="e" vm="1">
        <f>_xlfn.XLOOKUP(AllData[[#This Row],[Site Name]],LocationsKey[Site Name],LocationsKey[Town])</f>
        <v>#VALUE!</v>
      </c>
      <c r="J1175" t="str">
        <f>_xlfn.XLOOKUP(AllData[[#This Row],[Site Name]],LocationsKey[Site Name], LocationsKey[Waterway])</f>
        <v>Avon</v>
      </c>
      <c r="K1175" t="s">
        <v>25</v>
      </c>
      <c r="L1175">
        <v>51.991354000000001</v>
      </c>
      <c r="M1175">
        <v>-2.1627079999999999</v>
      </c>
      <c r="N1175" t="s">
        <v>23</v>
      </c>
      <c r="O1175">
        <v>103</v>
      </c>
      <c r="P1175">
        <v>22.3</v>
      </c>
      <c r="Q1175">
        <v>10</v>
      </c>
      <c r="R1175" s="7" t="str">
        <f>IF(AllData[[#This Row],[Nitrate (PPM)]]&gt;2, "Very high", IF(AllData[[#This Row],[Nitrate (PPM)]]&gt;1, "High", IF(AllData[[#This Row],[Nitrate (PPM)]]&gt;0.5, "Some evidence", IF(AllData[[#This Row],[Nitrate (PPM)]]&gt;=0, "No evidence"))))</f>
        <v>Very high</v>
      </c>
      <c r="S1175" s="4">
        <v>0.83</v>
      </c>
      <c r="T1175" s="7" t="str">
        <f>IF(AllData[[#This Row],[Phosphate (PPM)]]&gt;0.5, "Very high", IF(AllData[[#This Row],[Phosphate (PPM)]]&gt;0.1, "High", IF(AllData[[#This Row],[Phosphate (PPM)]]&gt;0.05, "Some evidence", IF(AllData[[#This Row],[Phosphate (PPM)]]&lt;=0.05, "No Evidence", ""))))</f>
        <v>Very high</v>
      </c>
      <c r="U1175">
        <v>0</v>
      </c>
    </row>
    <row r="1176" spans="1:22" x14ac:dyDescent="0.25">
      <c r="A1176" t="s">
        <v>1728</v>
      </c>
      <c r="B1176" s="2">
        <v>45520</v>
      </c>
      <c r="C1176" s="2" t="str" cm="1">
        <f t="array" ref="C11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6">
        <f>YEAR(AllData[[#This Row],[Date]])</f>
        <v>2024</v>
      </c>
      <c r="E1176" s="1">
        <v>0.7</v>
      </c>
      <c r="F1176" s="2" t="str">
        <f>IF(AND(AllData[[#This Row],[Time]]&lt;0.5, AllData[[#This Row],[Time]]&gt;0.17)=TRUE, "Morning", IF(AND(AllData[[#This Row],[Time]]&lt;0.75, AllData[[#This Row],[Time]]&gt;=0.5)=TRUE, "Afternoon", IF(AND(AllData[[#This Row],[Time]]&lt;1, AllData[[#This Row],[Time]]&gt;=0.75)=TRUE, "Evening", "Night")))</f>
        <v>Afternoon</v>
      </c>
      <c r="G1176" t="str">
        <f>_xlfn.XLOOKUP(AllData[[#This Row],[Location Name]], Locations[Location Name],Locations[Group As])</f>
        <v>Black Bear</v>
      </c>
      <c r="H1176" t="e" vm="1">
        <f>_xlfn.XLOOKUP(AllData[[#This Row],[Site Name]],LocationsKey[Site Name],LocationsKey[District])</f>
        <v>#VALUE!</v>
      </c>
      <c r="I1176" t="e" vm="1">
        <f>_xlfn.XLOOKUP(AllData[[#This Row],[Site Name]],LocationsKey[Site Name],LocationsKey[Town])</f>
        <v>#VALUE!</v>
      </c>
      <c r="J1176" t="str">
        <f>_xlfn.XLOOKUP(AllData[[#This Row],[Site Name]],LocationsKey[Site Name], LocationsKey[Waterway])</f>
        <v>Avon</v>
      </c>
      <c r="K1176" t="s">
        <v>1045</v>
      </c>
      <c r="L1176">
        <v>51.997449000000003</v>
      </c>
      <c r="M1176">
        <v>-2.1563110000000001</v>
      </c>
      <c r="N1176" t="s">
        <v>23</v>
      </c>
      <c r="O1176">
        <v>988</v>
      </c>
      <c r="P1176">
        <v>22.8</v>
      </c>
      <c r="Q1176">
        <v>10</v>
      </c>
      <c r="R1176" s="7" t="str">
        <f>IF(AllData[[#This Row],[Nitrate (PPM)]]&gt;2, "Very high", IF(AllData[[#This Row],[Nitrate (PPM)]]&gt;1, "High", IF(AllData[[#This Row],[Nitrate (PPM)]]&gt;0.5, "Some evidence", IF(AllData[[#This Row],[Nitrate (PPM)]]&gt;=0, "No evidence"))))</f>
        <v>Very high</v>
      </c>
      <c r="S1176" s="4">
        <v>1.26</v>
      </c>
      <c r="T1176" s="7" t="str">
        <f>IF(AllData[[#This Row],[Phosphate (PPM)]]&gt;0.5, "Very high", IF(AllData[[#This Row],[Phosphate (PPM)]]&gt;0.1, "High", IF(AllData[[#This Row],[Phosphate (PPM)]]&gt;0.05, "Some evidence", IF(AllData[[#This Row],[Phosphate (PPM)]]&lt;=0.05, "No Evidence", ""))))</f>
        <v>Very high</v>
      </c>
      <c r="U1176">
        <v>0</v>
      </c>
    </row>
    <row r="1177" spans="1:22" x14ac:dyDescent="0.25">
      <c r="A1177" t="s">
        <v>1727</v>
      </c>
      <c r="B1177" s="2">
        <v>45521</v>
      </c>
      <c r="C1177" s="2" t="str" cm="1">
        <f t="array" ref="C11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7">
        <f>YEAR(AllData[[#This Row],[Date]])</f>
        <v>2024</v>
      </c>
      <c r="E1177" s="1">
        <v>0.40625</v>
      </c>
      <c r="F1177" s="2" t="str">
        <f>IF(AND(AllData[[#This Row],[Time]]&lt;0.5, AllData[[#This Row],[Time]]&gt;0.17)=TRUE, "Morning", IF(AND(AllData[[#This Row],[Time]]&lt;0.75, AllData[[#This Row],[Time]]&gt;=0.5)=TRUE, "Afternoon", IF(AND(AllData[[#This Row],[Time]]&lt;1, AllData[[#This Row],[Time]]&gt;=0.75)=TRUE, "Evening", "Night")))</f>
        <v>Morning</v>
      </c>
      <c r="G1177" t="str">
        <f>_xlfn.XLOOKUP(AllData[[#This Row],[Location Name]], Locations[Location Name],Locations[Group As])</f>
        <v>Twyning Fleet</v>
      </c>
      <c r="H1177" t="e" vm="1">
        <f>_xlfn.XLOOKUP(AllData[[#This Row],[Site Name]],LocationsKey[Site Name],LocationsKey[District])</f>
        <v>#VALUE!</v>
      </c>
      <c r="I1177" t="str">
        <f>_xlfn.XLOOKUP(AllData[[#This Row],[Site Name]],LocationsKey[Site Name],LocationsKey[Town])</f>
        <v>Twyning Green</v>
      </c>
      <c r="J1177" t="str">
        <f>_xlfn.XLOOKUP(AllData[[#This Row],[Site Name]],LocationsKey[Site Name], LocationsKey[Waterway])</f>
        <v>Avon</v>
      </c>
      <c r="K1177" t="s">
        <v>54</v>
      </c>
      <c r="L1177">
        <v>52.026997999999999</v>
      </c>
      <c r="M1177">
        <v>-2.1406079999999998</v>
      </c>
      <c r="N1177" t="s">
        <v>29</v>
      </c>
      <c r="O1177">
        <v>9000</v>
      </c>
      <c r="P1177">
        <v>21</v>
      </c>
      <c r="Q1177">
        <v>7</v>
      </c>
      <c r="R1177" s="7" t="str">
        <f>IF(AllData[[#This Row],[Nitrate (PPM)]]&gt;2, "Very high", IF(AllData[[#This Row],[Nitrate (PPM)]]&gt;1, "High", IF(AllData[[#This Row],[Nitrate (PPM)]]&gt;0.5, "Some evidence", IF(AllData[[#This Row],[Nitrate (PPM)]]&gt;=0, "No evidence"))))</f>
        <v>Very high</v>
      </c>
      <c r="S1177" s="4">
        <v>1.04</v>
      </c>
      <c r="T1177" s="7" t="str">
        <f>IF(AllData[[#This Row],[Phosphate (PPM)]]&gt;0.5, "Very high", IF(AllData[[#This Row],[Phosphate (PPM)]]&gt;0.1, "High", IF(AllData[[#This Row],[Phosphate (PPM)]]&gt;0.05, "Some evidence", IF(AllData[[#This Row],[Phosphate (PPM)]]&lt;=0.05, "No Evidence", ""))))</f>
        <v>Very high</v>
      </c>
      <c r="U1177">
        <v>0</v>
      </c>
    </row>
    <row r="1178" spans="1:22" x14ac:dyDescent="0.25">
      <c r="A1178" t="s">
        <v>1711</v>
      </c>
      <c r="B1178" s="2">
        <v>45521</v>
      </c>
      <c r="C1178" s="2" t="str" cm="1">
        <f t="array" ref="C11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8">
        <f>YEAR(AllData[[#This Row],[Date]])</f>
        <v>2024</v>
      </c>
      <c r="E1178" s="1">
        <v>0.42916666666666664</v>
      </c>
      <c r="F1178" s="2" t="str">
        <f>IF(AND(AllData[[#This Row],[Time]]&lt;0.5, AllData[[#This Row],[Time]]&gt;0.17)=TRUE, "Morning", IF(AND(AllData[[#This Row],[Time]]&lt;0.75, AllData[[#This Row],[Time]]&gt;=0.5)=TRUE, "Afternoon", IF(AND(AllData[[#This Row],[Time]]&lt;1, AllData[[#This Row],[Time]]&gt;=0.75)=TRUE, "Evening", "Night")))</f>
        <v>Morning</v>
      </c>
      <c r="G1178" t="str">
        <f>_xlfn.XLOOKUP(AllData[[#This Row],[Location Name]], Locations[Location Name],Locations[Group As])</f>
        <v>Avon Smiths Meadow Wyre Piddle</v>
      </c>
      <c r="H1178" t="e" vm="17">
        <f>_xlfn.XLOOKUP(AllData[[#This Row],[Site Name]],LocationsKey[Site Name],LocationsKey[District])</f>
        <v>#VALUE!</v>
      </c>
      <c r="I1178" t="e" vm="20">
        <f>_xlfn.XLOOKUP(AllData[[#This Row],[Site Name]],LocationsKey[Site Name],LocationsKey[Town])</f>
        <v>#VALUE!</v>
      </c>
      <c r="J1178" t="str">
        <f>_xlfn.XLOOKUP(AllData[[#This Row],[Site Name]],LocationsKey[Site Name], LocationsKey[Waterway])</f>
        <v>Avon</v>
      </c>
      <c r="K1178" t="s">
        <v>741</v>
      </c>
      <c r="L1178">
        <v>52.122858999999998</v>
      </c>
      <c r="M1178">
        <v>-2.0575389999999998</v>
      </c>
      <c r="N1178" t="s">
        <v>23</v>
      </c>
      <c r="O1178">
        <v>1070</v>
      </c>
      <c r="P1178">
        <v>19.7</v>
      </c>
      <c r="Q1178">
        <v>7</v>
      </c>
      <c r="R1178" s="7" t="str">
        <f>IF(AllData[[#This Row],[Nitrate (PPM)]]&gt;2, "Very high", IF(AllData[[#This Row],[Nitrate (PPM)]]&gt;1, "High", IF(AllData[[#This Row],[Nitrate (PPM)]]&gt;0.5, "Some evidence", IF(AllData[[#This Row],[Nitrate (PPM)]]&gt;=0, "No evidence"))))</f>
        <v>Very high</v>
      </c>
      <c r="S1178" s="4">
        <v>0.87</v>
      </c>
      <c r="T1178" s="7" t="str">
        <f>IF(AllData[[#This Row],[Phosphate (PPM)]]&gt;0.5, "Very high", IF(AllData[[#This Row],[Phosphate (PPM)]]&gt;0.1, "High", IF(AllData[[#This Row],[Phosphate (PPM)]]&gt;0.05, "Some evidence", IF(AllData[[#This Row],[Phosphate (PPM)]]&lt;=0.05, "No Evidence", ""))))</f>
        <v>Very high</v>
      </c>
      <c r="U1178">
        <v>0.5</v>
      </c>
      <c r="V1178" t="s">
        <v>1884</v>
      </c>
    </row>
    <row r="1179" spans="1:22" x14ac:dyDescent="0.25">
      <c r="A1179" t="s">
        <v>1710</v>
      </c>
      <c r="B1179" s="2">
        <v>45521</v>
      </c>
      <c r="C1179" s="2" t="str" cm="1">
        <f t="array" ref="C11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9">
        <f>YEAR(AllData[[#This Row],[Date]])</f>
        <v>2024</v>
      </c>
      <c r="E1179" s="1">
        <v>0.44791666666666669</v>
      </c>
      <c r="F1179" s="2" t="str">
        <f>IF(AND(AllData[[#This Row],[Time]]&lt;0.5, AllData[[#This Row],[Time]]&gt;0.17)=TRUE, "Morning", IF(AND(AllData[[#This Row],[Time]]&lt;0.75, AllData[[#This Row],[Time]]&gt;=0.5)=TRUE, "Afternoon", IF(AND(AllData[[#This Row],[Time]]&lt;1, AllData[[#This Row],[Time]]&gt;=0.75)=TRUE, "Evening", "Night")))</f>
        <v>Morning</v>
      </c>
      <c r="G1179" t="str">
        <f>_xlfn.XLOOKUP(AllData[[#This Row],[Location Name]], Locations[Location Name],Locations[Group As])</f>
        <v>Piddle Brook Wyre Piddle Bridge</v>
      </c>
      <c r="H1179" t="e" vm="17">
        <f>_xlfn.XLOOKUP(AllData[[#This Row],[Site Name]],LocationsKey[Site Name],LocationsKey[District])</f>
        <v>#VALUE!</v>
      </c>
      <c r="I1179" t="e" vm="20">
        <f>_xlfn.XLOOKUP(AllData[[#This Row],[Site Name]],LocationsKey[Site Name],LocationsKey[Town])</f>
        <v>#VALUE!</v>
      </c>
      <c r="J1179" t="str">
        <f>_xlfn.XLOOKUP(AllData[[#This Row],[Site Name]],LocationsKey[Site Name], LocationsKey[Waterway])</f>
        <v>Piddle Brook</v>
      </c>
      <c r="K1179" t="s">
        <v>744</v>
      </c>
      <c r="L1179">
        <v>52.126404000000001</v>
      </c>
      <c r="M1179">
        <v>-2.0565410000000002</v>
      </c>
      <c r="N1179" t="s">
        <v>23</v>
      </c>
      <c r="O1179">
        <v>1850</v>
      </c>
      <c r="P1179">
        <v>16.8</v>
      </c>
      <c r="Q1179">
        <v>5</v>
      </c>
      <c r="R1179" s="7" t="str">
        <f>IF(AllData[[#This Row],[Nitrate (PPM)]]&gt;2, "Very high", IF(AllData[[#This Row],[Nitrate (PPM)]]&gt;1, "High", IF(AllData[[#This Row],[Nitrate (PPM)]]&gt;0.5, "Some evidence", IF(AllData[[#This Row],[Nitrate (PPM)]]&gt;=0, "No evidence"))))</f>
        <v>Very high</v>
      </c>
      <c r="S1179" s="4">
        <v>1.31</v>
      </c>
      <c r="T1179" s="7" t="str">
        <f>IF(AllData[[#This Row],[Phosphate (PPM)]]&gt;0.5, "Very high", IF(AllData[[#This Row],[Phosphate (PPM)]]&gt;0.1, "High", IF(AllData[[#This Row],[Phosphate (PPM)]]&gt;0.05, "Some evidence", IF(AllData[[#This Row],[Phosphate (PPM)]]&lt;=0.05, "No Evidence", ""))))</f>
        <v>Very high</v>
      </c>
      <c r="U1179">
        <v>0.13</v>
      </c>
      <c r="V1179" t="s">
        <v>1883</v>
      </c>
    </row>
    <row r="1180" spans="1:22" x14ac:dyDescent="0.25">
      <c r="A1180" t="s">
        <v>1657</v>
      </c>
      <c r="B1180" s="2">
        <v>45521</v>
      </c>
      <c r="C1180" s="2" t="str" cm="1">
        <f t="array" ref="C11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0">
        <f>YEAR(AllData[[#This Row],[Date]])</f>
        <v>2024</v>
      </c>
      <c r="E1180" s="1">
        <v>0.4826388888888889</v>
      </c>
      <c r="F1180" s="2" t="str">
        <f>IF(AND(AllData[[#This Row],[Time]]&lt;0.5, AllData[[#This Row],[Time]]&gt;0.17)=TRUE, "Morning", IF(AND(AllData[[#This Row],[Time]]&lt;0.75, AllData[[#This Row],[Time]]&gt;=0.5)=TRUE, "Afternoon", IF(AND(AllData[[#This Row],[Time]]&lt;1, AllData[[#This Row],[Time]]&gt;=0.75)=TRUE, "Evening", "Night")))</f>
        <v>Morning</v>
      </c>
      <c r="G1180" t="str">
        <f>_xlfn.XLOOKUP(AllData[[#This Row],[Location Name]], Locations[Location Name],Locations[Group As])</f>
        <v>The Ford, Langley</v>
      </c>
      <c r="H1180" t="e" vm="2">
        <f>_xlfn.XLOOKUP(AllData[[#This Row],[Site Name]],LocationsKey[Site Name],LocationsKey[District])</f>
        <v>#VALUE!</v>
      </c>
      <c r="I1180" t="str">
        <f>_xlfn.XLOOKUP(AllData[[#This Row],[Site Name]],LocationsKey[Site Name],LocationsKey[Town])</f>
        <v>Langley</v>
      </c>
      <c r="J1180" t="str">
        <f>_xlfn.XLOOKUP(AllData[[#This Row],[Site Name]],LocationsKey[Site Name], LocationsKey[Waterway])</f>
        <v>Langley Ford</v>
      </c>
      <c r="K1180" t="s">
        <v>557</v>
      </c>
      <c r="L1180">
        <v>52.259839999999997</v>
      </c>
      <c r="M1180">
        <v>-1.71855</v>
      </c>
      <c r="N1180" t="s">
        <v>29</v>
      </c>
      <c r="O1180">
        <v>837</v>
      </c>
      <c r="P1180">
        <v>16</v>
      </c>
      <c r="Q1180">
        <v>8</v>
      </c>
      <c r="R1180" s="7" t="str">
        <f>IF(AllData[[#This Row],[Nitrate (PPM)]]&gt;2, "Very high", IF(AllData[[#This Row],[Nitrate (PPM)]]&gt;1, "High", IF(AllData[[#This Row],[Nitrate (PPM)]]&gt;0.5, "Some evidence", IF(AllData[[#This Row],[Nitrate (PPM)]]&gt;=0, "No evidence"))))</f>
        <v>Very high</v>
      </c>
      <c r="S1180" s="4">
        <v>0.86</v>
      </c>
      <c r="T1180" s="7" t="str">
        <f>IF(AllData[[#This Row],[Phosphate (PPM)]]&gt;0.5, "Very high", IF(AllData[[#This Row],[Phosphate (PPM)]]&gt;0.1, "High", IF(AllData[[#This Row],[Phosphate (PPM)]]&gt;0.05, "Some evidence", IF(AllData[[#This Row],[Phosphate (PPM)]]&lt;=0.05, "No Evidence", ""))))</f>
        <v>Very high</v>
      </c>
      <c r="U1180">
        <v>0.13</v>
      </c>
    </row>
    <row r="1181" spans="1:22" x14ac:dyDescent="0.25">
      <c r="A1181" t="s">
        <v>1726</v>
      </c>
      <c r="B1181" s="2">
        <v>45521</v>
      </c>
      <c r="C1181" s="2" t="str" cm="1">
        <f t="array" ref="C11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1">
        <f>YEAR(AllData[[#This Row],[Date]])</f>
        <v>2024</v>
      </c>
      <c r="E1181" s="1">
        <v>0.51180555555555551</v>
      </c>
      <c r="F1181" s="2" t="str">
        <f>IF(AND(AllData[[#This Row],[Time]]&lt;0.5, AllData[[#This Row],[Time]]&gt;0.17)=TRUE, "Morning", IF(AND(AllData[[#This Row],[Time]]&lt;0.75, AllData[[#This Row],[Time]]&gt;=0.5)=TRUE, "Afternoon", IF(AND(AllData[[#This Row],[Time]]&lt;1, AllData[[#This Row],[Time]]&gt;=0.75)=TRUE, "Evening", "Night")))</f>
        <v>Afternoon</v>
      </c>
      <c r="G1181" t="str">
        <f>_xlfn.XLOOKUP(AllData[[#This Row],[Location Name]], Locations[Location Name],Locations[Group As])</f>
        <v>Preston-on-Stour River Bridge</v>
      </c>
      <c r="H1181" t="e" vm="2">
        <f>_xlfn.XLOOKUP(AllData[[#This Row],[Site Name]],LocationsKey[Site Name],LocationsKey[District])</f>
        <v>#VALUE!</v>
      </c>
      <c r="I1181" t="e" vm="9">
        <f>_xlfn.XLOOKUP(AllData[[#This Row],[Site Name]],LocationsKey[Site Name],LocationsKey[Town])</f>
        <v>#VALUE!</v>
      </c>
      <c r="J1181" t="str">
        <f>_xlfn.XLOOKUP(AllData[[#This Row],[Site Name]],LocationsKey[Site Name], LocationsKey[Waterway])</f>
        <v>Stour</v>
      </c>
      <c r="K1181" t="s">
        <v>163</v>
      </c>
      <c r="L1181">
        <v>52.146467000000001</v>
      </c>
      <c r="M1181">
        <v>-1.6998329999999999</v>
      </c>
      <c r="N1181" t="s">
        <v>29</v>
      </c>
      <c r="O1181">
        <v>709</v>
      </c>
      <c r="P1181">
        <v>19.2</v>
      </c>
      <c r="Q1181">
        <v>5</v>
      </c>
      <c r="R1181" s="7" t="str">
        <f>IF(AllData[[#This Row],[Nitrate (PPM)]]&gt;2, "Very high", IF(AllData[[#This Row],[Nitrate (PPM)]]&gt;1, "High", IF(AllData[[#This Row],[Nitrate (PPM)]]&gt;0.5, "Some evidence", IF(AllData[[#This Row],[Nitrate (PPM)]]&gt;=0, "No evidence"))))</f>
        <v>Very high</v>
      </c>
      <c r="S1181" s="4">
        <v>0.45</v>
      </c>
      <c r="T1181" s="7" t="str">
        <f>IF(AllData[[#This Row],[Phosphate (PPM)]]&gt;0.5, "Very high", IF(AllData[[#This Row],[Phosphate (PPM)]]&gt;0.1, "High", IF(AllData[[#This Row],[Phosphate (PPM)]]&gt;0.05, "Some evidence", IF(AllData[[#This Row],[Phosphate (PPM)]]&lt;=0.05, "No Evidence", ""))))</f>
        <v>High</v>
      </c>
      <c r="U1181">
        <v>1</v>
      </c>
    </row>
    <row r="1182" spans="1:22" x14ac:dyDescent="0.25">
      <c r="A1182" t="s">
        <v>1721</v>
      </c>
      <c r="B1182" s="2">
        <v>45521</v>
      </c>
      <c r="C1182" s="2" t="str" cm="1">
        <f t="array" ref="C11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2">
        <f>YEAR(AllData[[#This Row],[Date]])</f>
        <v>2024</v>
      </c>
      <c r="E1182" s="1">
        <v>0.52083333333333337</v>
      </c>
      <c r="F1182" s="2" t="str">
        <f>IF(AND(AllData[[#This Row],[Time]]&lt;0.5, AllData[[#This Row],[Time]]&gt;0.17)=TRUE, "Morning", IF(AND(AllData[[#This Row],[Time]]&lt;0.75, AllData[[#This Row],[Time]]&gt;=0.5)=TRUE, "Afternoon", IF(AND(AllData[[#This Row],[Time]]&lt;1, AllData[[#This Row],[Time]]&gt;=0.75)=TRUE, "Evening", "Night")))</f>
        <v>Afternoon</v>
      </c>
      <c r="G1182" t="str">
        <f>_xlfn.XLOOKUP(AllData[[#This Row],[Location Name]], Locations[Location Name],Locations[Group As])</f>
        <v>Carrant Bredon Rd</v>
      </c>
      <c r="H1182" t="e" vm="1">
        <f>_xlfn.XLOOKUP(AllData[[#This Row],[Site Name]],LocationsKey[Site Name],LocationsKey[District])</f>
        <v>#VALUE!</v>
      </c>
      <c r="I1182" t="e" vm="1">
        <f>_xlfn.XLOOKUP(AllData[[#This Row],[Site Name]],LocationsKey[Site Name],LocationsKey[Town])</f>
        <v>#VALUE!</v>
      </c>
      <c r="J1182" t="str">
        <f>_xlfn.XLOOKUP(AllData[[#This Row],[Site Name]],LocationsKey[Site Name], LocationsKey[Waterway])</f>
        <v>Carrant</v>
      </c>
      <c r="K1182" t="s">
        <v>600</v>
      </c>
      <c r="L1182">
        <v>51.996254</v>
      </c>
      <c r="M1182">
        <v>-2.1561949999999999</v>
      </c>
      <c r="N1182" t="s">
        <v>23</v>
      </c>
      <c r="O1182" s="219">
        <v>726</v>
      </c>
      <c r="P1182">
        <v>17.100000000000001</v>
      </c>
      <c r="Q1182" s="219">
        <v>6</v>
      </c>
      <c r="R1182" s="7" t="str">
        <f>IF(AllData[[#This Row],[Nitrate (PPM)]]&gt;2, "Very high", IF(AllData[[#This Row],[Nitrate (PPM)]]&gt;1, "High", IF(AllData[[#This Row],[Nitrate (PPM)]]&gt;0.5, "Some evidence", IF(AllData[[#This Row],[Nitrate (PPM)]]&gt;=0, "No evidence"))))</f>
        <v>Very high</v>
      </c>
      <c r="S1182" s="221">
        <v>0.82</v>
      </c>
      <c r="T1182" s="7" t="str">
        <f>IF(AllData[[#This Row],[Phosphate (PPM)]]&gt;0.5, "Very high", IF(AllData[[#This Row],[Phosphate (PPM)]]&gt;0.1, "High", IF(AllData[[#This Row],[Phosphate (PPM)]]&gt;0.05, "Some evidence", IF(AllData[[#This Row],[Phosphate (PPM)]]&lt;=0.05, "No Evidence", ""))))</f>
        <v>Very high</v>
      </c>
      <c r="U1182">
        <v>0</v>
      </c>
    </row>
    <row r="1183" spans="1:22" x14ac:dyDescent="0.25">
      <c r="A1183" t="s">
        <v>1725</v>
      </c>
      <c r="B1183" s="2">
        <v>45521</v>
      </c>
      <c r="C1183" s="2" t="str" cm="1">
        <f t="array" ref="C11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3">
        <f>YEAR(AllData[[#This Row],[Date]])</f>
        <v>2024</v>
      </c>
      <c r="E1183" s="1">
        <v>0.68055555555555558</v>
      </c>
      <c r="F1183" s="2" t="str">
        <f>IF(AND(AllData[[#This Row],[Time]]&lt;0.5, AllData[[#This Row],[Time]]&gt;0.17)=TRUE, "Morning", IF(AND(AllData[[#This Row],[Time]]&lt;0.75, AllData[[#This Row],[Time]]&gt;=0.5)=TRUE, "Afternoon", IF(AND(AllData[[#This Row],[Time]]&lt;1, AllData[[#This Row],[Time]]&gt;=0.75)=TRUE, "Evening", "Night")))</f>
        <v>Afternoon</v>
      </c>
      <c r="G1183" t="str">
        <f>_xlfn.XLOOKUP(AllData[[#This Row],[Location Name]], Locations[Location Name],Locations[Group As])</f>
        <v>Fell Mill Footbridge</v>
      </c>
      <c r="H1183" t="e" vm="2">
        <f>_xlfn.XLOOKUP(AllData[[#This Row],[Site Name]],LocationsKey[Site Name],LocationsKey[District])</f>
        <v>#VALUE!</v>
      </c>
      <c r="I1183" t="e" vm="10">
        <f>_xlfn.XLOOKUP(AllData[[#This Row],[Site Name]],LocationsKey[Site Name],LocationsKey[Town])</f>
        <v>#VALUE!</v>
      </c>
      <c r="J1183" t="str">
        <f>_xlfn.XLOOKUP(AllData[[#This Row],[Site Name]],LocationsKey[Site Name], LocationsKey[Waterway])</f>
        <v>Stour</v>
      </c>
      <c r="K1183" t="s">
        <v>818</v>
      </c>
      <c r="L1183">
        <v>52.070086000000003</v>
      </c>
      <c r="M1183">
        <v>-1.61145</v>
      </c>
      <c r="N1183" t="s">
        <v>29</v>
      </c>
      <c r="O1183">
        <v>678</v>
      </c>
      <c r="P1183">
        <v>17.2</v>
      </c>
      <c r="Q1183">
        <v>5</v>
      </c>
      <c r="R1183" s="7" t="str">
        <f>IF(AllData[[#This Row],[Nitrate (PPM)]]&gt;2, "Very high", IF(AllData[[#This Row],[Nitrate (PPM)]]&gt;1, "High", IF(AllData[[#This Row],[Nitrate (PPM)]]&gt;0.5, "Some evidence", IF(AllData[[#This Row],[Nitrate (PPM)]]&gt;=0, "No evidence"))))</f>
        <v>Very high</v>
      </c>
      <c r="S1183" s="4">
        <v>0.62</v>
      </c>
      <c r="T1183" s="7" t="str">
        <f>IF(AllData[[#This Row],[Phosphate (PPM)]]&gt;0.5, "Very high", IF(AllData[[#This Row],[Phosphate (PPM)]]&gt;0.1, "High", IF(AllData[[#This Row],[Phosphate (PPM)]]&gt;0.05, "Some evidence", IF(AllData[[#This Row],[Phosphate (PPM)]]&lt;=0.05, "No Evidence", ""))))</f>
        <v>Very high</v>
      </c>
      <c r="U1183">
        <v>0.6</v>
      </c>
    </row>
    <row r="1184" spans="1:22" x14ac:dyDescent="0.25">
      <c r="A1184" t="s">
        <v>1724</v>
      </c>
      <c r="B1184" s="2">
        <v>45522</v>
      </c>
      <c r="C1184" s="2" t="str" cm="1">
        <f t="array" ref="C11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4">
        <f>YEAR(AllData[[#This Row],[Date]])</f>
        <v>2024</v>
      </c>
      <c r="E1184" s="1">
        <v>0.34861111111111109</v>
      </c>
      <c r="F1184" s="2" t="str">
        <f>IF(AND(AllData[[#This Row],[Time]]&lt;0.5, AllData[[#This Row],[Time]]&gt;0.17)=TRUE, "Morning", IF(AND(AllData[[#This Row],[Time]]&lt;0.75, AllData[[#This Row],[Time]]&gt;=0.5)=TRUE, "Afternoon", IF(AND(AllData[[#This Row],[Time]]&lt;1, AllData[[#This Row],[Time]]&gt;=0.75)=TRUE, "Evening", "Night")))</f>
        <v>Morning</v>
      </c>
      <c r="G1184" t="str">
        <f>_xlfn.XLOOKUP(AllData[[#This Row],[Location Name]], Locations[Location Name],Locations[Group As])</f>
        <v>Lower Lode</v>
      </c>
      <c r="H1184" t="e" vm="1">
        <f>_xlfn.XLOOKUP(AllData[[#This Row],[Site Name]],LocationsKey[Site Name],LocationsKey[District])</f>
        <v>#VALUE!</v>
      </c>
      <c r="I1184" t="e" vm="1">
        <f>_xlfn.XLOOKUP(AllData[[#This Row],[Site Name]],LocationsKey[Site Name],LocationsKey[Town])</f>
        <v>#VALUE!</v>
      </c>
      <c r="J1184" t="str">
        <f>_xlfn.XLOOKUP(AllData[[#This Row],[Site Name]],LocationsKey[Site Name], LocationsKey[Waterway])</f>
        <v>Avon</v>
      </c>
      <c r="K1184" t="s">
        <v>592</v>
      </c>
      <c r="L1184">
        <v>51.985084000000001</v>
      </c>
      <c r="M1184">
        <v>-2.1741519999999999</v>
      </c>
      <c r="N1184" t="s">
        <v>29</v>
      </c>
      <c r="O1184">
        <v>7100</v>
      </c>
      <c r="P1184">
        <v>19.3</v>
      </c>
      <c r="Q1184">
        <v>10</v>
      </c>
      <c r="R1184" s="7" t="str">
        <f>IF(AllData[[#This Row],[Nitrate (PPM)]]&gt;2, "Very high", IF(AllData[[#This Row],[Nitrate (PPM)]]&gt;1, "High", IF(AllData[[#This Row],[Nitrate (PPM)]]&gt;0.5, "Some evidence", IF(AllData[[#This Row],[Nitrate (PPM)]]&gt;=0, "No evidence"))))</f>
        <v>Very high</v>
      </c>
      <c r="S1184" s="4">
        <v>0.71</v>
      </c>
      <c r="T1184" s="7" t="str">
        <f>IF(AllData[[#This Row],[Phosphate (PPM)]]&gt;0.5, "Very high", IF(AllData[[#This Row],[Phosphate (PPM)]]&gt;0.1, "High", IF(AllData[[#This Row],[Phosphate (PPM)]]&gt;0.05, "Some evidence", IF(AllData[[#This Row],[Phosphate (PPM)]]&lt;=0.05, "No Evidence", ""))))</f>
        <v>Very high</v>
      </c>
      <c r="U1184">
        <v>0</v>
      </c>
    </row>
    <row r="1185" spans="1:22" x14ac:dyDescent="0.25">
      <c r="A1185" t="s">
        <v>1686</v>
      </c>
      <c r="B1185" s="2">
        <v>45522</v>
      </c>
      <c r="C1185" s="2" t="str" cm="1">
        <f t="array" ref="C11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5">
        <f>YEAR(AllData[[#This Row],[Date]])</f>
        <v>2024</v>
      </c>
      <c r="E1185" s="1">
        <v>0.36458333333333331</v>
      </c>
      <c r="F1185" s="2" t="str">
        <f>IF(AND(AllData[[#This Row],[Time]]&lt;0.5, AllData[[#This Row],[Time]]&gt;0.17)=TRUE, "Morning", IF(AND(AllData[[#This Row],[Time]]&lt;0.75, AllData[[#This Row],[Time]]&gt;=0.5)=TRUE, "Afternoon", IF(AND(AllData[[#This Row],[Time]]&lt;1, AllData[[#This Row],[Time]]&gt;=0.75)=TRUE, "Evening", "Night")))</f>
        <v>Morning</v>
      </c>
      <c r="G1185" t="str">
        <f>_xlfn.XLOOKUP(AllData[[#This Row],[Location Name]], Locations[Location Name],Locations[Group As])</f>
        <v>Sherbourne Brook 1</v>
      </c>
      <c r="H1185" t="e" vm="2">
        <f>_xlfn.XLOOKUP(AllData[[#This Row],[Site Name]],LocationsKey[Site Name],LocationsKey[District])</f>
        <v>#VALUE!</v>
      </c>
      <c r="I1185" t="e" vm="16">
        <f>_xlfn.XLOOKUP(AllData[[#This Row],[Site Name]],LocationsKey[Site Name],LocationsKey[Town])</f>
        <v>#VALUE!</v>
      </c>
      <c r="J1185" t="str">
        <f>_xlfn.XLOOKUP(AllData[[#This Row],[Site Name]],LocationsKey[Site Name], LocationsKey[Waterway])</f>
        <v>Sherbourne Brook</v>
      </c>
      <c r="K1185" t="s">
        <v>570</v>
      </c>
      <c r="L1185">
        <v>52.252499999999998</v>
      </c>
      <c r="M1185">
        <v>-1.6685000000000001</v>
      </c>
      <c r="N1185" t="s">
        <v>23</v>
      </c>
      <c r="O1185">
        <v>1090</v>
      </c>
      <c r="P1185">
        <v>16</v>
      </c>
      <c r="Q1185">
        <v>10</v>
      </c>
      <c r="R1185" s="7" t="str">
        <f>IF(AllData[[#This Row],[Nitrate (PPM)]]&gt;2, "Very high", IF(AllData[[#This Row],[Nitrate (PPM)]]&gt;1, "High", IF(AllData[[#This Row],[Nitrate (PPM)]]&gt;0.5, "Some evidence", IF(AllData[[#This Row],[Nitrate (PPM)]]&gt;=0, "No evidence"))))</f>
        <v>Very high</v>
      </c>
      <c r="S1185" s="4">
        <v>0.17</v>
      </c>
      <c r="T1185" s="7" t="str">
        <f>IF(AllData[[#This Row],[Phosphate (PPM)]]&gt;0.5, "Very high", IF(AllData[[#This Row],[Phosphate (PPM)]]&gt;0.1, "High", IF(AllData[[#This Row],[Phosphate (PPM)]]&gt;0.05, "Some evidence", IF(AllData[[#This Row],[Phosphate (PPM)]]&lt;=0.05, "No Evidence", ""))))</f>
        <v>High</v>
      </c>
      <c r="U1185">
        <v>0.1</v>
      </c>
    </row>
    <row r="1186" spans="1:22" x14ac:dyDescent="0.25">
      <c r="A1186" t="s">
        <v>1685</v>
      </c>
      <c r="B1186" s="2">
        <v>45522</v>
      </c>
      <c r="C1186" s="2" t="str" cm="1">
        <f t="array" ref="C11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6">
        <f>YEAR(AllData[[#This Row],[Date]])</f>
        <v>2024</v>
      </c>
      <c r="E1186" s="1">
        <v>0.375</v>
      </c>
      <c r="F1186" s="2" t="str">
        <f>IF(AND(AllData[[#This Row],[Time]]&lt;0.5, AllData[[#This Row],[Time]]&gt;0.17)=TRUE, "Morning", IF(AND(AllData[[#This Row],[Time]]&lt;0.75, AllData[[#This Row],[Time]]&gt;=0.5)=TRUE, "Afternoon", IF(AND(AllData[[#This Row],[Time]]&lt;1, AllData[[#This Row],[Time]]&gt;=0.75)=TRUE, "Evening", "Night")))</f>
        <v>Morning</v>
      </c>
      <c r="G1186" t="str">
        <f>_xlfn.XLOOKUP(AllData[[#This Row],[Location Name]], Locations[Location Name],Locations[Group As])</f>
        <v>Bell Brook 1</v>
      </c>
      <c r="H1186" t="e" vm="2">
        <f>_xlfn.XLOOKUP(AllData[[#This Row],[Site Name]],LocationsKey[Site Name],LocationsKey[District])</f>
        <v>#VALUE!</v>
      </c>
      <c r="I1186" t="e" vm="15">
        <f>_xlfn.XLOOKUP(AllData[[#This Row],[Site Name]],LocationsKey[Site Name],LocationsKey[Town])</f>
        <v>#VALUE!</v>
      </c>
      <c r="J1186" t="str">
        <f>_xlfn.XLOOKUP(AllData[[#This Row],[Site Name]],LocationsKey[Site Name], LocationsKey[Waterway])</f>
        <v>Bell Brook</v>
      </c>
      <c r="K1186" t="s">
        <v>534</v>
      </c>
      <c r="L1186">
        <v>52.244900000000001</v>
      </c>
      <c r="M1186">
        <v>-1.6617</v>
      </c>
      <c r="N1186" t="s">
        <v>23</v>
      </c>
      <c r="O1186">
        <v>873</v>
      </c>
      <c r="P1186">
        <v>15.8</v>
      </c>
      <c r="Q1186">
        <v>15</v>
      </c>
      <c r="R1186" s="7" t="str">
        <f>IF(AllData[[#This Row],[Nitrate (PPM)]]&gt;2, "Very high", IF(AllData[[#This Row],[Nitrate (PPM)]]&gt;1, "High", IF(AllData[[#This Row],[Nitrate (PPM)]]&gt;0.5, "Some evidence", IF(AllData[[#This Row],[Nitrate (PPM)]]&gt;=0, "No evidence"))))</f>
        <v>Very high</v>
      </c>
      <c r="S1186" s="4">
        <v>0.73</v>
      </c>
      <c r="T1186" s="7" t="str">
        <f>IF(AllData[[#This Row],[Phosphate (PPM)]]&gt;0.5, "Very high", IF(AllData[[#This Row],[Phosphate (PPM)]]&gt;0.1, "High", IF(AllData[[#This Row],[Phosphate (PPM)]]&gt;0.05, "Some evidence", IF(AllData[[#This Row],[Phosphate (PPM)]]&lt;=0.05, "No Evidence", ""))))</f>
        <v>Very high</v>
      </c>
      <c r="U1186">
        <v>0.1</v>
      </c>
    </row>
    <row r="1187" spans="1:22" x14ac:dyDescent="0.25">
      <c r="A1187" t="s">
        <v>1662</v>
      </c>
      <c r="B1187" s="2">
        <v>45522</v>
      </c>
      <c r="C1187" s="2" t="str" cm="1">
        <f t="array" ref="C11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7">
        <f>YEAR(AllData[[#This Row],[Date]])</f>
        <v>2024</v>
      </c>
      <c r="E1187" s="1">
        <v>0.41666666666666669</v>
      </c>
      <c r="F1187" s="2" t="str">
        <f>IF(AND(AllData[[#This Row],[Time]]&lt;0.5, AllData[[#This Row],[Time]]&gt;0.17)=TRUE, "Morning", IF(AND(AllData[[#This Row],[Time]]&lt;0.75, AllData[[#This Row],[Time]]&gt;=0.5)=TRUE, "Afternoon", IF(AND(AllData[[#This Row],[Time]]&lt;1, AllData[[#This Row],[Time]]&gt;=0.75)=TRUE, "Evening", "Night")))</f>
        <v>Morning</v>
      </c>
      <c r="G1187" t="str">
        <f>_xlfn.XLOOKUP(AllData[[#This Row],[Location Name]], Locations[Location Name],Locations[Group As])</f>
        <v>Site 1  :  Middle Street</v>
      </c>
      <c r="H1187" t="e" vm="2">
        <f>_xlfn.XLOOKUP(AllData[[#This Row],[Site Name]],LocationsKey[Site Name],LocationsKey[District])</f>
        <v>#VALUE!</v>
      </c>
      <c r="I1187" t="e" vm="11">
        <f>_xlfn.XLOOKUP(AllData[[#This Row],[Site Name]],LocationsKey[Site Name],LocationsKey[Town])</f>
        <v>#VALUE!</v>
      </c>
      <c r="J1187" t="str">
        <f>_xlfn.XLOOKUP(AllData[[#This Row],[Site Name]],LocationsKey[Site Name], LocationsKey[Waterway])</f>
        <v>Fosseway Brook</v>
      </c>
      <c r="K1187" t="s">
        <v>1850</v>
      </c>
      <c r="L1187">
        <v>52.090085000000002</v>
      </c>
      <c r="M1187">
        <v>-1.692593</v>
      </c>
      <c r="N1187" t="s">
        <v>66</v>
      </c>
      <c r="O1187">
        <v>655</v>
      </c>
      <c r="P1187">
        <v>19</v>
      </c>
      <c r="Q1187">
        <v>2</v>
      </c>
      <c r="R1187" s="7" t="str">
        <f>IF(AllData[[#This Row],[Nitrate (PPM)]]&gt;2, "Very high", IF(AllData[[#This Row],[Nitrate (PPM)]]&gt;1, "High", IF(AllData[[#This Row],[Nitrate (PPM)]]&gt;0.5, "Some evidence", IF(AllData[[#This Row],[Nitrate (PPM)]]&gt;=0, "No evidence"))))</f>
        <v>High</v>
      </c>
      <c r="S1187" s="4">
        <v>0.52</v>
      </c>
      <c r="T1187" s="7" t="str">
        <f>IF(AllData[[#This Row],[Phosphate (PPM)]]&gt;0.5, "Very high", IF(AllData[[#This Row],[Phosphate (PPM)]]&gt;0.1, "High", IF(AllData[[#This Row],[Phosphate (PPM)]]&gt;0.05, "Some evidence", IF(AllData[[#This Row],[Phosphate (PPM)]]&lt;=0.05, "No Evidence", ""))))</f>
        <v>Very high</v>
      </c>
      <c r="U1187">
        <v>0</v>
      </c>
      <c r="V1187" t="s">
        <v>1870</v>
      </c>
    </row>
    <row r="1188" spans="1:22" x14ac:dyDescent="0.25">
      <c r="A1188" t="s">
        <v>1723</v>
      </c>
      <c r="B1188" s="2">
        <v>45522</v>
      </c>
      <c r="C1188" s="2" t="str" cm="1">
        <f t="array" ref="C11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8">
        <f>YEAR(AllData[[#This Row],[Date]])</f>
        <v>2024</v>
      </c>
      <c r="E1188" s="1">
        <v>0.43194444444444446</v>
      </c>
      <c r="F1188" s="2" t="str">
        <f>IF(AND(AllData[[#This Row],[Time]]&lt;0.5, AllData[[#This Row],[Time]]&gt;0.17)=TRUE, "Morning", IF(AND(AllData[[#This Row],[Time]]&lt;0.75, AllData[[#This Row],[Time]]&gt;=0.5)=TRUE, "Afternoon", IF(AND(AllData[[#This Row],[Time]]&lt;1, AllData[[#This Row],[Time]]&gt;=0.75)=TRUE, "Evening", "Night")))</f>
        <v>Morning</v>
      </c>
      <c r="G1188" t="str">
        <f>_xlfn.XLOOKUP(AllData[[#This Row],[Location Name]], Locations[Location Name],Locations[Group As])</f>
        <v>Stour Stretton-on-Fosse Village</v>
      </c>
      <c r="H1188" t="e" vm="2">
        <f>_xlfn.XLOOKUP(AllData[[#This Row],[Site Name]],LocationsKey[Site Name],LocationsKey[District])</f>
        <v>#VALUE!</v>
      </c>
      <c r="I1188" t="e" vm="14">
        <f>_xlfn.XLOOKUP(AllData[[#This Row],[Site Name]],LocationsKey[Site Name],LocationsKey[Town])</f>
        <v>#VALUE!</v>
      </c>
      <c r="J1188" t="str">
        <f>_xlfn.XLOOKUP(AllData[[#This Row],[Site Name]],LocationsKey[Site Name], LocationsKey[Waterway])</f>
        <v>Stour</v>
      </c>
      <c r="K1188" t="s">
        <v>544</v>
      </c>
      <c r="L1188">
        <v>52.046478999999998</v>
      </c>
      <c r="M1188">
        <v>-1.673386</v>
      </c>
      <c r="N1188" t="s">
        <v>66</v>
      </c>
      <c r="O1188">
        <v>776</v>
      </c>
      <c r="P1188">
        <v>15.7</v>
      </c>
      <c r="Q1188">
        <v>0</v>
      </c>
      <c r="R1188" s="7" t="str">
        <f>IF(AllData[[#This Row],[Nitrate (PPM)]]&gt;2, "Very high", IF(AllData[[#This Row],[Nitrate (PPM)]]&gt;1, "High", IF(AllData[[#This Row],[Nitrate (PPM)]]&gt;0.5, "Some evidence", IF(AllData[[#This Row],[Nitrate (PPM)]]&gt;=0, "No evidence"))))</f>
        <v>No evidence</v>
      </c>
      <c r="S1188" s="4">
        <v>2.5</v>
      </c>
      <c r="T1188" s="7" t="str">
        <f>IF(AllData[[#This Row],[Phosphate (PPM)]]&gt;0.5, "Very high", IF(AllData[[#This Row],[Phosphate (PPM)]]&gt;0.1, "High", IF(AllData[[#This Row],[Phosphate (PPM)]]&gt;0.05, "Some evidence", IF(AllData[[#This Row],[Phosphate (PPM)]]&lt;=0.05, "No Evidence", ""))))</f>
        <v>Very high</v>
      </c>
      <c r="U1188">
        <v>0.15</v>
      </c>
      <c r="V1188" t="s">
        <v>1177</v>
      </c>
    </row>
    <row r="1189" spans="1:22" x14ac:dyDescent="0.25">
      <c r="A1189" t="s">
        <v>1661</v>
      </c>
      <c r="B1189" s="2">
        <v>45522</v>
      </c>
      <c r="C1189" s="2" t="str" cm="1">
        <f t="array" ref="C11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9">
        <f>YEAR(AllData[[#This Row],[Date]])</f>
        <v>2024</v>
      </c>
      <c r="E1189" s="1">
        <v>0.4375</v>
      </c>
      <c r="F1189" s="2" t="str">
        <f>IF(AND(AllData[[#This Row],[Time]]&lt;0.5, AllData[[#This Row],[Time]]&gt;0.17)=TRUE, "Morning", IF(AND(AllData[[#This Row],[Time]]&lt;0.75, AllData[[#This Row],[Time]]&gt;=0.5)=TRUE, "Afternoon", IF(AND(AllData[[#This Row],[Time]]&lt;1, AllData[[#This Row],[Time]]&gt;=0.75)=TRUE, "Evening", "Night")))</f>
        <v>Morning</v>
      </c>
      <c r="G1189" t="str">
        <f>_xlfn.XLOOKUP(AllData[[#This Row],[Location Name]], Locations[Location Name],Locations[Group As])</f>
        <v>Site 3  :  Severn Trent Water processing plant outflow</v>
      </c>
      <c r="H1189" t="e" vm="2">
        <f>_xlfn.XLOOKUP(AllData[[#This Row],[Site Name]],LocationsKey[Site Name],LocationsKey[District])</f>
        <v>#VALUE!</v>
      </c>
      <c r="I1189" t="e" vm="11">
        <f>_xlfn.XLOOKUP(AllData[[#This Row],[Site Name]],LocationsKey[Site Name],LocationsKey[Town])</f>
        <v>#VALUE!</v>
      </c>
      <c r="J1189" t="str">
        <f>_xlfn.XLOOKUP(AllData[[#This Row],[Site Name]],LocationsKey[Site Name], LocationsKey[Waterway])</f>
        <v>Fosseway Brook</v>
      </c>
      <c r="K1189" t="s">
        <v>1849</v>
      </c>
      <c r="L1189">
        <v>52.092967999999999</v>
      </c>
      <c r="M1189">
        <v>-1.6862710000000001</v>
      </c>
      <c r="N1189" t="s">
        <v>29</v>
      </c>
      <c r="O1189">
        <v>973</v>
      </c>
      <c r="P1189">
        <v>20</v>
      </c>
      <c r="Q1189">
        <v>20</v>
      </c>
      <c r="R1189" s="7" t="str">
        <f>IF(AllData[[#This Row],[Nitrate (PPM)]]&gt;2, "Very high", IF(AllData[[#This Row],[Nitrate (PPM)]]&gt;1, "High", IF(AllData[[#This Row],[Nitrate (PPM)]]&gt;0.5, "Some evidence", IF(AllData[[#This Row],[Nitrate (PPM)]]&gt;=0, "No evidence"))))</f>
        <v>Very high</v>
      </c>
      <c r="S1189" s="4">
        <v>2.5</v>
      </c>
      <c r="T1189" s="7" t="str">
        <f>IF(AllData[[#This Row],[Phosphate (PPM)]]&gt;0.5, "Very high", IF(AllData[[#This Row],[Phosphate (PPM)]]&gt;0.1, "High", IF(AllData[[#This Row],[Phosphate (PPM)]]&gt;0.05, "Some evidence", IF(AllData[[#This Row],[Phosphate (PPM)]]&lt;=0.05, "No Evidence", ""))))</f>
        <v>Very high</v>
      </c>
      <c r="U1189">
        <v>0.25</v>
      </c>
      <c r="V1189" t="s">
        <v>1869</v>
      </c>
    </row>
    <row r="1190" spans="1:22" x14ac:dyDescent="0.25">
      <c r="A1190" t="s">
        <v>1722</v>
      </c>
      <c r="B1190" s="2">
        <v>45522</v>
      </c>
      <c r="C1190" s="2" t="str" cm="1">
        <f t="array" ref="C11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0">
        <f>YEAR(AllData[[#This Row],[Date]])</f>
        <v>2024</v>
      </c>
      <c r="E1190" s="1">
        <v>0.45555555555555555</v>
      </c>
      <c r="F1190" s="2" t="str">
        <f>IF(AND(AllData[[#This Row],[Time]]&lt;0.5, AllData[[#This Row],[Time]]&gt;0.17)=TRUE, "Morning", IF(AND(AllData[[#This Row],[Time]]&lt;0.75, AllData[[#This Row],[Time]]&gt;=0.5)=TRUE, "Afternoon", IF(AND(AllData[[#This Row],[Time]]&lt;1, AllData[[#This Row],[Time]]&gt;=0.75)=TRUE, "Evening", "Night")))</f>
        <v>Morning</v>
      </c>
      <c r="G1190" t="str">
        <f>_xlfn.XLOOKUP(AllData[[#This Row],[Location Name]], Locations[Location Name],Locations[Group As])</f>
        <v>Stour Stretton-on-Fosse Sewage Works</v>
      </c>
      <c r="H1190" t="e" vm="2">
        <f>_xlfn.XLOOKUP(AllData[[#This Row],[Site Name]],LocationsKey[Site Name],LocationsKey[District])</f>
        <v>#VALUE!</v>
      </c>
      <c r="I1190" t="e" vm="14">
        <f>_xlfn.XLOOKUP(AllData[[#This Row],[Site Name]],LocationsKey[Site Name],LocationsKey[Town])</f>
        <v>#VALUE!</v>
      </c>
      <c r="J1190" t="str">
        <f>_xlfn.XLOOKUP(AllData[[#This Row],[Site Name]],LocationsKey[Site Name], LocationsKey[Waterway])</f>
        <v>Stour</v>
      </c>
      <c r="K1190" t="s">
        <v>335</v>
      </c>
      <c r="L1190">
        <v>52.045642999999998</v>
      </c>
      <c r="M1190">
        <v>-1.671888</v>
      </c>
      <c r="N1190" t="s">
        <v>29</v>
      </c>
      <c r="O1190">
        <v>925</v>
      </c>
      <c r="P1190">
        <v>16.5</v>
      </c>
      <c r="Q1190">
        <v>3</v>
      </c>
      <c r="R1190" s="7" t="str">
        <f>IF(AllData[[#This Row],[Nitrate (PPM)]]&gt;2, "Very high", IF(AllData[[#This Row],[Nitrate (PPM)]]&gt;1, "High", IF(AllData[[#This Row],[Nitrate (PPM)]]&gt;0.5, "Some evidence", IF(AllData[[#This Row],[Nitrate (PPM)]]&gt;=0, "No evidence"))))</f>
        <v>Very high</v>
      </c>
      <c r="S1190" s="4">
        <v>2.5</v>
      </c>
      <c r="T1190" s="7" t="str">
        <f>IF(AllData[[#This Row],[Phosphate (PPM)]]&gt;0.5, "Very high", IF(AllData[[#This Row],[Phosphate (PPM)]]&gt;0.1, "High", IF(AllData[[#This Row],[Phosphate (PPM)]]&gt;0.05, "Some evidence", IF(AllData[[#This Row],[Phosphate (PPM)]]&lt;=0.05, "No Evidence", ""))))</f>
        <v>Very high</v>
      </c>
      <c r="U1190">
        <v>0.2</v>
      </c>
      <c r="V1190" t="s">
        <v>1887</v>
      </c>
    </row>
    <row r="1191" spans="1:22" x14ac:dyDescent="0.25">
      <c r="A1191" t="s">
        <v>1716</v>
      </c>
      <c r="B1191" s="2">
        <v>45523</v>
      </c>
      <c r="C1191" s="2" t="str" cm="1">
        <f t="array" ref="C11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1">
        <f>YEAR(AllData[[#This Row],[Date]])</f>
        <v>2024</v>
      </c>
      <c r="E1191" s="1">
        <v>0.33333333333333331</v>
      </c>
      <c r="F1191" s="2" t="str">
        <f>IF(AND(AllData[[#This Row],[Time]]&lt;0.5, AllData[[#This Row],[Time]]&gt;0.17)=TRUE, "Morning", IF(AND(AllData[[#This Row],[Time]]&lt;0.75, AllData[[#This Row],[Time]]&gt;=0.5)=TRUE, "Afternoon", IF(AND(AllData[[#This Row],[Time]]&lt;1, AllData[[#This Row],[Time]]&gt;=0.75)=TRUE, "Evening", "Night")))</f>
        <v>Morning</v>
      </c>
      <c r="G1191" t="str">
        <f>_xlfn.XLOOKUP(AllData[[#This Row],[Location Name]], Locations[Location Name],Locations[Group As])</f>
        <v>Carrant M5 Bridge</v>
      </c>
      <c r="H1191" t="e" vm="1">
        <f>_xlfn.XLOOKUP(AllData[[#This Row],[Site Name]],LocationsKey[Site Name],LocationsKey[District])</f>
        <v>#VALUE!</v>
      </c>
      <c r="I1191" t="e" vm="1">
        <f>_xlfn.XLOOKUP(AllData[[#This Row],[Site Name]],LocationsKey[Site Name],LocationsKey[Town])</f>
        <v>#VALUE!</v>
      </c>
      <c r="J1191" t="str">
        <f>_xlfn.XLOOKUP(AllData[[#This Row],[Site Name]],LocationsKey[Site Name], LocationsKey[Waterway])</f>
        <v>Carrant</v>
      </c>
      <c r="K1191" t="s">
        <v>960</v>
      </c>
      <c r="N1191" t="s">
        <v>23</v>
      </c>
      <c r="O1191">
        <v>807</v>
      </c>
      <c r="P1191">
        <v>17.399999999999999</v>
      </c>
      <c r="Q1191">
        <v>6</v>
      </c>
      <c r="R1191" s="7" t="str">
        <f>IF(AllData[[#This Row],[Nitrate (PPM)]]&gt;2, "Very high", IF(AllData[[#This Row],[Nitrate (PPM)]]&gt;1, "High", IF(AllData[[#This Row],[Nitrate (PPM)]]&gt;0.5, "Some evidence", IF(AllData[[#This Row],[Nitrate (PPM)]]&gt;=0, "No evidence"))))</f>
        <v>Very high</v>
      </c>
      <c r="S1191" s="4">
        <v>1.48</v>
      </c>
      <c r="T1191" s="7" t="str">
        <f>IF(AllData[[#This Row],[Phosphate (PPM)]]&gt;0.5, "Very high", IF(AllData[[#This Row],[Phosphate (PPM)]]&gt;0.1, "High", IF(AllData[[#This Row],[Phosphate (PPM)]]&gt;0.05, "Some evidence", IF(AllData[[#This Row],[Phosphate (PPM)]]&lt;=0.05, "No Evidence", ""))))</f>
        <v>Very high</v>
      </c>
      <c r="U1191">
        <v>0</v>
      </c>
    </row>
    <row r="1192" spans="1:22" x14ac:dyDescent="0.25">
      <c r="A1192" t="s">
        <v>1719</v>
      </c>
      <c r="B1192" s="2">
        <v>45523</v>
      </c>
      <c r="C1192" s="2" t="str" cm="1">
        <f t="array" ref="C11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2">
        <f>YEAR(AllData[[#This Row],[Date]])</f>
        <v>2024</v>
      </c>
      <c r="E1192" s="1">
        <v>0.33333333333333331</v>
      </c>
      <c r="F1192" s="2" t="str">
        <f>IF(AND(AllData[[#This Row],[Time]]&lt;0.5, AllData[[#This Row],[Time]]&gt;0.17)=TRUE, "Morning", IF(AND(AllData[[#This Row],[Time]]&lt;0.75, AllData[[#This Row],[Time]]&gt;=0.5)=TRUE, "Afternoon", IF(AND(AllData[[#This Row],[Time]]&lt;1, AllData[[#This Row],[Time]]&gt;=0.75)=TRUE, "Evening", "Night")))</f>
        <v>Morning</v>
      </c>
      <c r="G1192" t="str">
        <f>_xlfn.XLOOKUP(AllData[[#This Row],[Location Name]], Locations[Location Name],Locations[Group As])</f>
        <v>Chipping Campden Sewage Works</v>
      </c>
      <c r="H1192" t="e" vm="23">
        <f>_xlfn.XLOOKUP(AllData[[#This Row],[Site Name]],LocationsKey[Site Name],LocationsKey[District])</f>
        <v>#VALUE!</v>
      </c>
      <c r="I1192" t="e" vm="24">
        <f>_xlfn.XLOOKUP(AllData[[#This Row],[Site Name]],LocationsKey[Site Name],LocationsKey[Town])</f>
        <v>#VALUE!</v>
      </c>
      <c r="J1192" t="str">
        <f>_xlfn.XLOOKUP(AllData[[#This Row],[Site Name]],LocationsKey[Site Name], LocationsKey[Waterway])</f>
        <v>Cam Brook</v>
      </c>
      <c r="K1192" t="s">
        <v>1474</v>
      </c>
      <c r="N1192" t="s">
        <v>29</v>
      </c>
      <c r="O1192">
        <v>745</v>
      </c>
      <c r="P1192">
        <v>14.2</v>
      </c>
      <c r="Q1192">
        <v>5</v>
      </c>
      <c r="R1192" s="7" t="str">
        <f>IF(AllData[[#This Row],[Nitrate (PPM)]]&gt;2, "Very high", IF(AllData[[#This Row],[Nitrate (PPM)]]&gt;1, "High", IF(AllData[[#This Row],[Nitrate (PPM)]]&gt;0.5, "Some evidence", IF(AllData[[#This Row],[Nitrate (PPM)]]&gt;=0, "No evidence"))))</f>
        <v>Very high</v>
      </c>
      <c r="S1192" s="4">
        <v>0.24</v>
      </c>
      <c r="T1192" s="7" t="str">
        <f>IF(AllData[[#This Row],[Phosphate (PPM)]]&gt;0.5, "Very high", IF(AllData[[#This Row],[Phosphate (PPM)]]&gt;0.1, "High", IF(AllData[[#This Row],[Phosphate (PPM)]]&gt;0.05, "Some evidence", IF(AllData[[#This Row],[Phosphate (PPM)]]&lt;=0.05, "No Evidence", ""))))</f>
        <v>High</v>
      </c>
      <c r="U1192">
        <v>0.18</v>
      </c>
    </row>
    <row r="1193" spans="1:22" x14ac:dyDescent="0.25">
      <c r="A1193" t="s">
        <v>1720</v>
      </c>
      <c r="B1193" s="2">
        <v>45523</v>
      </c>
      <c r="C1193" s="2" t="str" cm="1">
        <f t="array" ref="C11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3">
        <f>YEAR(AllData[[#This Row],[Date]])</f>
        <v>2024</v>
      </c>
      <c r="E1193" s="1">
        <v>0.44444444444444442</v>
      </c>
      <c r="F1193" s="2" t="str">
        <f>IF(AND(AllData[[#This Row],[Time]]&lt;0.5, AllData[[#This Row],[Time]]&gt;0.17)=TRUE, "Morning", IF(AND(AllData[[#This Row],[Time]]&lt;0.75, AllData[[#This Row],[Time]]&gt;=0.5)=TRUE, "Afternoon", IF(AND(AllData[[#This Row],[Time]]&lt;1, AllData[[#This Row],[Time]]&gt;=0.75)=TRUE, "Evening", "Night")))</f>
        <v>Morning</v>
      </c>
      <c r="G1193" t="str">
        <f>_xlfn.XLOOKUP(AllData[[#This Row],[Location Name]], Locations[Location Name],Locations[Group As])</f>
        <v>Chipping Campden Lady J Gateway</v>
      </c>
      <c r="H1193" t="e" vm="23">
        <f>_xlfn.XLOOKUP(AllData[[#This Row],[Site Name]],LocationsKey[Site Name],LocationsKey[District])</f>
        <v>#VALUE!</v>
      </c>
      <c r="I1193" t="e" vm="24">
        <f>_xlfn.XLOOKUP(AllData[[#This Row],[Site Name]],LocationsKey[Site Name],LocationsKey[Town])</f>
        <v>#VALUE!</v>
      </c>
      <c r="J1193" t="str">
        <f>_xlfn.XLOOKUP(AllData[[#This Row],[Site Name]],LocationsKey[Site Name], LocationsKey[Waterway])</f>
        <v>Cam Brook</v>
      </c>
      <c r="K1193" t="s">
        <v>1476</v>
      </c>
      <c r="N1193" t="s">
        <v>66</v>
      </c>
      <c r="O1193">
        <v>483</v>
      </c>
      <c r="P1193">
        <v>16.100000000000001</v>
      </c>
      <c r="Q1193">
        <v>5</v>
      </c>
      <c r="R1193" s="7" t="str">
        <f>IF(AllData[[#This Row],[Nitrate (PPM)]]&gt;2, "Very high", IF(AllData[[#This Row],[Nitrate (PPM)]]&gt;1, "High", IF(AllData[[#This Row],[Nitrate (PPM)]]&gt;0.5, "Some evidence", IF(AllData[[#This Row],[Nitrate (PPM)]]&gt;=0, "No evidence"))))</f>
        <v>Very high</v>
      </c>
      <c r="S1193" s="4">
        <v>0.05</v>
      </c>
      <c r="T1193" s="7" t="str">
        <f>IF(AllData[[#This Row],[Phosphate (PPM)]]&gt;0.5, "Very high", IF(AllData[[#This Row],[Phosphate (PPM)]]&gt;0.1, "High", IF(AllData[[#This Row],[Phosphate (PPM)]]&gt;0.05, "Some evidence", IF(AllData[[#This Row],[Phosphate (PPM)]]&lt;=0.05, "No Evidence", ""))))</f>
        <v>No Evidence</v>
      </c>
      <c r="U1193">
        <v>0.06</v>
      </c>
    </row>
    <row r="1194" spans="1:22" x14ac:dyDescent="0.25">
      <c r="A1194" t="s">
        <v>1717</v>
      </c>
      <c r="B1194" s="2">
        <v>45523</v>
      </c>
      <c r="C1194" s="2" t="str" cm="1">
        <f t="array" ref="C11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4">
        <f>YEAR(AllData[[#This Row],[Date]])</f>
        <v>2024</v>
      </c>
      <c r="E1194" s="1">
        <v>0.66666666666666663</v>
      </c>
      <c r="F1194" s="2" t="str">
        <f>IF(AND(AllData[[#This Row],[Time]]&lt;0.5, AllData[[#This Row],[Time]]&gt;0.17)=TRUE, "Morning", IF(AND(AllData[[#This Row],[Time]]&lt;0.75, AllData[[#This Row],[Time]]&gt;=0.5)=TRUE, "Afternoon", IF(AND(AllData[[#This Row],[Time]]&lt;1, AllData[[#This Row],[Time]]&gt;=0.75)=TRUE, "Evening", "Night")))</f>
        <v>Afternoon</v>
      </c>
      <c r="G1194" t="str">
        <f>_xlfn.XLOOKUP(AllData[[#This Row],[Location Name]], Locations[Location Name],Locations[Group As])</f>
        <v>Chipping Campden Craves</v>
      </c>
      <c r="H1194" t="e" vm="23">
        <f>_xlfn.XLOOKUP(AllData[[#This Row],[Site Name]],LocationsKey[Site Name],LocationsKey[District])</f>
        <v>#VALUE!</v>
      </c>
      <c r="I1194" t="e" vm="24">
        <f>_xlfn.XLOOKUP(AllData[[#This Row],[Site Name]],LocationsKey[Site Name],LocationsKey[Town])</f>
        <v>#VALUE!</v>
      </c>
      <c r="J1194" t="str">
        <f>_xlfn.XLOOKUP(AllData[[#This Row],[Site Name]],LocationsKey[Site Name], LocationsKey[Waterway])</f>
        <v>Cam Brook</v>
      </c>
      <c r="K1194" t="s">
        <v>1857</v>
      </c>
      <c r="L1194">
        <v>52.048727999999997</v>
      </c>
      <c r="M1194">
        <v>-1.7862640000000001</v>
      </c>
      <c r="N1194" t="s">
        <v>66</v>
      </c>
      <c r="O1194">
        <v>384</v>
      </c>
      <c r="P1194">
        <v>18</v>
      </c>
      <c r="Q1194">
        <v>2</v>
      </c>
      <c r="R1194" s="7" t="str">
        <f>IF(AllData[[#This Row],[Nitrate (PPM)]]&gt;2, "Very high", IF(AllData[[#This Row],[Nitrate (PPM)]]&gt;1, "High", IF(AllData[[#This Row],[Nitrate (PPM)]]&gt;0.5, "Some evidence", IF(AllData[[#This Row],[Nitrate (PPM)]]&gt;=0, "No evidence"))))</f>
        <v>High</v>
      </c>
      <c r="S1194" s="4">
        <v>0.1</v>
      </c>
      <c r="T1194" s="7" t="str">
        <f>IF(AllData[[#This Row],[Phosphate (PPM)]]&gt;0.5, "Very high", IF(AllData[[#This Row],[Phosphate (PPM)]]&gt;0.1, "High", IF(AllData[[#This Row],[Phosphate (PPM)]]&gt;0.05, "Some evidence", IF(AllData[[#This Row],[Phosphate (PPM)]]&lt;=0.05, "No Evidence", ""))))</f>
        <v>Some evidence</v>
      </c>
      <c r="U1194">
        <v>17</v>
      </c>
    </row>
    <row r="1195" spans="1:22" x14ac:dyDescent="0.25">
      <c r="A1195" t="s">
        <v>1718</v>
      </c>
      <c r="B1195" s="2">
        <v>45523</v>
      </c>
      <c r="C1195" s="2" t="str" cm="1">
        <f t="array" ref="C11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5">
        <f>YEAR(AllData[[#This Row],[Date]])</f>
        <v>2024</v>
      </c>
      <c r="E1195" s="1">
        <v>0.75138888888888888</v>
      </c>
      <c r="F1195" s="2" t="str">
        <f>IF(AND(AllData[[#This Row],[Time]]&lt;0.5, AllData[[#This Row],[Time]]&gt;0.17)=TRUE, "Morning", IF(AND(AllData[[#This Row],[Time]]&lt;0.75, AllData[[#This Row],[Time]]&gt;=0.5)=TRUE, "Afternoon", IF(AND(AllData[[#This Row],[Time]]&lt;1, AllData[[#This Row],[Time]]&gt;=0.75)=TRUE, "Evening", "Night")))</f>
        <v>Evening</v>
      </c>
      <c r="G1195" t="str">
        <f>_xlfn.XLOOKUP(AllData[[#This Row],[Location Name]], Locations[Location Name],Locations[Group As])</f>
        <v>Carrant Back Lane Beckford</v>
      </c>
      <c r="H1195" t="e" vm="1">
        <f>_xlfn.XLOOKUP(AllData[[#This Row],[Site Name]],LocationsKey[Site Name],LocationsKey[District])</f>
        <v>#VALUE!</v>
      </c>
      <c r="I1195" t="str">
        <f>_xlfn.XLOOKUP(AllData[[#This Row],[Site Name]],LocationsKey[Site Name],LocationsKey[Town])</f>
        <v>Beckford</v>
      </c>
      <c r="J1195" t="str">
        <f>_xlfn.XLOOKUP(AllData[[#This Row],[Site Name]],LocationsKey[Site Name], LocationsKey[Waterway])</f>
        <v>Carrant</v>
      </c>
      <c r="K1195" t="s">
        <v>1490</v>
      </c>
      <c r="L1195">
        <v>52.017957000000003</v>
      </c>
      <c r="M1195">
        <v>-2.036934</v>
      </c>
      <c r="N1195" t="s">
        <v>66</v>
      </c>
      <c r="O1195">
        <v>781</v>
      </c>
      <c r="P1195">
        <v>16.7</v>
      </c>
      <c r="Q1195">
        <v>15</v>
      </c>
      <c r="R1195" s="7" t="str">
        <f>IF(AllData[[#This Row],[Nitrate (PPM)]]&gt;2, "Very high", IF(AllData[[#This Row],[Nitrate (PPM)]]&gt;1, "High", IF(AllData[[#This Row],[Nitrate (PPM)]]&gt;0.5, "Some evidence", IF(AllData[[#This Row],[Nitrate (PPM)]]&gt;=0, "No evidence"))))</f>
        <v>Very high</v>
      </c>
      <c r="S1195" s="4">
        <v>0.08</v>
      </c>
      <c r="T1195" s="7" t="str">
        <f>IF(AllData[[#This Row],[Phosphate (PPM)]]&gt;0.5, "Very high", IF(AllData[[#This Row],[Phosphate (PPM)]]&gt;0.1, "High", IF(AllData[[#This Row],[Phosphate (PPM)]]&gt;0.05, "Some evidence", IF(AllData[[#This Row],[Phosphate (PPM)]]&lt;=0.05, "No Evidence", ""))))</f>
        <v>Some evidence</v>
      </c>
      <c r="U1195">
        <v>0.2</v>
      </c>
      <c r="V1195" t="s">
        <v>1886</v>
      </c>
    </row>
    <row r="1196" spans="1:22" x14ac:dyDescent="0.25">
      <c r="A1196" t="s">
        <v>1697</v>
      </c>
      <c r="B1196" s="2">
        <v>45524</v>
      </c>
      <c r="C1196" s="2" t="str" cm="1">
        <f t="array" ref="C11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6">
        <f>YEAR(AllData[[#This Row],[Date]])</f>
        <v>2024</v>
      </c>
      <c r="E1196" s="1">
        <v>0.6430555555555556</v>
      </c>
      <c r="F1196" s="2" t="str">
        <f>IF(AND(AllData[[#This Row],[Time]]&lt;0.5, AllData[[#This Row],[Time]]&gt;0.17)=TRUE, "Morning", IF(AND(AllData[[#This Row],[Time]]&lt;0.75, AllData[[#This Row],[Time]]&gt;=0.5)=TRUE, "Afternoon", IF(AND(AllData[[#This Row],[Time]]&lt;1, AllData[[#This Row],[Time]]&gt;=0.75)=TRUE, "Evening", "Night")))</f>
        <v>Afternoon</v>
      </c>
      <c r="G1196" t="str">
        <f>_xlfn.XLOOKUP(AllData[[#This Row],[Location Name]], Locations[Location Name],Locations[Group As])</f>
        <v>Abbey Mill</v>
      </c>
      <c r="H1196" t="e" vm="1">
        <f>_xlfn.XLOOKUP(AllData[[#This Row],[Site Name]],LocationsKey[Site Name],LocationsKey[District])</f>
        <v>#VALUE!</v>
      </c>
      <c r="I1196" t="e" vm="1">
        <f>_xlfn.XLOOKUP(AllData[[#This Row],[Site Name]],LocationsKey[Site Name],LocationsKey[Town])</f>
        <v>#VALUE!</v>
      </c>
      <c r="J1196" t="str">
        <f>_xlfn.XLOOKUP(AllData[[#This Row],[Site Name]],LocationsKey[Site Name], LocationsKey[Waterway])</f>
        <v>Avon</v>
      </c>
      <c r="K1196" t="s">
        <v>22</v>
      </c>
      <c r="L1196">
        <v>51.991455000000002</v>
      </c>
      <c r="M1196">
        <v>-2.1628280000000002</v>
      </c>
      <c r="N1196" t="s">
        <v>23</v>
      </c>
      <c r="O1196">
        <v>106</v>
      </c>
      <c r="P1196">
        <v>18.3</v>
      </c>
      <c r="Q1196">
        <v>8</v>
      </c>
      <c r="R1196" s="7" t="str">
        <f>IF(AllData[[#This Row],[Nitrate (PPM)]]&gt;2, "Very high", IF(AllData[[#This Row],[Nitrate (PPM)]]&gt;1, "High", IF(AllData[[#This Row],[Nitrate (PPM)]]&gt;0.5, "Some evidence", IF(AllData[[#This Row],[Nitrate (PPM)]]&gt;=0, "No evidence"))))</f>
        <v>Very high</v>
      </c>
      <c r="S1196" s="4">
        <v>1.06</v>
      </c>
      <c r="T1196" s="7" t="str">
        <f>IF(AllData[[#This Row],[Phosphate (PPM)]]&gt;0.5, "Very high", IF(AllData[[#This Row],[Phosphate (PPM)]]&gt;0.1, "High", IF(AllData[[#This Row],[Phosphate (PPM)]]&gt;0.05, "Some evidence", IF(AllData[[#This Row],[Phosphate (PPM)]]&lt;=0.05, "No Evidence", ""))))</f>
        <v>Very high</v>
      </c>
      <c r="U1196">
        <v>0</v>
      </c>
    </row>
    <row r="1197" spans="1:22" x14ac:dyDescent="0.25">
      <c r="A1197" t="s">
        <v>1715</v>
      </c>
      <c r="B1197" s="2">
        <v>45526</v>
      </c>
      <c r="C1197" s="2" t="str" cm="1">
        <f t="array" ref="C11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7">
        <f>YEAR(AllData[[#This Row],[Date]])</f>
        <v>2024</v>
      </c>
      <c r="E1197" s="1">
        <v>0.41666666666666669</v>
      </c>
      <c r="F1197" s="2" t="str">
        <f>IF(AND(AllData[[#This Row],[Time]]&lt;0.5, AllData[[#This Row],[Time]]&gt;0.17)=TRUE, "Morning", IF(AND(AllData[[#This Row],[Time]]&lt;0.75, AllData[[#This Row],[Time]]&gt;=0.5)=TRUE, "Afternoon", IF(AND(AllData[[#This Row],[Time]]&lt;1, AllData[[#This Row],[Time]]&gt;=0.75)=TRUE, "Evening", "Night")))</f>
        <v>Morning</v>
      </c>
      <c r="G1197" t="str">
        <f>_xlfn.XLOOKUP(AllData[[#This Row],[Location Name]], Locations[Location Name],Locations[Group As])</f>
        <v>Swilgate</v>
      </c>
      <c r="H1197" t="e" vm="1">
        <f>_xlfn.XLOOKUP(AllData[[#This Row],[Site Name]],LocationsKey[Site Name],LocationsKey[District])</f>
        <v>#VALUE!</v>
      </c>
      <c r="I1197" t="e" vm="1">
        <f>_xlfn.XLOOKUP(AllData[[#This Row],[Site Name]],LocationsKey[Site Name],LocationsKey[Town])</f>
        <v>#VALUE!</v>
      </c>
      <c r="J1197" t="str">
        <f>_xlfn.XLOOKUP(AllData[[#This Row],[Site Name]],LocationsKey[Site Name], LocationsKey[Waterway])</f>
        <v>Swilgate</v>
      </c>
      <c r="K1197" t="s">
        <v>84</v>
      </c>
      <c r="N1197" t="s">
        <v>23</v>
      </c>
      <c r="O1197">
        <v>1090</v>
      </c>
      <c r="P1197">
        <v>16.7</v>
      </c>
      <c r="Q1197">
        <v>7</v>
      </c>
      <c r="R1197" s="7" t="str">
        <f>IF(AllData[[#This Row],[Nitrate (PPM)]]&gt;2, "Very high", IF(AllData[[#This Row],[Nitrate (PPM)]]&gt;1, "High", IF(AllData[[#This Row],[Nitrate (PPM)]]&gt;0.5, "Some evidence", IF(AllData[[#This Row],[Nitrate (PPM)]]&gt;=0, "No evidence"))))</f>
        <v>Very high</v>
      </c>
      <c r="S1197" s="4">
        <v>1.08</v>
      </c>
      <c r="T1197" s="7" t="str">
        <f>IF(AllData[[#This Row],[Phosphate (PPM)]]&gt;0.5, "Very high", IF(AllData[[#This Row],[Phosphate (PPM)]]&gt;0.1, "High", IF(AllData[[#This Row],[Phosphate (PPM)]]&gt;0.05, "Some evidence", IF(AllData[[#This Row],[Phosphate (PPM)]]&lt;=0.05, "No Evidence", ""))))</f>
        <v>Very high</v>
      </c>
      <c r="U1197">
        <v>0</v>
      </c>
    </row>
    <row r="1198" spans="1:22" x14ac:dyDescent="0.25">
      <c r="A1198" t="s">
        <v>1708</v>
      </c>
      <c r="B1198" s="2">
        <v>45526</v>
      </c>
      <c r="C1198" s="2" t="str" cm="1">
        <f t="array" ref="C11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8">
        <f>YEAR(AllData[[#This Row],[Date]])</f>
        <v>2024</v>
      </c>
      <c r="E1198" s="1">
        <v>0.52083333333333337</v>
      </c>
      <c r="F1198" s="2" t="str">
        <f>IF(AND(AllData[[#This Row],[Time]]&lt;0.5, AllData[[#This Row],[Time]]&gt;0.17)=TRUE, "Morning", IF(AND(AllData[[#This Row],[Time]]&lt;0.75, AllData[[#This Row],[Time]]&gt;=0.5)=TRUE, "Afternoon", IF(AND(AllData[[#This Row],[Time]]&lt;1, AllData[[#This Row],[Time]]&gt;=0.75)=TRUE, "Evening", "Night")))</f>
        <v>Afternoon</v>
      </c>
      <c r="G1198" t="str">
        <f>_xlfn.XLOOKUP(AllData[[#This Row],[Location Name]], Locations[Location Name],Locations[Group As])</f>
        <v>Stour Willington</v>
      </c>
      <c r="H1198" t="e" vm="2">
        <f>_xlfn.XLOOKUP(AllData[[#This Row],[Site Name]],LocationsKey[Site Name],LocationsKey[District])</f>
        <v>#VALUE!</v>
      </c>
      <c r="I1198" t="str">
        <f>_xlfn.XLOOKUP(AllData[[#This Row],[Site Name]],LocationsKey[Site Name],LocationsKey[Town])</f>
        <v>Willington</v>
      </c>
      <c r="J1198" t="str">
        <f>_xlfn.XLOOKUP(AllData[[#This Row],[Site Name]],LocationsKey[Site Name], LocationsKey[Waterway])</f>
        <v>Stour</v>
      </c>
      <c r="K1198" t="s">
        <v>517</v>
      </c>
      <c r="L1198">
        <v>52.053508000000001</v>
      </c>
      <c r="M1198">
        <v>-1.6203110000000001</v>
      </c>
      <c r="N1198" t="s">
        <v>23</v>
      </c>
      <c r="O1198" s="219">
        <v>633</v>
      </c>
      <c r="P1198">
        <v>16.3</v>
      </c>
      <c r="Q1198" s="219">
        <v>2</v>
      </c>
      <c r="R1198" s="7" t="str">
        <f>IF(AllData[[#This Row],[Nitrate (PPM)]]&gt;2, "Very high", IF(AllData[[#This Row],[Nitrate (PPM)]]&gt;1, "High", IF(AllData[[#This Row],[Nitrate (PPM)]]&gt;0.5, "Some evidence", IF(AllData[[#This Row],[Nitrate (PPM)]]&gt;=0, "No evidence"))))</f>
        <v>High</v>
      </c>
      <c r="S1198" s="221">
        <v>0.37</v>
      </c>
      <c r="T1198" s="7" t="str">
        <f>IF(AllData[[#This Row],[Phosphate (PPM)]]&gt;0.5, "Very high", IF(AllData[[#This Row],[Phosphate (PPM)]]&gt;0.1, "High", IF(AllData[[#This Row],[Phosphate (PPM)]]&gt;0.05, "Some evidence", IF(AllData[[#This Row],[Phosphate (PPM)]]&lt;=0.05, "No Evidence", ""))))</f>
        <v>High</v>
      </c>
      <c r="U1198">
        <v>0.5</v>
      </c>
    </row>
    <row r="1199" spans="1:22" x14ac:dyDescent="0.25">
      <c r="A1199" t="s">
        <v>1714</v>
      </c>
      <c r="B1199" s="2">
        <v>45526</v>
      </c>
      <c r="C1199" s="2" t="str" cm="1">
        <f t="array" ref="C11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9">
        <f>YEAR(AllData[[#This Row],[Date]])</f>
        <v>2024</v>
      </c>
      <c r="E1199" s="1">
        <v>0.6333333333333333</v>
      </c>
      <c r="F1199" s="2" t="str">
        <f>IF(AND(AllData[[#This Row],[Time]]&lt;0.5, AllData[[#This Row],[Time]]&gt;0.17)=TRUE, "Morning", IF(AND(AllData[[#This Row],[Time]]&lt;0.75, AllData[[#This Row],[Time]]&gt;=0.5)=TRUE, "Afternoon", IF(AND(AllData[[#This Row],[Time]]&lt;1, AllData[[#This Row],[Time]]&gt;=0.75)=TRUE, "Evening", "Night")))</f>
        <v>Afternoon</v>
      </c>
      <c r="G1199" t="str">
        <f>_xlfn.XLOOKUP(AllData[[#This Row],[Location Name]], Locations[Location Name],Locations[Group As])</f>
        <v>Carrant Mitton Bridge</v>
      </c>
      <c r="H1199" t="e" vm="1">
        <f>_xlfn.XLOOKUP(AllData[[#This Row],[Site Name]],LocationsKey[Site Name],LocationsKey[District])</f>
        <v>#VALUE!</v>
      </c>
      <c r="I1199" t="e" vm="1">
        <f>_xlfn.XLOOKUP(AllData[[#This Row],[Site Name]],LocationsKey[Site Name],LocationsKey[Town])</f>
        <v>#VALUE!</v>
      </c>
      <c r="J1199" t="str">
        <f>_xlfn.XLOOKUP(AllData[[#This Row],[Site Name]],LocationsKey[Site Name], LocationsKey[Waterway])</f>
        <v>Carrant</v>
      </c>
      <c r="K1199" t="s">
        <v>1209</v>
      </c>
      <c r="L1199">
        <v>51.999758999999997</v>
      </c>
      <c r="M1199">
        <v>-2.1411549999999999</v>
      </c>
      <c r="N1199" t="s">
        <v>23</v>
      </c>
      <c r="O1199">
        <v>656</v>
      </c>
      <c r="P1199">
        <v>18</v>
      </c>
      <c r="Q1199">
        <v>5</v>
      </c>
      <c r="R1199" s="7" t="str">
        <f>IF(AllData[[#This Row],[Nitrate (PPM)]]&gt;2, "Very high", IF(AllData[[#This Row],[Nitrate (PPM)]]&gt;1, "High", IF(AllData[[#This Row],[Nitrate (PPM)]]&gt;0.5, "Some evidence", IF(AllData[[#This Row],[Nitrate (PPM)]]&gt;=0, "No evidence"))))</f>
        <v>Very high</v>
      </c>
      <c r="S1199" s="4">
        <v>0.56999999999999995</v>
      </c>
      <c r="T1199" s="7" t="str">
        <f>IF(AllData[[#This Row],[Phosphate (PPM)]]&gt;0.5, "Very high", IF(AllData[[#This Row],[Phosphate (PPM)]]&gt;0.1, "High", IF(AllData[[#This Row],[Phosphate (PPM)]]&gt;0.05, "Some evidence", IF(AllData[[#This Row],[Phosphate (PPM)]]&lt;=0.05, "No Evidence", ""))))</f>
        <v>Very high</v>
      </c>
      <c r="U1199">
        <v>0</v>
      </c>
    </row>
    <row r="1200" spans="1:22" x14ac:dyDescent="0.25">
      <c r="A1200" t="s">
        <v>1713</v>
      </c>
      <c r="B1200" s="2">
        <v>45526</v>
      </c>
      <c r="C1200" s="2" t="str" cm="1">
        <f t="array" ref="C12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0">
        <f>YEAR(AllData[[#This Row],[Date]])</f>
        <v>2024</v>
      </c>
      <c r="E1200" s="1">
        <v>0.70833333333333337</v>
      </c>
      <c r="F1200" s="2" t="str">
        <f>IF(AND(AllData[[#This Row],[Time]]&lt;0.5, AllData[[#This Row],[Time]]&gt;0.17)=TRUE, "Morning", IF(AND(AllData[[#This Row],[Time]]&lt;0.75, AllData[[#This Row],[Time]]&gt;=0.5)=TRUE, "Afternoon", IF(AND(AllData[[#This Row],[Time]]&lt;1, AllData[[#This Row],[Time]]&gt;=0.75)=TRUE, "Evening", "Night")))</f>
        <v>Afternoon</v>
      </c>
      <c r="G1200" t="str">
        <f>_xlfn.XLOOKUP(AllData[[#This Row],[Location Name]], Locations[Location Name],Locations[Group As])</f>
        <v>Bredon Marina</v>
      </c>
      <c r="H1200" t="e" vm="1">
        <f>_xlfn.XLOOKUP(AllData[[#This Row],[Site Name]],LocationsKey[Site Name],LocationsKey[District])</f>
        <v>#VALUE!</v>
      </c>
      <c r="I1200" t="e" vm="25">
        <f>_xlfn.XLOOKUP(AllData[[#This Row],[Site Name]],LocationsKey[Site Name],LocationsKey[Town])</f>
        <v>#VALUE!</v>
      </c>
      <c r="J1200" t="str">
        <f>_xlfn.XLOOKUP(AllData[[#This Row],[Site Name]],LocationsKey[Site Name], LocationsKey[Waterway])</f>
        <v>Avon</v>
      </c>
      <c r="K1200" t="s">
        <v>1649</v>
      </c>
      <c r="L1200">
        <v>52.033413000000003</v>
      </c>
      <c r="M1200">
        <v>-2.1170689999999999</v>
      </c>
      <c r="N1200" t="s">
        <v>29</v>
      </c>
      <c r="O1200">
        <v>9070</v>
      </c>
      <c r="P1200">
        <v>20.5</v>
      </c>
      <c r="Q1200">
        <v>10</v>
      </c>
      <c r="R1200" s="7" t="str">
        <f>IF(AllData[[#This Row],[Nitrate (PPM)]]&gt;2, "Very high", IF(AllData[[#This Row],[Nitrate (PPM)]]&gt;1, "High", IF(AllData[[#This Row],[Nitrate (PPM)]]&gt;0.5, "Some evidence", IF(AllData[[#This Row],[Nitrate (PPM)]]&gt;=0, "No evidence"))))</f>
        <v>Very high</v>
      </c>
      <c r="S1200" s="4">
        <v>1.04</v>
      </c>
      <c r="T1200" s="7" t="str">
        <f>IF(AllData[[#This Row],[Phosphate (PPM)]]&gt;0.5, "Very high", IF(AllData[[#This Row],[Phosphate (PPM)]]&gt;0.1, "High", IF(AllData[[#This Row],[Phosphate (PPM)]]&gt;0.05, "Some evidence", IF(AllData[[#This Row],[Phosphate (PPM)]]&lt;=0.05, "No Evidence", ""))))</f>
        <v>Very high</v>
      </c>
      <c r="U1200">
        <v>0</v>
      </c>
    </row>
    <row r="1201" spans="1:22" x14ac:dyDescent="0.25">
      <c r="A1201" t="s">
        <v>1712</v>
      </c>
      <c r="B1201" s="2">
        <v>45527</v>
      </c>
      <c r="C1201" s="2" t="str" cm="1">
        <f t="array" ref="C12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1">
        <f>YEAR(AllData[[#This Row],[Date]])</f>
        <v>2024</v>
      </c>
      <c r="E1201" s="1">
        <v>0.70138888888888884</v>
      </c>
      <c r="F1201" s="2" t="str">
        <f>IF(AND(AllData[[#This Row],[Time]]&lt;0.5, AllData[[#This Row],[Time]]&gt;0.17)=TRUE, "Morning", IF(AND(AllData[[#This Row],[Time]]&lt;0.75, AllData[[#This Row],[Time]]&gt;=0.5)=TRUE, "Afternoon", IF(AND(AllData[[#This Row],[Time]]&lt;1, AllData[[#This Row],[Time]]&gt;=0.75)=TRUE, "Evening", "Night")))</f>
        <v>Afternoon</v>
      </c>
      <c r="G1201" t="str">
        <f>_xlfn.XLOOKUP(AllData[[#This Row],[Location Name]], Locations[Location Name],Locations[Group As])</f>
        <v>Mill Bridge Peopleton</v>
      </c>
      <c r="H1201" t="e" vm="17">
        <f>_xlfn.XLOOKUP(AllData[[#This Row],[Site Name]],LocationsKey[Site Name],LocationsKey[District])</f>
        <v>#VALUE!</v>
      </c>
      <c r="I1201" t="str">
        <f>_xlfn.XLOOKUP(AllData[[#This Row],[Site Name]],LocationsKey[Site Name],LocationsKey[Town])</f>
        <v>Peopleton</v>
      </c>
      <c r="J1201" t="str">
        <f>_xlfn.XLOOKUP(AllData[[#This Row],[Site Name]],LocationsKey[Site Name], LocationsKey[Waterway])</f>
        <v>Bow Brook</v>
      </c>
      <c r="K1201" t="s">
        <v>921</v>
      </c>
      <c r="L1201">
        <v>52.151685000000001</v>
      </c>
      <c r="M1201">
        <v>-2.0962909999999999</v>
      </c>
      <c r="N1201" t="s">
        <v>29</v>
      </c>
      <c r="O1201">
        <v>1110</v>
      </c>
      <c r="P1201">
        <v>17.5</v>
      </c>
      <c r="Q1201">
        <v>5</v>
      </c>
      <c r="R1201" s="7" t="str">
        <f>IF(AllData[[#This Row],[Nitrate (PPM)]]&gt;2, "Very high", IF(AllData[[#This Row],[Nitrate (PPM)]]&gt;1, "High", IF(AllData[[#This Row],[Nitrate (PPM)]]&gt;0.5, "Some evidence", IF(AllData[[#This Row],[Nitrate (PPM)]]&gt;=0, "No evidence"))))</f>
        <v>Very high</v>
      </c>
      <c r="S1201" s="4">
        <v>0.2</v>
      </c>
      <c r="T1201" s="7" t="str">
        <f>IF(AllData[[#This Row],[Phosphate (PPM)]]&gt;0.5, "Very high", IF(AllData[[#This Row],[Phosphate (PPM)]]&gt;0.1, "High", IF(AllData[[#This Row],[Phosphate (PPM)]]&gt;0.05, "Some evidence", IF(AllData[[#This Row],[Phosphate (PPM)]]&lt;=0.05, "No Evidence", ""))))</f>
        <v>High</v>
      </c>
      <c r="U1201">
        <v>0.2</v>
      </c>
      <c r="V1201" t="s">
        <v>1885</v>
      </c>
    </row>
    <row r="1202" spans="1:22" x14ac:dyDescent="0.25">
      <c r="A1202" t="s">
        <v>1656</v>
      </c>
      <c r="B1202" s="2">
        <v>45527</v>
      </c>
      <c r="C1202" s="2" t="str" cm="1">
        <f t="array" ref="C12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2">
        <f>YEAR(AllData[[#This Row],[Date]])</f>
        <v>2024</v>
      </c>
      <c r="E1202" s="1">
        <v>0.73541666666666672</v>
      </c>
      <c r="F1202" s="2" t="str">
        <f>IF(AND(AllData[[#This Row],[Time]]&lt;0.5, AllData[[#This Row],[Time]]&gt;0.17)=TRUE, "Morning", IF(AND(AllData[[#This Row],[Time]]&lt;0.75, AllData[[#This Row],[Time]]&gt;=0.5)=TRUE, "Afternoon", IF(AND(AllData[[#This Row],[Time]]&lt;1, AllData[[#This Row],[Time]]&gt;=0.75)=TRUE, "Evening", "Night")))</f>
        <v>Afternoon</v>
      </c>
      <c r="G1202" t="str">
        <f>_xlfn.XLOOKUP(AllData[[#This Row],[Location Name]], Locations[Location Name],Locations[Group As])</f>
        <v>The Ford, Langley</v>
      </c>
      <c r="H1202" t="e" vm="2">
        <f>_xlfn.XLOOKUP(AllData[[#This Row],[Site Name]],LocationsKey[Site Name],LocationsKey[District])</f>
        <v>#VALUE!</v>
      </c>
      <c r="I1202" t="str">
        <f>_xlfn.XLOOKUP(AllData[[#This Row],[Site Name]],LocationsKey[Site Name],LocationsKey[Town])</f>
        <v>Langley</v>
      </c>
      <c r="J1202" t="str">
        <f>_xlfn.XLOOKUP(AllData[[#This Row],[Site Name]],LocationsKey[Site Name], LocationsKey[Waterway])</f>
        <v>Langley Ford</v>
      </c>
      <c r="K1202" t="s">
        <v>557</v>
      </c>
      <c r="N1202" t="s">
        <v>29</v>
      </c>
      <c r="O1202">
        <v>860</v>
      </c>
      <c r="P1202">
        <v>16.2</v>
      </c>
      <c r="Q1202">
        <v>5</v>
      </c>
      <c r="R1202" s="7" t="str">
        <f>IF(AllData[[#This Row],[Nitrate (PPM)]]&gt;2, "Very high", IF(AllData[[#This Row],[Nitrate (PPM)]]&gt;1, "High", IF(AllData[[#This Row],[Nitrate (PPM)]]&gt;0.5, "Some evidence", IF(AllData[[#This Row],[Nitrate (PPM)]]&gt;=0, "No evidence"))))</f>
        <v>Very high</v>
      </c>
      <c r="S1202" s="4">
        <v>0.8</v>
      </c>
      <c r="T1202" s="7" t="str">
        <f>IF(AllData[[#This Row],[Phosphate (PPM)]]&gt;0.5, "Very high", IF(AllData[[#This Row],[Phosphate (PPM)]]&gt;0.1, "High", IF(AllData[[#This Row],[Phosphate (PPM)]]&gt;0.05, "Some evidence", IF(AllData[[#This Row],[Phosphate (PPM)]]&lt;=0.05, "No Evidence", ""))))</f>
        <v>Very high</v>
      </c>
      <c r="U1202">
        <v>0.15</v>
      </c>
    </row>
    <row r="1203" spans="1:22" x14ac:dyDescent="0.25">
      <c r="A1203" t="s">
        <v>1707</v>
      </c>
      <c r="B1203" s="2">
        <v>45528</v>
      </c>
      <c r="C1203" s="2" t="str" cm="1">
        <f t="array" ref="C12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3">
        <f>YEAR(AllData[[#This Row],[Date]])</f>
        <v>2024</v>
      </c>
      <c r="E1203" s="1">
        <v>0.39652777777777776</v>
      </c>
      <c r="F1203" s="2" t="str">
        <f>IF(AND(AllData[[#This Row],[Time]]&lt;0.5, AllData[[#This Row],[Time]]&gt;0.17)=TRUE, "Morning", IF(AND(AllData[[#This Row],[Time]]&lt;0.75, AllData[[#This Row],[Time]]&gt;=0.5)=TRUE, "Afternoon", IF(AND(AllData[[#This Row],[Time]]&lt;1, AllData[[#This Row],[Time]]&gt;=0.75)=TRUE, "Evening", "Night")))</f>
        <v>Morning</v>
      </c>
      <c r="G1203" t="str">
        <f>_xlfn.XLOOKUP(AllData[[#This Row],[Location Name]], Locations[Location Name],Locations[Group As])</f>
        <v>Avon Smiths Meadow Wyre Piddle</v>
      </c>
      <c r="H1203" t="e" vm="17">
        <f>_xlfn.XLOOKUP(AllData[[#This Row],[Site Name]],LocationsKey[Site Name],LocationsKey[District])</f>
        <v>#VALUE!</v>
      </c>
      <c r="I1203" t="e" vm="20">
        <f>_xlfn.XLOOKUP(AllData[[#This Row],[Site Name]],LocationsKey[Site Name],LocationsKey[Town])</f>
        <v>#VALUE!</v>
      </c>
      <c r="J1203" t="str">
        <f>_xlfn.XLOOKUP(AllData[[#This Row],[Site Name]],LocationsKey[Site Name], LocationsKey[Waterway])</f>
        <v>Avon</v>
      </c>
      <c r="K1203" t="s">
        <v>741</v>
      </c>
      <c r="L1203">
        <v>52.122945999999999</v>
      </c>
      <c r="M1203">
        <v>-2.0573999999999999</v>
      </c>
      <c r="N1203" t="s">
        <v>23</v>
      </c>
      <c r="O1203">
        <v>1120</v>
      </c>
      <c r="P1203">
        <v>17.7</v>
      </c>
      <c r="Q1203">
        <v>10</v>
      </c>
      <c r="R1203" s="7" t="str">
        <f>IF(AllData[[#This Row],[Nitrate (PPM)]]&gt;2, "Very high", IF(AllData[[#This Row],[Nitrate (PPM)]]&gt;1, "High", IF(AllData[[#This Row],[Nitrate (PPM)]]&gt;0.5, "Some evidence", IF(AllData[[#This Row],[Nitrate (PPM)]]&gt;=0, "No evidence"))))</f>
        <v>Very high</v>
      </c>
      <c r="S1203" s="4">
        <v>0.96</v>
      </c>
      <c r="T1203" s="7" t="str">
        <f>IF(AllData[[#This Row],[Phosphate (PPM)]]&gt;0.5, "Very high", IF(AllData[[#This Row],[Phosphate (PPM)]]&gt;0.1, "High", IF(AllData[[#This Row],[Phosphate (PPM)]]&gt;0.05, "Some evidence", IF(AllData[[#This Row],[Phosphate (PPM)]]&lt;=0.05, "No Evidence", ""))))</f>
        <v>Very high</v>
      </c>
      <c r="U1203">
        <v>0.5</v>
      </c>
      <c r="V1203" t="s">
        <v>1882</v>
      </c>
    </row>
    <row r="1204" spans="1:22" x14ac:dyDescent="0.25">
      <c r="A1204" t="s">
        <v>1706</v>
      </c>
      <c r="B1204" s="2">
        <v>45528</v>
      </c>
      <c r="C1204" s="2" t="str" cm="1">
        <f t="array" ref="C12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4">
        <f>YEAR(AllData[[#This Row],[Date]])</f>
        <v>2024</v>
      </c>
      <c r="E1204" s="1">
        <v>0.46180555555555558</v>
      </c>
      <c r="F1204" s="2" t="str">
        <f>IF(AND(AllData[[#This Row],[Time]]&lt;0.5, AllData[[#This Row],[Time]]&gt;0.17)=TRUE, "Morning", IF(AND(AllData[[#This Row],[Time]]&lt;0.75, AllData[[#This Row],[Time]]&gt;=0.5)=TRUE, "Afternoon", IF(AND(AllData[[#This Row],[Time]]&lt;1, AllData[[#This Row],[Time]]&gt;=0.75)=TRUE, "Evening", "Night")))</f>
        <v>Morning</v>
      </c>
      <c r="G1204" t="str">
        <f>_xlfn.XLOOKUP(AllData[[#This Row],[Location Name]], Locations[Location Name],Locations[Group As])</f>
        <v>Piddle Brook Wyre Piddle Bridge</v>
      </c>
      <c r="H1204" t="e" vm="17">
        <f>_xlfn.XLOOKUP(AllData[[#This Row],[Site Name]],LocationsKey[Site Name],LocationsKey[District])</f>
        <v>#VALUE!</v>
      </c>
      <c r="I1204" t="e" vm="20">
        <f>_xlfn.XLOOKUP(AllData[[#This Row],[Site Name]],LocationsKey[Site Name],LocationsKey[Town])</f>
        <v>#VALUE!</v>
      </c>
      <c r="J1204" t="str">
        <f>_xlfn.XLOOKUP(AllData[[#This Row],[Site Name]],LocationsKey[Site Name], LocationsKey[Waterway])</f>
        <v>Piddle Brook</v>
      </c>
      <c r="K1204" t="s">
        <v>744</v>
      </c>
      <c r="L1204">
        <v>52.126404000000001</v>
      </c>
      <c r="M1204">
        <v>-2.0565410000000002</v>
      </c>
      <c r="N1204" t="s">
        <v>23</v>
      </c>
      <c r="O1204">
        <v>1870</v>
      </c>
      <c r="P1204">
        <v>15.4</v>
      </c>
      <c r="Q1204">
        <v>7</v>
      </c>
      <c r="R1204" s="7" t="str">
        <f>IF(AllData[[#This Row],[Nitrate (PPM)]]&gt;2, "Very high", IF(AllData[[#This Row],[Nitrate (PPM)]]&gt;1, "High", IF(AllData[[#This Row],[Nitrate (PPM)]]&gt;0.5, "Some evidence", IF(AllData[[#This Row],[Nitrate (PPM)]]&gt;=0, "No evidence"))))</f>
        <v>Very high</v>
      </c>
      <c r="S1204" s="4">
        <v>1.29</v>
      </c>
      <c r="T1204" s="7" t="str">
        <f>IF(AllData[[#This Row],[Phosphate (PPM)]]&gt;0.5, "Very high", IF(AllData[[#This Row],[Phosphate (PPM)]]&gt;0.1, "High", IF(AllData[[#This Row],[Phosphate (PPM)]]&gt;0.05, "Some evidence", IF(AllData[[#This Row],[Phosphate (PPM)]]&lt;=0.05, "No Evidence", ""))))</f>
        <v>Very high</v>
      </c>
      <c r="U1204">
        <v>0.13</v>
      </c>
      <c r="V1204" t="s">
        <v>1881</v>
      </c>
    </row>
    <row r="1205" spans="1:22" x14ac:dyDescent="0.25">
      <c r="A1205" t="s">
        <v>1705</v>
      </c>
      <c r="B1205" s="2">
        <v>45528</v>
      </c>
      <c r="C1205" s="2" t="str" cm="1">
        <f t="array" ref="C12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5">
        <f>YEAR(AllData[[#This Row],[Date]])</f>
        <v>2024</v>
      </c>
      <c r="E1205" s="1">
        <v>0.49791666666666667</v>
      </c>
      <c r="F1205" s="2" t="str">
        <f>IF(AND(AllData[[#This Row],[Time]]&lt;0.5, AllData[[#This Row],[Time]]&gt;0.17)=TRUE, "Morning", IF(AND(AllData[[#This Row],[Time]]&lt;0.75, AllData[[#This Row],[Time]]&gt;=0.5)=TRUE, "Afternoon", IF(AND(AllData[[#This Row],[Time]]&lt;1, AllData[[#This Row],[Time]]&gt;=0.75)=TRUE, "Evening", "Night")))</f>
        <v>Morning</v>
      </c>
      <c r="G1205" t="str">
        <f>_xlfn.XLOOKUP(AllData[[#This Row],[Location Name]], Locations[Location Name],Locations[Group As])</f>
        <v>Whitsun Brook. Low road, Church Lench</v>
      </c>
      <c r="H1205" t="e" vm="17">
        <f>_xlfn.XLOOKUP(AllData[[#This Row],[Site Name]],LocationsKey[Site Name],LocationsKey[District])</f>
        <v>#VALUE!</v>
      </c>
      <c r="I1205" t="e" vm="26">
        <f>_xlfn.XLOOKUP(AllData[[#This Row],[Site Name]],LocationsKey[Site Name],LocationsKey[Town])</f>
        <v>#VALUE!</v>
      </c>
      <c r="J1205" t="str">
        <f>_xlfn.XLOOKUP(AllData[[#This Row],[Site Name]],LocationsKey[Site Name], LocationsKey[Waterway])</f>
        <v>Whitsun Brook</v>
      </c>
      <c r="K1205" t="s">
        <v>1856</v>
      </c>
      <c r="L1205">
        <v>52.168410999999999</v>
      </c>
      <c r="M1205">
        <v>-1.9603710000000001</v>
      </c>
      <c r="N1205" t="s">
        <v>23</v>
      </c>
      <c r="O1205">
        <v>998</v>
      </c>
      <c r="P1205">
        <v>15.2</v>
      </c>
      <c r="Q1205">
        <v>5</v>
      </c>
      <c r="R1205" s="7" t="str">
        <f>IF(AllData[[#This Row],[Nitrate (PPM)]]&gt;2, "Very high", IF(AllData[[#This Row],[Nitrate (PPM)]]&gt;1, "High", IF(AllData[[#This Row],[Nitrate (PPM)]]&gt;0.5, "Some evidence", IF(AllData[[#This Row],[Nitrate (PPM)]]&gt;=0, "No evidence"))))</f>
        <v>Very high</v>
      </c>
      <c r="S1205" s="4">
        <v>2.5</v>
      </c>
      <c r="T1205" s="7" t="str">
        <f>IF(AllData[[#This Row],[Phosphate (PPM)]]&gt;0.5, "Very high", IF(AllData[[#This Row],[Phosphate (PPM)]]&gt;0.1, "High", IF(AllData[[#This Row],[Phosphate (PPM)]]&gt;0.05, "Some evidence", IF(AllData[[#This Row],[Phosphate (PPM)]]&lt;=0.05, "No Evidence", ""))))</f>
        <v>Very high</v>
      </c>
      <c r="U1205">
        <v>0.13</v>
      </c>
      <c r="V1205" t="s">
        <v>1880</v>
      </c>
    </row>
    <row r="1206" spans="1:22" x14ac:dyDescent="0.25">
      <c r="A1206" t="s">
        <v>1704</v>
      </c>
      <c r="B1206" s="2">
        <v>45528</v>
      </c>
      <c r="C1206" s="2" t="str" cm="1">
        <f t="array" ref="C12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6">
        <f>YEAR(AllData[[#This Row],[Date]])</f>
        <v>2024</v>
      </c>
      <c r="E1206" s="1">
        <v>0.50972222222222219</v>
      </c>
      <c r="F1206" s="2" t="str">
        <f>IF(AND(AllData[[#This Row],[Time]]&lt;0.5, AllData[[#This Row],[Time]]&gt;0.17)=TRUE, "Morning", IF(AND(AllData[[#This Row],[Time]]&lt;0.75, AllData[[#This Row],[Time]]&gt;=0.5)=TRUE, "Afternoon", IF(AND(AllData[[#This Row],[Time]]&lt;1, AllData[[#This Row],[Time]]&gt;=0.75)=TRUE, "Evening", "Night")))</f>
        <v>Afternoon</v>
      </c>
      <c r="G1206" t="str">
        <f>_xlfn.XLOOKUP(AllData[[#This Row],[Location Name]], Locations[Location Name],Locations[Group As])</f>
        <v>Whitsun Brook Atch Lench Road, Church Lench.</v>
      </c>
      <c r="H1206" t="e" vm="17">
        <f>_xlfn.XLOOKUP(AllData[[#This Row],[Site Name]],LocationsKey[Site Name],LocationsKey[District])</f>
        <v>#VALUE!</v>
      </c>
      <c r="I1206" t="e" vm="26">
        <f>_xlfn.XLOOKUP(AllData[[#This Row],[Site Name]],LocationsKey[Site Name],LocationsKey[Town])</f>
        <v>#VALUE!</v>
      </c>
      <c r="J1206" t="str">
        <f>_xlfn.XLOOKUP(AllData[[#This Row],[Site Name]],LocationsKey[Site Name], LocationsKey[Waterway])</f>
        <v>Whitsun Brook</v>
      </c>
      <c r="K1206" t="s">
        <v>1855</v>
      </c>
      <c r="L1206">
        <v>52.158673</v>
      </c>
      <c r="M1206">
        <v>-1.957384</v>
      </c>
      <c r="N1206" t="s">
        <v>23</v>
      </c>
      <c r="O1206">
        <v>879</v>
      </c>
      <c r="P1206">
        <v>16.8</v>
      </c>
      <c r="Q1206">
        <v>2</v>
      </c>
      <c r="R1206" s="7" t="str">
        <f>IF(AllData[[#This Row],[Nitrate (PPM)]]&gt;2, "Very high", IF(AllData[[#This Row],[Nitrate (PPM)]]&gt;1, "High", IF(AllData[[#This Row],[Nitrate (PPM)]]&gt;0.5, "Some evidence", IF(AllData[[#This Row],[Nitrate (PPM)]]&gt;=0, "No evidence"))))</f>
        <v>High</v>
      </c>
      <c r="S1206" s="4">
        <v>1.48</v>
      </c>
      <c r="T1206" s="7" t="str">
        <f>IF(AllData[[#This Row],[Phosphate (PPM)]]&gt;0.5, "Very high", IF(AllData[[#This Row],[Phosphate (PPM)]]&gt;0.1, "High", IF(AllData[[#This Row],[Phosphate (PPM)]]&gt;0.05, "Some evidence", IF(AllData[[#This Row],[Phosphate (PPM)]]&lt;=0.05, "No Evidence", ""))))</f>
        <v>Very high</v>
      </c>
      <c r="U1206">
        <v>0.13</v>
      </c>
      <c r="V1206" t="s">
        <v>1879</v>
      </c>
    </row>
    <row r="1207" spans="1:22" x14ac:dyDescent="0.25">
      <c r="A1207" t="s">
        <v>1699</v>
      </c>
      <c r="B1207" s="2">
        <v>45528</v>
      </c>
      <c r="C1207" s="2" t="str" cm="1">
        <f t="array" ref="C12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7">
        <f>YEAR(AllData[[#This Row],[Date]])</f>
        <v>2024</v>
      </c>
      <c r="E1207" s="1">
        <v>0.64583333333333337</v>
      </c>
      <c r="F1207" s="2" t="str">
        <f>IF(AND(AllData[[#This Row],[Time]]&lt;0.5, AllData[[#This Row],[Time]]&gt;0.17)=TRUE, "Morning", IF(AND(AllData[[#This Row],[Time]]&lt;0.75, AllData[[#This Row],[Time]]&gt;=0.5)=TRUE, "Afternoon", IF(AND(AllData[[#This Row],[Time]]&lt;1, AllData[[#This Row],[Time]]&gt;=0.75)=TRUE, "Evening", "Night")))</f>
        <v>Afternoon</v>
      </c>
      <c r="G1207" t="str">
        <f>_xlfn.XLOOKUP(AllData[[#This Row],[Location Name]], Locations[Location Name],Locations[Group As])</f>
        <v>Carrant Bredon Rd</v>
      </c>
      <c r="H1207" t="e" vm="1">
        <f>_xlfn.XLOOKUP(AllData[[#This Row],[Site Name]],LocationsKey[Site Name],LocationsKey[District])</f>
        <v>#VALUE!</v>
      </c>
      <c r="I1207" t="e" vm="1">
        <f>_xlfn.XLOOKUP(AllData[[#This Row],[Site Name]],LocationsKey[Site Name],LocationsKey[Town])</f>
        <v>#VALUE!</v>
      </c>
      <c r="J1207" t="str">
        <f>_xlfn.XLOOKUP(AllData[[#This Row],[Site Name]],LocationsKey[Site Name], LocationsKey[Waterway])</f>
        <v>Carrant</v>
      </c>
      <c r="K1207" t="s">
        <v>600</v>
      </c>
      <c r="L1207">
        <v>51.996153999999997</v>
      </c>
      <c r="M1207">
        <v>-2.1560269999999999</v>
      </c>
      <c r="N1207" t="s">
        <v>23</v>
      </c>
      <c r="O1207">
        <v>690</v>
      </c>
      <c r="P1207">
        <v>17.399999999999999</v>
      </c>
      <c r="Q1207">
        <v>6</v>
      </c>
      <c r="R1207" s="7" t="str">
        <f>IF(AllData[[#This Row],[Nitrate (PPM)]]&gt;2, "Very high", IF(AllData[[#This Row],[Nitrate (PPM)]]&gt;1, "High", IF(AllData[[#This Row],[Nitrate (PPM)]]&gt;0.5, "Some evidence", IF(AllData[[#This Row],[Nitrate (PPM)]]&gt;=0, "No evidence"))))</f>
        <v>Very high</v>
      </c>
      <c r="S1207" s="4">
        <v>0.56000000000000005</v>
      </c>
      <c r="T1207" s="7" t="str">
        <f>IF(AllData[[#This Row],[Phosphate (PPM)]]&gt;0.5, "Very high", IF(AllData[[#This Row],[Phosphate (PPM)]]&gt;0.1, "High", IF(AllData[[#This Row],[Phosphate (PPM)]]&gt;0.05, "Some evidence", IF(AllData[[#This Row],[Phosphate (PPM)]]&lt;=0.05, "No Evidence", ""))))</f>
        <v>Very high</v>
      </c>
      <c r="U1207">
        <v>0</v>
      </c>
      <c r="V1207" t="s">
        <v>231</v>
      </c>
    </row>
    <row r="1208" spans="1:22" x14ac:dyDescent="0.25">
      <c r="A1208" t="s">
        <v>1703</v>
      </c>
      <c r="B1208" s="2">
        <v>45528</v>
      </c>
      <c r="C1208" s="2" t="str" cm="1">
        <f t="array" ref="C12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8">
        <f>YEAR(AllData[[#This Row],[Date]])</f>
        <v>2024</v>
      </c>
      <c r="E1208" s="1">
        <v>0.66319444444444442</v>
      </c>
      <c r="F1208" s="2" t="str">
        <f>IF(AND(AllData[[#This Row],[Time]]&lt;0.5, AllData[[#This Row],[Time]]&gt;0.17)=TRUE, "Morning", IF(AND(AllData[[#This Row],[Time]]&lt;0.75, AllData[[#This Row],[Time]]&gt;=0.5)=TRUE, "Afternoon", IF(AND(AllData[[#This Row],[Time]]&lt;1, AllData[[#This Row],[Time]]&gt;=0.75)=TRUE, "Evening", "Night")))</f>
        <v>Afternoon</v>
      </c>
      <c r="G1208" t="str">
        <f>_xlfn.XLOOKUP(AllData[[#This Row],[Location Name]], Locations[Location Name],Locations[Group As])</f>
        <v>Preston-on-Stour River Bridge</v>
      </c>
      <c r="H1208" t="e" vm="2">
        <f>_xlfn.XLOOKUP(AllData[[#This Row],[Site Name]],LocationsKey[Site Name],LocationsKey[District])</f>
        <v>#VALUE!</v>
      </c>
      <c r="I1208" t="e" vm="9">
        <f>_xlfn.XLOOKUP(AllData[[#This Row],[Site Name]],LocationsKey[Site Name],LocationsKey[Town])</f>
        <v>#VALUE!</v>
      </c>
      <c r="J1208" t="str">
        <f>_xlfn.XLOOKUP(AllData[[#This Row],[Site Name]],LocationsKey[Site Name], LocationsKey[Waterway])</f>
        <v>Stour</v>
      </c>
      <c r="K1208" t="s">
        <v>163</v>
      </c>
      <c r="L1208">
        <v>52.146562000000003</v>
      </c>
      <c r="M1208">
        <v>-1.6999249999999999</v>
      </c>
      <c r="N1208" t="s">
        <v>29</v>
      </c>
      <c r="O1208">
        <v>711</v>
      </c>
      <c r="P1208">
        <v>17.3</v>
      </c>
      <c r="Q1208">
        <v>4</v>
      </c>
      <c r="R1208" s="7" t="str">
        <f>IF(AllData[[#This Row],[Nitrate (PPM)]]&gt;2, "Very high", IF(AllData[[#This Row],[Nitrate (PPM)]]&gt;1, "High", IF(AllData[[#This Row],[Nitrate (PPM)]]&gt;0.5, "Some evidence", IF(AllData[[#This Row],[Nitrate (PPM)]]&gt;=0, "No evidence"))))</f>
        <v>Very high</v>
      </c>
      <c r="S1208" s="4">
        <v>0.79</v>
      </c>
      <c r="T1208" s="7" t="str">
        <f>IF(AllData[[#This Row],[Phosphate (PPM)]]&gt;0.5, "Very high", IF(AllData[[#This Row],[Phosphate (PPM)]]&gt;0.1, "High", IF(AllData[[#This Row],[Phosphate (PPM)]]&gt;0.05, "Some evidence", IF(AllData[[#This Row],[Phosphate (PPM)]]&lt;=0.05, "No Evidence", ""))))</f>
        <v>Very high</v>
      </c>
      <c r="U1208">
        <v>1</v>
      </c>
      <c r="V1208" t="s">
        <v>1878</v>
      </c>
    </row>
    <row r="1209" spans="1:22" x14ac:dyDescent="0.25">
      <c r="A1209" t="s">
        <v>1702</v>
      </c>
      <c r="B1209" s="2">
        <v>45528</v>
      </c>
      <c r="C1209" s="2" t="str" cm="1">
        <f t="array" ref="C12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9">
        <f>YEAR(AllData[[#This Row],[Date]])</f>
        <v>2024</v>
      </c>
      <c r="E1209" s="1">
        <v>0.6743055555555556</v>
      </c>
      <c r="F1209" s="2" t="str">
        <f>IF(AND(AllData[[#This Row],[Time]]&lt;0.5, AllData[[#This Row],[Time]]&gt;0.17)=TRUE, "Morning", IF(AND(AllData[[#This Row],[Time]]&lt;0.75, AllData[[#This Row],[Time]]&gt;=0.5)=TRUE, "Afternoon", IF(AND(AllData[[#This Row],[Time]]&lt;1, AllData[[#This Row],[Time]]&gt;=0.75)=TRUE, "Evening", "Night")))</f>
        <v>Afternoon</v>
      </c>
      <c r="G1209" t="str">
        <f>_xlfn.XLOOKUP(AllData[[#This Row],[Location Name]], Locations[Location Name],Locations[Group As])</f>
        <v>Site 1  :  Middle Street</v>
      </c>
      <c r="H1209" t="e" vm="2">
        <f>_xlfn.XLOOKUP(AllData[[#This Row],[Site Name]],LocationsKey[Site Name],LocationsKey[District])</f>
        <v>#VALUE!</v>
      </c>
      <c r="I1209" t="e" vm="11">
        <f>_xlfn.XLOOKUP(AllData[[#This Row],[Site Name]],LocationsKey[Site Name],LocationsKey[Town])</f>
        <v>#VALUE!</v>
      </c>
      <c r="J1209" t="str">
        <f>_xlfn.XLOOKUP(AllData[[#This Row],[Site Name]],LocationsKey[Site Name], LocationsKey[Waterway])</f>
        <v>Fosseway Brook</v>
      </c>
      <c r="K1209" t="s">
        <v>1373</v>
      </c>
      <c r="L1209">
        <v>52.090077000000001</v>
      </c>
      <c r="M1209">
        <v>-1.6927319999999999</v>
      </c>
      <c r="N1209" t="s">
        <v>66</v>
      </c>
      <c r="O1209">
        <v>679</v>
      </c>
      <c r="P1209">
        <v>18.8</v>
      </c>
      <c r="Q1209">
        <v>0</v>
      </c>
      <c r="R1209" s="7" t="str">
        <f>IF(AllData[[#This Row],[Nitrate (PPM)]]&gt;2, "Very high", IF(AllData[[#This Row],[Nitrate (PPM)]]&gt;1, "High", IF(AllData[[#This Row],[Nitrate (PPM)]]&gt;0.5, "Some evidence", IF(AllData[[#This Row],[Nitrate (PPM)]]&gt;=0, "No evidence"))))</f>
        <v>No evidence</v>
      </c>
      <c r="S1209" s="4">
        <v>0.33</v>
      </c>
      <c r="T1209" s="7" t="str">
        <f>IF(AllData[[#This Row],[Phosphate (PPM)]]&gt;0.5, "Very high", IF(AllData[[#This Row],[Phosphate (PPM)]]&gt;0.1, "High", IF(AllData[[#This Row],[Phosphate (PPM)]]&gt;0.05, "Some evidence", IF(AllData[[#This Row],[Phosphate (PPM)]]&lt;=0.05, "No Evidence", ""))))</f>
        <v>High</v>
      </c>
      <c r="U1209">
        <v>0.04</v>
      </c>
      <c r="V1209" t="s">
        <v>1877</v>
      </c>
    </row>
    <row r="1210" spans="1:22" x14ac:dyDescent="0.25">
      <c r="A1210" t="s">
        <v>1701</v>
      </c>
      <c r="B1210" s="2">
        <v>45528</v>
      </c>
      <c r="C1210" s="2" t="str" cm="1">
        <f t="array" ref="C12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0">
        <f>YEAR(AllData[[#This Row],[Date]])</f>
        <v>2024</v>
      </c>
      <c r="E1210" s="1">
        <v>0.68541666666666667</v>
      </c>
      <c r="F1210" s="2" t="str">
        <f>IF(AND(AllData[[#This Row],[Time]]&lt;0.5, AllData[[#This Row],[Time]]&gt;0.17)=TRUE, "Morning", IF(AND(AllData[[#This Row],[Time]]&lt;0.75, AllData[[#This Row],[Time]]&gt;=0.5)=TRUE, "Afternoon", IF(AND(AllData[[#This Row],[Time]]&lt;1, AllData[[#This Row],[Time]]&gt;=0.75)=TRUE, "Evening", "Night")))</f>
        <v>Afternoon</v>
      </c>
      <c r="G1210" t="str">
        <f>_xlfn.XLOOKUP(AllData[[#This Row],[Location Name]], Locations[Location Name],Locations[Group As])</f>
        <v>Site 2  :  Cross Leys culvert</v>
      </c>
      <c r="H1210" t="e" vm="2">
        <f>_xlfn.XLOOKUP(AllData[[#This Row],[Site Name]],LocationsKey[Site Name],LocationsKey[District])</f>
        <v>#VALUE!</v>
      </c>
      <c r="I1210" t="e" vm="11">
        <f>_xlfn.XLOOKUP(AllData[[#This Row],[Site Name]],LocationsKey[Site Name],LocationsKey[Town])</f>
        <v>#VALUE!</v>
      </c>
      <c r="J1210" t="str">
        <f>_xlfn.XLOOKUP(AllData[[#This Row],[Site Name]],LocationsKey[Site Name], LocationsKey[Waterway])</f>
        <v>Fosseway Brook</v>
      </c>
      <c r="K1210" t="s">
        <v>1854</v>
      </c>
      <c r="L1210">
        <v>52.093049000000001</v>
      </c>
      <c r="M1210">
        <v>-1.686329</v>
      </c>
      <c r="N1210" t="s">
        <v>66</v>
      </c>
      <c r="O1210">
        <v>572</v>
      </c>
      <c r="P1210">
        <v>17.100000000000001</v>
      </c>
      <c r="Q1210">
        <v>2</v>
      </c>
      <c r="R1210" s="7" t="str">
        <f>IF(AllData[[#This Row],[Nitrate (PPM)]]&gt;2, "Very high", IF(AllData[[#This Row],[Nitrate (PPM)]]&gt;1, "High", IF(AllData[[#This Row],[Nitrate (PPM)]]&gt;0.5, "Some evidence", IF(AllData[[#This Row],[Nitrate (PPM)]]&gt;=0, "No evidence"))))</f>
        <v>High</v>
      </c>
      <c r="S1210" s="4">
        <v>0.83</v>
      </c>
      <c r="T1210" s="7" t="str">
        <f>IF(AllData[[#This Row],[Phosphate (PPM)]]&gt;0.5, "Very high", IF(AllData[[#This Row],[Phosphate (PPM)]]&gt;0.1, "High", IF(AllData[[#This Row],[Phosphate (PPM)]]&gt;0.05, "Some evidence", IF(AllData[[#This Row],[Phosphate (PPM)]]&lt;=0.05, "No Evidence", ""))))</f>
        <v>Very high</v>
      </c>
      <c r="U1210">
        <v>0.1</v>
      </c>
    </row>
    <row r="1211" spans="1:22" x14ac:dyDescent="0.25">
      <c r="A1211" t="s">
        <v>1700</v>
      </c>
      <c r="B1211" s="2">
        <v>45528</v>
      </c>
      <c r="C1211" s="2" t="str" cm="1">
        <f t="array" ref="C12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1">
        <f>YEAR(AllData[[#This Row],[Date]])</f>
        <v>2024</v>
      </c>
      <c r="E1211" s="1">
        <v>0.69374999999999998</v>
      </c>
      <c r="F1211" s="2" t="str">
        <f>IF(AND(AllData[[#This Row],[Time]]&lt;0.5, AllData[[#This Row],[Time]]&gt;0.17)=TRUE, "Morning", IF(AND(AllData[[#This Row],[Time]]&lt;0.75, AllData[[#This Row],[Time]]&gt;=0.5)=TRUE, "Afternoon", IF(AND(AllData[[#This Row],[Time]]&lt;1, AllData[[#This Row],[Time]]&gt;=0.75)=TRUE, "Evening", "Night")))</f>
        <v>Afternoon</v>
      </c>
      <c r="G1211" t="str">
        <f>_xlfn.XLOOKUP(AllData[[#This Row],[Location Name]], Locations[Location Name],Locations[Group As])</f>
        <v>Site 3  :  Severn Trent Water processing plant outflow</v>
      </c>
      <c r="H1211" t="e" vm="2">
        <f>_xlfn.XLOOKUP(AllData[[#This Row],[Site Name]],LocationsKey[Site Name],LocationsKey[District])</f>
        <v>#VALUE!</v>
      </c>
      <c r="I1211" t="e" vm="11">
        <f>_xlfn.XLOOKUP(AllData[[#This Row],[Site Name]],LocationsKey[Site Name],LocationsKey[Town])</f>
        <v>#VALUE!</v>
      </c>
      <c r="J1211" t="str">
        <f>_xlfn.XLOOKUP(AllData[[#This Row],[Site Name]],LocationsKey[Site Name], LocationsKey[Waterway])</f>
        <v>Fosseway Brook</v>
      </c>
      <c r="K1211" t="s">
        <v>1853</v>
      </c>
      <c r="L1211">
        <v>52.082183000000001</v>
      </c>
      <c r="M1211">
        <v>-1.6408750000000001</v>
      </c>
      <c r="N1211" t="s">
        <v>29</v>
      </c>
      <c r="O1211">
        <v>921</v>
      </c>
      <c r="P1211">
        <v>17.8</v>
      </c>
      <c r="Q1211">
        <v>10</v>
      </c>
      <c r="R1211" s="7" t="str">
        <f>IF(AllData[[#This Row],[Nitrate (PPM)]]&gt;2, "Very high", IF(AllData[[#This Row],[Nitrate (PPM)]]&gt;1, "High", IF(AllData[[#This Row],[Nitrate (PPM)]]&gt;0.5, "Some evidence", IF(AllData[[#This Row],[Nitrate (PPM)]]&gt;=0, "No evidence"))))</f>
        <v>Very high</v>
      </c>
      <c r="S1211" s="4">
        <v>2.5</v>
      </c>
      <c r="T1211" s="7" t="str">
        <f>IF(AllData[[#This Row],[Phosphate (PPM)]]&gt;0.5, "Very high", IF(AllData[[#This Row],[Phosphate (PPM)]]&gt;0.1, "High", IF(AllData[[#This Row],[Phosphate (PPM)]]&gt;0.05, "Some evidence", IF(AllData[[#This Row],[Phosphate (PPM)]]&lt;=0.05, "No Evidence", ""))))</f>
        <v>Very high</v>
      </c>
      <c r="U1211">
        <v>0.15</v>
      </c>
    </row>
    <row r="1212" spans="1:22" x14ac:dyDescent="0.25">
      <c r="A1212" t="s">
        <v>1684</v>
      </c>
      <c r="B1212" s="2">
        <v>45529</v>
      </c>
      <c r="C1212" s="2" t="str" cm="1">
        <f t="array" ref="C12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2">
        <f>YEAR(AllData[[#This Row],[Date]])</f>
        <v>2024</v>
      </c>
      <c r="E1212" s="1">
        <v>0.38541666666666669</v>
      </c>
      <c r="F1212" s="2" t="str">
        <f>IF(AND(AllData[[#This Row],[Time]]&lt;0.5, AllData[[#This Row],[Time]]&gt;0.17)=TRUE, "Morning", IF(AND(AllData[[#This Row],[Time]]&lt;0.75, AllData[[#This Row],[Time]]&gt;=0.5)=TRUE, "Afternoon", IF(AND(AllData[[#This Row],[Time]]&lt;1, AllData[[#This Row],[Time]]&gt;=0.75)=TRUE, "Evening", "Night")))</f>
        <v>Morning</v>
      </c>
      <c r="G1212" t="str">
        <f>_xlfn.XLOOKUP(AllData[[#This Row],[Location Name]], Locations[Location Name],Locations[Group As])</f>
        <v>Sherbourne Brook 1</v>
      </c>
      <c r="H1212" t="e" vm="2">
        <f>_xlfn.XLOOKUP(AllData[[#This Row],[Site Name]],LocationsKey[Site Name],LocationsKey[District])</f>
        <v>#VALUE!</v>
      </c>
      <c r="I1212" t="e" vm="16">
        <f>_xlfn.XLOOKUP(AllData[[#This Row],[Site Name]],LocationsKey[Site Name],LocationsKey[Town])</f>
        <v>#VALUE!</v>
      </c>
      <c r="J1212" t="str">
        <f>_xlfn.XLOOKUP(AllData[[#This Row],[Site Name]],LocationsKey[Site Name], LocationsKey[Waterway])</f>
        <v>Sherbourne Brook</v>
      </c>
      <c r="K1212" t="s">
        <v>570</v>
      </c>
      <c r="L1212">
        <v>52.252499999999998</v>
      </c>
      <c r="M1212">
        <v>-1.6685000000000001</v>
      </c>
      <c r="N1212" t="s">
        <v>23</v>
      </c>
      <c r="O1212">
        <v>1110</v>
      </c>
      <c r="P1212">
        <v>14</v>
      </c>
      <c r="Q1212">
        <v>10</v>
      </c>
      <c r="R1212" s="7" t="str">
        <f>IF(AllData[[#This Row],[Nitrate (PPM)]]&gt;2, "Very high", IF(AllData[[#This Row],[Nitrate (PPM)]]&gt;1, "High", IF(AllData[[#This Row],[Nitrate (PPM)]]&gt;0.5, "Some evidence", IF(AllData[[#This Row],[Nitrate (PPM)]]&gt;=0, "No evidence"))))</f>
        <v>Very high</v>
      </c>
      <c r="S1212" s="4">
        <v>0.26</v>
      </c>
      <c r="T1212" s="7" t="str">
        <f>IF(AllData[[#This Row],[Phosphate (PPM)]]&gt;0.5, "Very high", IF(AllData[[#This Row],[Phosphate (PPM)]]&gt;0.1, "High", IF(AllData[[#This Row],[Phosphate (PPM)]]&gt;0.05, "Some evidence", IF(AllData[[#This Row],[Phosphate (PPM)]]&lt;=0.05, "No Evidence", ""))))</f>
        <v>High</v>
      </c>
      <c r="U1212">
        <v>0.15</v>
      </c>
    </row>
    <row r="1213" spans="1:22" x14ac:dyDescent="0.25">
      <c r="A1213" t="s">
        <v>1683</v>
      </c>
      <c r="B1213" s="2">
        <v>45529</v>
      </c>
      <c r="C1213" s="2" t="str" cm="1">
        <f t="array" ref="C12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3">
        <f>YEAR(AllData[[#This Row],[Date]])</f>
        <v>2024</v>
      </c>
      <c r="E1213" s="1">
        <v>0.39583333333333331</v>
      </c>
      <c r="F1213" s="2" t="str">
        <f>IF(AND(AllData[[#This Row],[Time]]&lt;0.5, AllData[[#This Row],[Time]]&gt;0.17)=TRUE, "Morning", IF(AND(AllData[[#This Row],[Time]]&lt;0.75, AllData[[#This Row],[Time]]&gt;=0.5)=TRUE, "Afternoon", IF(AND(AllData[[#This Row],[Time]]&lt;1, AllData[[#This Row],[Time]]&gt;=0.75)=TRUE, "Evening", "Night")))</f>
        <v>Morning</v>
      </c>
      <c r="G1213" t="str">
        <f>_xlfn.XLOOKUP(AllData[[#This Row],[Location Name]], Locations[Location Name],Locations[Group As])</f>
        <v>Bell Brook 1</v>
      </c>
      <c r="H1213" t="e" vm="2">
        <f>_xlfn.XLOOKUP(AllData[[#This Row],[Site Name]],LocationsKey[Site Name],LocationsKey[District])</f>
        <v>#VALUE!</v>
      </c>
      <c r="I1213" t="e" vm="15">
        <f>_xlfn.XLOOKUP(AllData[[#This Row],[Site Name]],LocationsKey[Site Name],LocationsKey[Town])</f>
        <v>#VALUE!</v>
      </c>
      <c r="J1213" t="str">
        <f>_xlfn.XLOOKUP(AllData[[#This Row],[Site Name]],LocationsKey[Site Name], LocationsKey[Waterway])</f>
        <v>Bell Brook</v>
      </c>
      <c r="K1213" t="s">
        <v>534</v>
      </c>
      <c r="L1213">
        <v>52.244900000000001</v>
      </c>
      <c r="M1213">
        <v>-1.6617</v>
      </c>
      <c r="N1213" t="s">
        <v>23</v>
      </c>
      <c r="O1213">
        <v>887</v>
      </c>
      <c r="P1213">
        <v>14.1</v>
      </c>
      <c r="Q1213">
        <v>20</v>
      </c>
      <c r="R1213" s="7" t="str">
        <f>IF(AllData[[#This Row],[Nitrate (PPM)]]&gt;2, "Very high", IF(AllData[[#This Row],[Nitrate (PPM)]]&gt;1, "High", IF(AllData[[#This Row],[Nitrate (PPM)]]&gt;0.5, "Some evidence", IF(AllData[[#This Row],[Nitrate (PPM)]]&gt;=0, "No evidence"))))</f>
        <v>Very high</v>
      </c>
      <c r="S1213" s="4">
        <v>0.73</v>
      </c>
      <c r="T1213" s="7" t="str">
        <f>IF(AllData[[#This Row],[Phosphate (PPM)]]&gt;0.5, "Very high", IF(AllData[[#This Row],[Phosphate (PPM)]]&gt;0.1, "High", IF(AllData[[#This Row],[Phosphate (PPM)]]&gt;0.05, "Some evidence", IF(AllData[[#This Row],[Phosphate (PPM)]]&lt;=0.05, "No Evidence", ""))))</f>
        <v>Very high</v>
      </c>
      <c r="U1213">
        <v>0.15</v>
      </c>
    </row>
    <row r="1214" spans="1:22" x14ac:dyDescent="0.25">
      <c r="A1214" t="s">
        <v>1667</v>
      </c>
      <c r="B1214" s="2">
        <v>45529</v>
      </c>
      <c r="C1214" s="2" t="str" cm="1">
        <f t="array" ref="C12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4">
        <f>YEAR(AllData[[#This Row],[Date]])</f>
        <v>2024</v>
      </c>
      <c r="E1214" s="1">
        <v>0.41875000000000001</v>
      </c>
      <c r="F1214" s="2" t="str">
        <f>IF(AND(AllData[[#This Row],[Time]]&lt;0.5, AllData[[#This Row],[Time]]&gt;0.17)=TRUE, "Morning", IF(AND(AllData[[#This Row],[Time]]&lt;0.75, AllData[[#This Row],[Time]]&gt;=0.5)=TRUE, "Afternoon", IF(AND(AllData[[#This Row],[Time]]&lt;1, AllData[[#This Row],[Time]]&gt;=0.75)=TRUE, "Evening", "Night")))</f>
        <v>Morning</v>
      </c>
      <c r="G1214" t="str">
        <f>_xlfn.XLOOKUP(AllData[[#This Row],[Location Name]], Locations[Location Name],Locations[Group As])</f>
        <v>Pitch 16</v>
      </c>
      <c r="H1214" t="e" vm="2">
        <f>_xlfn.XLOOKUP(AllData[[#This Row],[Site Name]],LocationsKey[Site Name],LocationsKey[District])</f>
        <v>#VALUE!</v>
      </c>
      <c r="I1214" t="e" vm="7">
        <f>_xlfn.XLOOKUP(AllData[[#This Row],[Site Name]],LocationsKey[Site Name],LocationsKey[Town])</f>
        <v>#VALUE!</v>
      </c>
      <c r="J1214" t="str">
        <f>_xlfn.XLOOKUP(AllData[[#This Row],[Site Name]],LocationsKey[Site Name], LocationsKey[Waterway])</f>
        <v>Avon</v>
      </c>
      <c r="K1214" t="s">
        <v>69</v>
      </c>
      <c r="N1214" t="s">
        <v>29</v>
      </c>
      <c r="O1214">
        <v>875</v>
      </c>
      <c r="P1214">
        <v>22.2</v>
      </c>
      <c r="Q1214">
        <v>5</v>
      </c>
      <c r="R1214" s="7" t="str">
        <f>IF(AllData[[#This Row],[Nitrate (PPM)]]&gt;2, "Very high", IF(AllData[[#This Row],[Nitrate (PPM)]]&gt;1, "High", IF(AllData[[#This Row],[Nitrate (PPM)]]&gt;0.5, "Some evidence", IF(AllData[[#This Row],[Nitrate (PPM)]]&gt;=0, "No evidence"))))</f>
        <v>Very high</v>
      </c>
      <c r="S1214" s="4">
        <v>0.61</v>
      </c>
      <c r="T1214" s="7" t="str">
        <f>IF(AllData[[#This Row],[Phosphate (PPM)]]&gt;0.5, "Very high", IF(AllData[[#This Row],[Phosphate (PPM)]]&gt;0.1, "High", IF(AllData[[#This Row],[Phosphate (PPM)]]&gt;0.05, "Some evidence", IF(AllData[[#This Row],[Phosphate (PPM)]]&lt;=0.05, "No Evidence", ""))))</f>
        <v>Very high</v>
      </c>
      <c r="U1214">
        <v>1</v>
      </c>
    </row>
    <row r="1215" spans="1:22" x14ac:dyDescent="0.25">
      <c r="A1215" t="s">
        <v>1666</v>
      </c>
      <c r="B1215" s="2">
        <v>45529</v>
      </c>
      <c r="C1215" s="2" t="str" cm="1">
        <f t="array" ref="C12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5">
        <f>YEAR(AllData[[#This Row],[Date]])</f>
        <v>2024</v>
      </c>
      <c r="E1215" s="1">
        <v>0.4201388888888889</v>
      </c>
      <c r="F1215" s="2" t="str">
        <f>IF(AND(AllData[[#This Row],[Time]]&lt;0.5, AllData[[#This Row],[Time]]&gt;0.17)=TRUE, "Morning", IF(AND(AllData[[#This Row],[Time]]&lt;0.75, AllData[[#This Row],[Time]]&gt;=0.5)=TRUE, "Afternoon", IF(AND(AllData[[#This Row],[Time]]&lt;1, AllData[[#This Row],[Time]]&gt;=0.75)=TRUE, "Evening", "Night")))</f>
        <v>Morning</v>
      </c>
      <c r="G1215" t="str">
        <f>_xlfn.XLOOKUP(AllData[[#This Row],[Location Name]], Locations[Location Name],Locations[Group As])</f>
        <v>Chipping Campden Craves</v>
      </c>
      <c r="H1215" t="e" vm="23">
        <f>_xlfn.XLOOKUP(AllData[[#This Row],[Site Name]],LocationsKey[Site Name],LocationsKey[District])</f>
        <v>#VALUE!</v>
      </c>
      <c r="I1215" t="e" vm="24">
        <f>_xlfn.XLOOKUP(AllData[[#This Row],[Site Name]],LocationsKey[Site Name],LocationsKey[Town])</f>
        <v>#VALUE!</v>
      </c>
      <c r="J1215" t="str">
        <f>_xlfn.XLOOKUP(AllData[[#This Row],[Site Name]],LocationsKey[Site Name], LocationsKey[Waterway])</f>
        <v>Cam Brook</v>
      </c>
      <c r="K1215" t="s">
        <v>1862</v>
      </c>
      <c r="N1215" t="s">
        <v>66</v>
      </c>
      <c r="O1215">
        <v>1102</v>
      </c>
      <c r="P1215">
        <v>21.7</v>
      </c>
      <c r="Q1215">
        <v>5</v>
      </c>
      <c r="R1215" s="7" t="str">
        <f>IF(AllData[[#This Row],[Nitrate (PPM)]]&gt;2, "Very high", IF(AllData[[#This Row],[Nitrate (PPM)]]&gt;1, "High", IF(AllData[[#This Row],[Nitrate (PPM)]]&gt;0.5, "Some evidence", IF(AllData[[#This Row],[Nitrate (PPM)]]&gt;=0, "No evidence"))))</f>
        <v>Very high</v>
      </c>
      <c r="S1215" s="4">
        <v>0.44</v>
      </c>
      <c r="T1215" s="7" t="str">
        <f>IF(AllData[[#This Row],[Phosphate (PPM)]]&gt;0.5, "Very high", IF(AllData[[#This Row],[Phosphate (PPM)]]&gt;0.1, "High", IF(AllData[[#This Row],[Phosphate (PPM)]]&gt;0.05, "Some evidence", IF(AllData[[#This Row],[Phosphate (PPM)]]&lt;=0.05, "No Evidence", ""))))</f>
        <v>High</v>
      </c>
      <c r="U1215">
        <v>1</v>
      </c>
    </row>
    <row r="1216" spans="1:22" x14ac:dyDescent="0.25">
      <c r="A1216" t="s">
        <v>1698</v>
      </c>
      <c r="B1216" s="2">
        <v>45529</v>
      </c>
      <c r="C1216" s="2" t="str" cm="1">
        <f t="array" ref="C12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6">
        <f>YEAR(AllData[[#This Row],[Date]])</f>
        <v>2024</v>
      </c>
      <c r="E1216" s="1">
        <v>0.62638888888888888</v>
      </c>
      <c r="F1216" s="2" t="str">
        <f>IF(AND(AllData[[#This Row],[Time]]&lt;0.5, AllData[[#This Row],[Time]]&gt;0.17)=TRUE, "Morning", IF(AND(AllData[[#This Row],[Time]]&lt;0.75, AllData[[#This Row],[Time]]&gt;=0.5)=TRUE, "Afternoon", IF(AND(AllData[[#This Row],[Time]]&lt;1, AllData[[#This Row],[Time]]&gt;=0.75)=TRUE, "Evening", "Night")))</f>
        <v>Afternoon</v>
      </c>
      <c r="G1216" t="str">
        <f>_xlfn.XLOOKUP(AllData[[#This Row],[Location Name]], Locations[Location Name],Locations[Group As])</f>
        <v>Black Bear</v>
      </c>
      <c r="H1216" t="e" vm="1">
        <f>_xlfn.XLOOKUP(AllData[[#This Row],[Site Name]],LocationsKey[Site Name],LocationsKey[District])</f>
        <v>#VALUE!</v>
      </c>
      <c r="I1216" t="e" vm="1">
        <f>_xlfn.XLOOKUP(AllData[[#This Row],[Site Name]],LocationsKey[Site Name],LocationsKey[Town])</f>
        <v>#VALUE!</v>
      </c>
      <c r="J1216" t="str">
        <f>_xlfn.XLOOKUP(AllData[[#This Row],[Site Name]],LocationsKey[Site Name], LocationsKey[Waterway])</f>
        <v>Avon</v>
      </c>
      <c r="K1216" t="s">
        <v>567</v>
      </c>
      <c r="L1216">
        <v>51.99765</v>
      </c>
      <c r="M1216">
        <v>-2.156326</v>
      </c>
      <c r="N1216" t="s">
        <v>23</v>
      </c>
      <c r="O1216">
        <v>106</v>
      </c>
      <c r="P1216">
        <v>18.399999999999999</v>
      </c>
      <c r="Q1216">
        <v>10</v>
      </c>
      <c r="R1216" s="7" t="str">
        <f>IF(AllData[[#This Row],[Nitrate (PPM)]]&gt;2, "Very high", IF(AllData[[#This Row],[Nitrate (PPM)]]&gt;1, "High", IF(AllData[[#This Row],[Nitrate (PPM)]]&gt;0.5, "Some evidence", IF(AllData[[#This Row],[Nitrate (PPM)]]&gt;=0, "No evidence"))))</f>
        <v>Very high</v>
      </c>
      <c r="S1216" s="4">
        <v>0.9</v>
      </c>
      <c r="T1216" s="7" t="str">
        <f>IF(AllData[[#This Row],[Phosphate (PPM)]]&gt;0.5, "Very high", IF(AllData[[#This Row],[Phosphate (PPM)]]&gt;0.1, "High", IF(AllData[[#This Row],[Phosphate (PPM)]]&gt;0.05, "Some evidence", IF(AllData[[#This Row],[Phosphate (PPM)]]&lt;=0.05, "No Evidence", ""))))</f>
        <v>Very high</v>
      </c>
      <c r="U1216">
        <v>0</v>
      </c>
    </row>
    <row r="1217" spans="1:22" x14ac:dyDescent="0.25">
      <c r="A1217" t="s">
        <v>1678</v>
      </c>
      <c r="B1217" s="2">
        <v>45530</v>
      </c>
      <c r="C1217" s="2" t="str" cm="1">
        <f t="array" ref="C12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7">
        <f>YEAR(AllData[[#This Row],[Date]])</f>
        <v>2024</v>
      </c>
      <c r="E1217" s="1">
        <v>0.33333333333333331</v>
      </c>
      <c r="F1217" s="2" t="str">
        <f>IF(AND(AllData[[#This Row],[Time]]&lt;0.5, AllData[[#This Row],[Time]]&gt;0.17)=TRUE, "Morning", IF(AND(AllData[[#This Row],[Time]]&lt;0.75, AllData[[#This Row],[Time]]&gt;=0.5)=TRUE, "Afternoon", IF(AND(AllData[[#This Row],[Time]]&lt;1, AllData[[#This Row],[Time]]&gt;=0.75)=TRUE, "Evening", "Night")))</f>
        <v>Morning</v>
      </c>
      <c r="G1217" t="str">
        <f>_xlfn.XLOOKUP(AllData[[#This Row],[Location Name]], Locations[Location Name],Locations[Group As])</f>
        <v>Carrant M5 Bridge</v>
      </c>
      <c r="H1217" t="e" vm="1">
        <f>_xlfn.XLOOKUP(AllData[[#This Row],[Site Name]],LocationsKey[Site Name],LocationsKey[District])</f>
        <v>#VALUE!</v>
      </c>
      <c r="I1217" t="e" vm="1">
        <f>_xlfn.XLOOKUP(AllData[[#This Row],[Site Name]],LocationsKey[Site Name],LocationsKey[Town])</f>
        <v>#VALUE!</v>
      </c>
      <c r="J1217" t="str">
        <f>_xlfn.XLOOKUP(AllData[[#This Row],[Site Name]],LocationsKey[Site Name], LocationsKey[Waterway])</f>
        <v>Carrant</v>
      </c>
      <c r="K1217" t="s">
        <v>1015</v>
      </c>
      <c r="N1217" t="s">
        <v>23</v>
      </c>
      <c r="O1217">
        <v>518</v>
      </c>
      <c r="P1217">
        <v>17.899999999999999</v>
      </c>
      <c r="Q1217">
        <v>6</v>
      </c>
      <c r="R1217" s="7" t="str">
        <f>IF(AllData[[#This Row],[Nitrate (PPM)]]&gt;2, "Very high", IF(AllData[[#This Row],[Nitrate (PPM)]]&gt;1, "High", IF(AllData[[#This Row],[Nitrate (PPM)]]&gt;0.5, "Some evidence", IF(AllData[[#This Row],[Nitrate (PPM)]]&gt;=0, "No evidence"))))</f>
        <v>Very high</v>
      </c>
      <c r="S1217" s="4">
        <v>0.4</v>
      </c>
      <c r="T1217" s="7" t="str">
        <f>IF(AllData[[#This Row],[Phosphate (PPM)]]&gt;0.5, "Very high", IF(AllData[[#This Row],[Phosphate (PPM)]]&gt;0.1, "High", IF(AllData[[#This Row],[Phosphate (PPM)]]&gt;0.05, "Some evidence", IF(AllData[[#This Row],[Phosphate (PPM)]]&lt;=0.05, "No Evidence", ""))))</f>
        <v>High</v>
      </c>
      <c r="U1217">
        <v>0</v>
      </c>
    </row>
    <row r="1218" spans="1:22" x14ac:dyDescent="0.25">
      <c r="A1218" t="s">
        <v>1682</v>
      </c>
      <c r="B1218" s="2">
        <v>45530</v>
      </c>
      <c r="C1218" s="2" t="str" cm="1">
        <f t="array" ref="C12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8">
        <f>YEAR(AllData[[#This Row],[Date]])</f>
        <v>2024</v>
      </c>
      <c r="E1218" s="1">
        <v>0.33819444444444446</v>
      </c>
      <c r="F1218" s="2" t="str">
        <f>IF(AND(AllData[[#This Row],[Time]]&lt;0.5, AllData[[#This Row],[Time]]&gt;0.17)=TRUE, "Morning", IF(AND(AllData[[#This Row],[Time]]&lt;0.75, AllData[[#This Row],[Time]]&gt;=0.5)=TRUE, "Afternoon", IF(AND(AllData[[#This Row],[Time]]&lt;1, AllData[[#This Row],[Time]]&gt;=0.75)=TRUE, "Evening", "Night")))</f>
        <v>Morning</v>
      </c>
      <c r="G1218" t="str">
        <f>_xlfn.XLOOKUP(AllData[[#This Row],[Location Name]], Locations[Location Name],Locations[Group As])</f>
        <v>Lower Lode</v>
      </c>
      <c r="H1218" t="e" vm="1">
        <f>_xlfn.XLOOKUP(AllData[[#This Row],[Site Name]],LocationsKey[Site Name],LocationsKey[District])</f>
        <v>#VALUE!</v>
      </c>
      <c r="I1218" t="e" vm="1">
        <f>_xlfn.XLOOKUP(AllData[[#This Row],[Site Name]],LocationsKey[Site Name],LocationsKey[Town])</f>
        <v>#VALUE!</v>
      </c>
      <c r="J1218" t="str">
        <f>_xlfn.XLOOKUP(AllData[[#This Row],[Site Name]],LocationsKey[Site Name], LocationsKey[Waterway])</f>
        <v>Avon</v>
      </c>
      <c r="K1218" t="s">
        <v>592</v>
      </c>
      <c r="L1218">
        <v>51.985056999999998</v>
      </c>
      <c r="M1218">
        <v>-2.1741519999999999</v>
      </c>
      <c r="N1218" t="s">
        <v>29</v>
      </c>
      <c r="O1218">
        <v>1030</v>
      </c>
      <c r="P1218">
        <v>17.8</v>
      </c>
      <c r="Q1218">
        <v>10</v>
      </c>
      <c r="R1218" s="7" t="str">
        <f>IF(AllData[[#This Row],[Nitrate (PPM)]]&gt;2, "Very high", IF(AllData[[#This Row],[Nitrate (PPM)]]&gt;1, "High", IF(AllData[[#This Row],[Nitrate (PPM)]]&gt;0.5, "Some evidence", IF(AllData[[#This Row],[Nitrate (PPM)]]&gt;=0, "No evidence"))))</f>
        <v>Very high</v>
      </c>
      <c r="S1218" s="4">
        <v>0.82</v>
      </c>
      <c r="T1218" s="7" t="str">
        <f>IF(AllData[[#This Row],[Phosphate (PPM)]]&gt;0.5, "Very high", IF(AllData[[#This Row],[Phosphate (PPM)]]&gt;0.1, "High", IF(AllData[[#This Row],[Phosphate (PPM)]]&gt;0.05, "Some evidence", IF(AllData[[#This Row],[Phosphate (PPM)]]&lt;=0.05, "No Evidence", ""))))</f>
        <v>Very high</v>
      </c>
      <c r="U1218">
        <v>0</v>
      </c>
    </row>
    <row r="1219" spans="1:22" x14ac:dyDescent="0.25">
      <c r="A1219" t="s">
        <v>1681</v>
      </c>
      <c r="B1219" s="2">
        <v>45530</v>
      </c>
      <c r="C1219" s="2" t="str" cm="1">
        <f t="array" ref="C12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9">
        <f>YEAR(AllData[[#This Row],[Date]])</f>
        <v>2024</v>
      </c>
      <c r="E1219" s="1">
        <v>0.36458333333333331</v>
      </c>
      <c r="F1219" s="2" t="str">
        <f>IF(AND(AllData[[#This Row],[Time]]&lt;0.5, AllData[[#This Row],[Time]]&gt;0.17)=TRUE, "Morning", IF(AND(AllData[[#This Row],[Time]]&lt;0.75, AllData[[#This Row],[Time]]&gt;=0.5)=TRUE, "Afternoon", IF(AND(AllData[[#This Row],[Time]]&lt;1, AllData[[#This Row],[Time]]&gt;=0.75)=TRUE, "Evening", "Night")))</f>
        <v>Morning</v>
      </c>
      <c r="G1219" t="str">
        <f>_xlfn.XLOOKUP(AllData[[#This Row],[Location Name]], Locations[Location Name],Locations[Group As])</f>
        <v>Chipping Campden Sewage Works</v>
      </c>
      <c r="H1219" t="e" vm="23">
        <f>_xlfn.XLOOKUP(AllData[[#This Row],[Site Name]],LocationsKey[Site Name],LocationsKey[District])</f>
        <v>#VALUE!</v>
      </c>
      <c r="I1219" t="e" vm="24">
        <f>_xlfn.XLOOKUP(AllData[[#This Row],[Site Name]],LocationsKey[Site Name],LocationsKey[Town])</f>
        <v>#VALUE!</v>
      </c>
      <c r="J1219" t="str">
        <f>_xlfn.XLOOKUP(AllData[[#This Row],[Site Name]],LocationsKey[Site Name], LocationsKey[Waterway])</f>
        <v>Cam Brook</v>
      </c>
      <c r="K1219" t="s">
        <v>1474</v>
      </c>
      <c r="L1219">
        <v>52.052208999999998</v>
      </c>
      <c r="M1219">
        <v>-1.761666</v>
      </c>
      <c r="N1219" t="s">
        <v>29</v>
      </c>
      <c r="O1219">
        <v>727</v>
      </c>
      <c r="P1219">
        <v>15.8</v>
      </c>
      <c r="Q1219">
        <v>5</v>
      </c>
      <c r="R1219" s="7" t="str">
        <f>IF(AllData[[#This Row],[Nitrate (PPM)]]&gt;2, "Very high", IF(AllData[[#This Row],[Nitrate (PPM)]]&gt;1, "High", IF(AllData[[#This Row],[Nitrate (PPM)]]&gt;0.5, "Some evidence", IF(AllData[[#This Row],[Nitrate (PPM)]]&gt;=0, "No evidence"))))</f>
        <v>Very high</v>
      </c>
      <c r="S1219" s="4">
        <v>0.26</v>
      </c>
      <c r="T1219" s="7" t="str">
        <f>IF(AllData[[#This Row],[Phosphate (PPM)]]&gt;0.5, "Very high", IF(AllData[[#This Row],[Phosphate (PPM)]]&gt;0.1, "High", IF(AllData[[#This Row],[Phosphate (PPM)]]&gt;0.05, "Some evidence", IF(AllData[[#This Row],[Phosphate (PPM)]]&lt;=0.05, "No Evidence", ""))))</f>
        <v>High</v>
      </c>
      <c r="U1219">
        <v>0.23</v>
      </c>
    </row>
    <row r="1220" spans="1:22" x14ac:dyDescent="0.25">
      <c r="A1220" t="s">
        <v>1680</v>
      </c>
      <c r="B1220" s="2">
        <v>45530</v>
      </c>
      <c r="C1220" s="2" t="str" cm="1">
        <f t="array" ref="C12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0">
        <f>YEAR(AllData[[#This Row],[Date]])</f>
        <v>2024</v>
      </c>
      <c r="E1220" s="1">
        <v>0.46180555555555558</v>
      </c>
      <c r="F1220" s="2" t="str">
        <f>IF(AND(AllData[[#This Row],[Time]]&lt;0.5, AllData[[#This Row],[Time]]&gt;0.17)=TRUE, "Morning", IF(AND(AllData[[#This Row],[Time]]&lt;0.75, AllData[[#This Row],[Time]]&gt;=0.5)=TRUE, "Afternoon", IF(AND(AllData[[#This Row],[Time]]&lt;1, AllData[[#This Row],[Time]]&gt;=0.75)=TRUE, "Evening", "Night")))</f>
        <v>Morning</v>
      </c>
      <c r="G1220" t="str">
        <f>_xlfn.XLOOKUP(AllData[[#This Row],[Location Name]], Locations[Location Name],Locations[Group As])</f>
        <v>Chipping Campden Lady J Gateway</v>
      </c>
      <c r="H1220" t="e" vm="23">
        <f>_xlfn.XLOOKUP(AllData[[#This Row],[Site Name]],LocationsKey[Site Name],LocationsKey[District])</f>
        <v>#VALUE!</v>
      </c>
      <c r="I1220" t="e" vm="24">
        <f>_xlfn.XLOOKUP(AllData[[#This Row],[Site Name]],LocationsKey[Site Name],LocationsKey[Town])</f>
        <v>#VALUE!</v>
      </c>
      <c r="J1220" t="str">
        <f>_xlfn.XLOOKUP(AllData[[#This Row],[Site Name]],LocationsKey[Site Name], LocationsKey[Waterway])</f>
        <v>Cam Brook</v>
      </c>
      <c r="K1220" t="s">
        <v>1476</v>
      </c>
      <c r="N1220" t="s">
        <v>66</v>
      </c>
      <c r="O1220">
        <v>492</v>
      </c>
      <c r="P1220">
        <v>20.8</v>
      </c>
      <c r="Q1220">
        <v>5</v>
      </c>
      <c r="R1220" s="7" t="str">
        <f>IF(AllData[[#This Row],[Nitrate (PPM)]]&gt;2, "Very high", IF(AllData[[#This Row],[Nitrate (PPM)]]&gt;1, "High", IF(AllData[[#This Row],[Nitrate (PPM)]]&gt;0.5, "Some evidence", IF(AllData[[#This Row],[Nitrate (PPM)]]&gt;=0, "No evidence"))))</f>
        <v>Very high</v>
      </c>
      <c r="S1220" s="4">
        <v>0.18</v>
      </c>
      <c r="T1220" s="7" t="str">
        <f>IF(AllData[[#This Row],[Phosphate (PPM)]]&gt;0.5, "Very high", IF(AllData[[#This Row],[Phosphate (PPM)]]&gt;0.1, "High", IF(AllData[[#This Row],[Phosphate (PPM)]]&gt;0.05, "Some evidence", IF(AllData[[#This Row],[Phosphate (PPM)]]&lt;=0.05, "No Evidence", ""))))</f>
        <v>High</v>
      </c>
      <c r="U1220">
        <v>0.05</v>
      </c>
    </row>
    <row r="1221" spans="1:22" x14ac:dyDescent="0.25">
      <c r="A1221" t="s">
        <v>1675</v>
      </c>
      <c r="B1221" s="2">
        <v>45530</v>
      </c>
      <c r="C1221" s="2" t="str" cm="1">
        <f t="array" ref="C12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1">
        <f>YEAR(AllData[[#This Row],[Date]])</f>
        <v>2024</v>
      </c>
      <c r="E1221" s="1">
        <v>0.50069444444444444</v>
      </c>
      <c r="F1221" s="2" t="str">
        <f>IF(AND(AllData[[#This Row],[Time]]&lt;0.5, AllData[[#This Row],[Time]]&gt;0.17)=TRUE, "Morning", IF(AND(AllData[[#This Row],[Time]]&lt;0.75, AllData[[#This Row],[Time]]&gt;=0.5)=TRUE, "Afternoon", IF(AND(AllData[[#This Row],[Time]]&lt;1, AllData[[#This Row],[Time]]&gt;=0.75)=TRUE, "Evening", "Night")))</f>
        <v>Afternoon</v>
      </c>
      <c r="G1221" t="str">
        <f>_xlfn.XLOOKUP(AllData[[#This Row],[Location Name]], Locations[Location Name],Locations[Group As])</f>
        <v>Fell Mill Footbridge</v>
      </c>
      <c r="H1221" t="e" vm="2">
        <f>_xlfn.XLOOKUP(AllData[[#This Row],[Site Name]],LocationsKey[Site Name],LocationsKey[District])</f>
        <v>#VALUE!</v>
      </c>
      <c r="I1221" t="e" vm="10">
        <f>_xlfn.XLOOKUP(AllData[[#This Row],[Site Name]],LocationsKey[Site Name],LocationsKey[Town])</f>
        <v>#VALUE!</v>
      </c>
      <c r="J1221" t="str">
        <f>_xlfn.XLOOKUP(AllData[[#This Row],[Site Name]],LocationsKey[Site Name], LocationsKey[Waterway])</f>
        <v>Stour</v>
      </c>
      <c r="K1221" t="s">
        <v>1852</v>
      </c>
      <c r="L1221">
        <v>52.070086000000003</v>
      </c>
      <c r="M1221">
        <v>-1.61145</v>
      </c>
      <c r="N1221" t="s">
        <v>29</v>
      </c>
      <c r="O1221">
        <v>675</v>
      </c>
      <c r="P1221">
        <v>15.8</v>
      </c>
      <c r="Q1221">
        <v>5</v>
      </c>
      <c r="R1221" s="7" t="str">
        <f>IF(AllData[[#This Row],[Nitrate (PPM)]]&gt;2, "Very high", IF(AllData[[#This Row],[Nitrate (PPM)]]&gt;1, "High", IF(AllData[[#This Row],[Nitrate (PPM)]]&gt;0.5, "Some evidence", IF(AllData[[#This Row],[Nitrate (PPM)]]&gt;=0, "No evidence"))))</f>
        <v>Very high</v>
      </c>
      <c r="S1221" s="4">
        <v>0.52</v>
      </c>
      <c r="T1221" s="7" t="str">
        <f>IF(AllData[[#This Row],[Phosphate (PPM)]]&gt;0.5, "Very high", IF(AllData[[#This Row],[Phosphate (PPM)]]&gt;0.1, "High", IF(AllData[[#This Row],[Phosphate (PPM)]]&gt;0.05, "Some evidence", IF(AllData[[#This Row],[Phosphate (PPM)]]&lt;=0.05, "No Evidence", ""))))</f>
        <v>Very high</v>
      </c>
      <c r="U1221">
        <v>1.2</v>
      </c>
      <c r="V1221" t="s">
        <v>1875</v>
      </c>
    </row>
    <row r="1222" spans="1:22" x14ac:dyDescent="0.25">
      <c r="A1222" t="s">
        <v>1677</v>
      </c>
      <c r="B1222" s="2">
        <v>45531</v>
      </c>
      <c r="C1222" s="2" t="str" cm="1">
        <f t="array" ref="C12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2">
        <f>YEAR(AllData[[#This Row],[Date]])</f>
        <v>2024</v>
      </c>
      <c r="E1222" s="1">
        <v>0.43958333333333333</v>
      </c>
      <c r="F1222" s="2" t="str">
        <f>IF(AND(AllData[[#This Row],[Time]]&lt;0.5, AllData[[#This Row],[Time]]&gt;0.17)=TRUE, "Morning", IF(AND(AllData[[#This Row],[Time]]&lt;0.75, AllData[[#This Row],[Time]]&gt;=0.5)=TRUE, "Afternoon", IF(AND(AllData[[#This Row],[Time]]&lt;1, AllData[[#This Row],[Time]]&gt;=0.75)=TRUE, "Evening", "Night")))</f>
        <v>Morning</v>
      </c>
      <c r="G1222" t="str">
        <f>_xlfn.XLOOKUP(AllData[[#This Row],[Location Name]], Locations[Location Name],Locations[Group As])</f>
        <v>Carrant Back Lane Beckford</v>
      </c>
      <c r="H1222" t="e" vm="1">
        <f>_xlfn.XLOOKUP(AllData[[#This Row],[Site Name]],LocationsKey[Site Name],LocationsKey[District])</f>
        <v>#VALUE!</v>
      </c>
      <c r="I1222" t="str">
        <f>_xlfn.XLOOKUP(AllData[[#This Row],[Site Name]],LocationsKey[Site Name],LocationsKey[Town])</f>
        <v>Beckford</v>
      </c>
      <c r="J1222" t="str">
        <f>_xlfn.XLOOKUP(AllData[[#This Row],[Site Name]],LocationsKey[Site Name], LocationsKey[Waterway])</f>
        <v>Carrant</v>
      </c>
      <c r="K1222" t="s">
        <v>1490</v>
      </c>
      <c r="L1222">
        <v>52.018338999999997</v>
      </c>
      <c r="M1222">
        <v>-2.0388440000000001</v>
      </c>
      <c r="N1222" t="s">
        <v>66</v>
      </c>
      <c r="O1222">
        <v>785</v>
      </c>
      <c r="P1222">
        <v>16.8</v>
      </c>
      <c r="Q1222">
        <v>7</v>
      </c>
      <c r="R1222" s="7" t="str">
        <f>IF(AllData[[#This Row],[Nitrate (PPM)]]&gt;2, "Very high", IF(AllData[[#This Row],[Nitrate (PPM)]]&gt;1, "High", IF(AllData[[#This Row],[Nitrate (PPM)]]&gt;0.5, "Some evidence", IF(AllData[[#This Row],[Nitrate (PPM)]]&gt;=0, "No evidence"))))</f>
        <v>Very high</v>
      </c>
      <c r="S1222" s="4">
        <v>0.22</v>
      </c>
      <c r="T1222" s="7" t="str">
        <f>IF(AllData[[#This Row],[Phosphate (PPM)]]&gt;0.5, "Very high", IF(AllData[[#This Row],[Phosphate (PPM)]]&gt;0.1, "High", IF(AllData[[#This Row],[Phosphate (PPM)]]&gt;0.05, "Some evidence", IF(AllData[[#This Row],[Phosphate (PPM)]]&lt;=0.05, "No Evidence", ""))))</f>
        <v>High</v>
      </c>
      <c r="U1222">
        <v>0.2</v>
      </c>
      <c r="V1222" t="s">
        <v>1876</v>
      </c>
    </row>
    <row r="1223" spans="1:22" x14ac:dyDescent="0.25">
      <c r="A1223" t="s">
        <v>1676</v>
      </c>
      <c r="B1223" s="2">
        <v>45531</v>
      </c>
      <c r="C1223" s="2" t="str" cm="1">
        <f t="array" ref="C12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3">
        <f>YEAR(AllData[[#This Row],[Date]])</f>
        <v>2024</v>
      </c>
      <c r="E1223" s="1">
        <v>0.46111111111111114</v>
      </c>
      <c r="F1223" s="2" t="str">
        <f>IF(AND(AllData[[#This Row],[Time]]&lt;0.5, AllData[[#This Row],[Time]]&gt;0.17)=TRUE, "Morning", IF(AND(AllData[[#This Row],[Time]]&lt;0.75, AllData[[#This Row],[Time]]&gt;=0.5)=TRUE, "Afternoon", IF(AND(AllData[[#This Row],[Time]]&lt;1, AllData[[#This Row],[Time]]&gt;=0.75)=TRUE, "Evening", "Night")))</f>
        <v>Morning</v>
      </c>
      <c r="G1223" t="str">
        <f>_xlfn.XLOOKUP(AllData[[#This Row],[Location Name]], Locations[Location Name],Locations[Group As])</f>
        <v>Chipping Campden Craves</v>
      </c>
      <c r="H1223" t="e" vm="23">
        <f>_xlfn.XLOOKUP(AllData[[#This Row],[Site Name]],LocationsKey[Site Name],LocationsKey[District])</f>
        <v>#VALUE!</v>
      </c>
      <c r="I1223" t="e" vm="24">
        <f>_xlfn.XLOOKUP(AllData[[#This Row],[Site Name]],LocationsKey[Site Name],LocationsKey[Town])</f>
        <v>#VALUE!</v>
      </c>
      <c r="J1223" t="str">
        <f>_xlfn.XLOOKUP(AllData[[#This Row],[Site Name]],LocationsKey[Site Name], LocationsKey[Waterway])</f>
        <v>Cam Brook</v>
      </c>
      <c r="K1223" t="s">
        <v>1862</v>
      </c>
      <c r="L1223">
        <v>51.999890999999998</v>
      </c>
      <c r="M1223">
        <v>-2.1410819999999999</v>
      </c>
      <c r="N1223" t="s">
        <v>66</v>
      </c>
      <c r="O1223">
        <v>691</v>
      </c>
      <c r="P1223">
        <v>16.8</v>
      </c>
      <c r="Q1223">
        <v>5</v>
      </c>
      <c r="R1223" s="7" t="str">
        <f>IF(AllData[[#This Row],[Nitrate (PPM)]]&gt;2, "Very high", IF(AllData[[#This Row],[Nitrate (PPM)]]&gt;1, "High", IF(AllData[[#This Row],[Nitrate (PPM)]]&gt;0.5, "Some evidence", IF(AllData[[#This Row],[Nitrate (PPM)]]&gt;=0, "No evidence"))))</f>
        <v>Very high</v>
      </c>
      <c r="S1223" s="4">
        <v>0.64</v>
      </c>
      <c r="T1223" s="7" t="str">
        <f>IF(AllData[[#This Row],[Phosphate (PPM)]]&gt;0.5, "Very high", IF(AllData[[#This Row],[Phosphate (PPM)]]&gt;0.1, "High", IF(AllData[[#This Row],[Phosphate (PPM)]]&gt;0.05, "Some evidence", IF(AllData[[#This Row],[Phosphate (PPM)]]&lt;=0.05, "No Evidence", ""))))</f>
        <v>Very high</v>
      </c>
      <c r="U1223">
        <v>0</v>
      </c>
    </row>
    <row r="1224" spans="1:22" x14ac:dyDescent="0.25">
      <c r="A1224" t="s">
        <v>1674</v>
      </c>
      <c r="B1224" s="2">
        <v>45532</v>
      </c>
      <c r="C1224" s="2" t="str" cm="1">
        <f t="array" ref="C12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4">
        <f>YEAR(AllData[[#This Row],[Date]])</f>
        <v>2024</v>
      </c>
      <c r="E1224" s="1">
        <v>0.42777777777777776</v>
      </c>
      <c r="F1224" s="2" t="str">
        <f>IF(AND(AllData[[#This Row],[Time]]&lt;0.5, AllData[[#This Row],[Time]]&gt;0.17)=TRUE, "Morning", IF(AND(AllData[[#This Row],[Time]]&lt;0.75, AllData[[#This Row],[Time]]&gt;=0.5)=TRUE, "Afternoon", IF(AND(AllData[[#This Row],[Time]]&lt;1, AllData[[#This Row],[Time]]&gt;=0.75)=TRUE, "Evening", "Night")))</f>
        <v>Morning</v>
      </c>
      <c r="G1224" t="str">
        <f>_xlfn.XLOOKUP(AllData[[#This Row],[Location Name]], Locations[Location Name],Locations[Group As])</f>
        <v>Bredon Marina</v>
      </c>
      <c r="H1224" t="e" vm="1">
        <f>_xlfn.XLOOKUP(AllData[[#This Row],[Site Name]],LocationsKey[Site Name],LocationsKey[District])</f>
        <v>#VALUE!</v>
      </c>
      <c r="I1224" t="e" vm="25">
        <f>_xlfn.XLOOKUP(AllData[[#This Row],[Site Name]],LocationsKey[Site Name],LocationsKey[Town])</f>
        <v>#VALUE!</v>
      </c>
      <c r="J1224" t="str">
        <f>_xlfn.XLOOKUP(AllData[[#This Row],[Site Name]],LocationsKey[Site Name], LocationsKey[Waterway])</f>
        <v>Avon</v>
      </c>
      <c r="K1224" t="s">
        <v>1649</v>
      </c>
      <c r="L1224">
        <v>52.033503000000003</v>
      </c>
      <c r="M1224">
        <v>-2.1162770000000002</v>
      </c>
      <c r="N1224" t="s">
        <v>29</v>
      </c>
      <c r="O1224">
        <v>1020</v>
      </c>
      <c r="P1224">
        <v>19.100000000000001</v>
      </c>
      <c r="Q1224">
        <v>5</v>
      </c>
      <c r="R1224" s="7" t="str">
        <f>IF(AllData[[#This Row],[Nitrate (PPM)]]&gt;2, "Very high", IF(AllData[[#This Row],[Nitrate (PPM)]]&gt;1, "High", IF(AllData[[#This Row],[Nitrate (PPM)]]&gt;0.5, "Some evidence", IF(AllData[[#This Row],[Nitrate (PPM)]]&gt;=0, "No evidence"))))</f>
        <v>Very high</v>
      </c>
      <c r="S1224" s="4">
        <v>1.05</v>
      </c>
      <c r="T1224" s="7" t="str">
        <f>IF(AllData[[#This Row],[Phosphate (PPM)]]&gt;0.5, "Very high", IF(AllData[[#This Row],[Phosphate (PPM)]]&gt;0.1, "High", IF(AllData[[#This Row],[Phosphate (PPM)]]&gt;0.05, "Some evidence", IF(AllData[[#This Row],[Phosphate (PPM)]]&lt;=0.05, "No Evidence", ""))))</f>
        <v>Very high</v>
      </c>
      <c r="U1224">
        <v>0</v>
      </c>
    </row>
    <row r="1225" spans="1:22" x14ac:dyDescent="0.25">
      <c r="A1225" t="s">
        <v>1670</v>
      </c>
      <c r="B1225" s="2">
        <v>45533</v>
      </c>
      <c r="C1225" s="2" t="str" cm="1">
        <f t="array" ref="C12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5">
        <f>YEAR(AllData[[#This Row],[Date]])</f>
        <v>2024</v>
      </c>
      <c r="E1225" s="1">
        <v>0.46875</v>
      </c>
      <c r="F1225" s="2" t="str">
        <f>IF(AND(AllData[[#This Row],[Time]]&lt;0.5, AllData[[#This Row],[Time]]&gt;0.17)=TRUE, "Morning", IF(AND(AllData[[#This Row],[Time]]&lt;0.75, AllData[[#This Row],[Time]]&gt;=0.5)=TRUE, "Afternoon", IF(AND(AllData[[#This Row],[Time]]&lt;1, AllData[[#This Row],[Time]]&gt;=0.75)=TRUE, "Evening", "Night")))</f>
        <v>Morning</v>
      </c>
      <c r="G1225" t="str">
        <f>_xlfn.XLOOKUP(AllData[[#This Row],[Location Name]], Locations[Location Name],Locations[Group As])</f>
        <v>Stour Willington</v>
      </c>
      <c r="H1225" t="e" vm="2">
        <f>_xlfn.XLOOKUP(AllData[[#This Row],[Site Name]],LocationsKey[Site Name],LocationsKey[District])</f>
        <v>#VALUE!</v>
      </c>
      <c r="I1225" t="str">
        <f>_xlfn.XLOOKUP(AllData[[#This Row],[Site Name]],LocationsKey[Site Name],LocationsKey[Town])</f>
        <v>Willington</v>
      </c>
      <c r="J1225" t="str">
        <f>_xlfn.XLOOKUP(AllData[[#This Row],[Site Name]],LocationsKey[Site Name], LocationsKey[Waterway])</f>
        <v>Stour</v>
      </c>
      <c r="K1225" t="s">
        <v>517</v>
      </c>
      <c r="L1225">
        <v>52.053527000000003</v>
      </c>
      <c r="M1225">
        <v>-1.6202220000000001</v>
      </c>
      <c r="N1225" t="s">
        <v>23</v>
      </c>
      <c r="O1225">
        <v>645</v>
      </c>
      <c r="P1225">
        <v>16.399999999999999</v>
      </c>
      <c r="Q1225">
        <v>2</v>
      </c>
      <c r="R1225" s="7" t="str">
        <f>IF(AllData[[#This Row],[Nitrate (PPM)]]&gt;2, "Very high", IF(AllData[[#This Row],[Nitrate (PPM)]]&gt;1, "High", IF(AllData[[#This Row],[Nitrate (PPM)]]&gt;0.5, "Some evidence", IF(AllData[[#This Row],[Nitrate (PPM)]]&gt;=0, "No evidence"))))</f>
        <v>High</v>
      </c>
      <c r="S1225" s="4">
        <v>0.41</v>
      </c>
      <c r="T1225" s="7" t="str">
        <f>IF(AllData[[#This Row],[Phosphate (PPM)]]&gt;0.5, "Very high", IF(AllData[[#This Row],[Phosphate (PPM)]]&gt;0.1, "High", IF(AllData[[#This Row],[Phosphate (PPM)]]&gt;0.05, "Some evidence", IF(AllData[[#This Row],[Phosphate (PPM)]]&lt;=0.05, "No Evidence", ""))))</f>
        <v>High</v>
      </c>
      <c r="U1225">
        <v>0.5</v>
      </c>
    </row>
    <row r="1226" spans="1:22" x14ac:dyDescent="0.25">
      <c r="A1226" t="s">
        <v>1673</v>
      </c>
      <c r="B1226" s="2">
        <v>45533</v>
      </c>
      <c r="C1226" s="2" t="str" cm="1">
        <f t="array" ref="C12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6">
        <f>YEAR(AllData[[#This Row],[Date]])</f>
        <v>2024</v>
      </c>
      <c r="E1226" s="1">
        <v>0.6166666666666667</v>
      </c>
      <c r="F1226" s="2" t="str">
        <f>IF(AND(AllData[[#This Row],[Time]]&lt;0.5, AllData[[#This Row],[Time]]&gt;0.17)=TRUE, "Morning", IF(AND(AllData[[#This Row],[Time]]&lt;0.75, AllData[[#This Row],[Time]]&gt;=0.5)=TRUE, "Afternoon", IF(AND(AllData[[#This Row],[Time]]&lt;1, AllData[[#This Row],[Time]]&gt;=0.75)=TRUE, "Evening", "Night")))</f>
        <v>Afternoon</v>
      </c>
      <c r="G1226" t="str">
        <f>_xlfn.XLOOKUP(AllData[[#This Row],[Location Name]], Locations[Location Name],Locations[Group As])</f>
        <v>Alveston Weir</v>
      </c>
      <c r="H1226" t="e" vm="2">
        <f>_xlfn.XLOOKUP(AllData[[#This Row],[Site Name]],LocationsKey[Site Name],LocationsKey[District])</f>
        <v>#VALUE!</v>
      </c>
      <c r="I1226" t="e" vm="13">
        <f>_xlfn.XLOOKUP(AllData[[#This Row],[Site Name]],LocationsKey[Site Name],LocationsKey[Town])</f>
        <v>#VALUE!</v>
      </c>
      <c r="J1226" t="str">
        <f>_xlfn.XLOOKUP(AllData[[#This Row],[Site Name]],LocationsKey[Site Name], LocationsKey[Waterway])</f>
        <v>Avon</v>
      </c>
      <c r="K1226" t="s">
        <v>286</v>
      </c>
      <c r="L1226">
        <v>52.212288999999998</v>
      </c>
      <c r="M1226">
        <v>-1.660452</v>
      </c>
      <c r="N1226" t="s">
        <v>29</v>
      </c>
      <c r="O1226">
        <v>713</v>
      </c>
      <c r="P1226">
        <v>19.3</v>
      </c>
      <c r="Q1226">
        <v>10</v>
      </c>
      <c r="R1226" s="7" t="str">
        <f>IF(AllData[[#This Row],[Nitrate (PPM)]]&gt;2, "Very high", IF(AllData[[#This Row],[Nitrate (PPM)]]&gt;1, "High", IF(AllData[[#This Row],[Nitrate (PPM)]]&gt;0.5, "Some evidence", IF(AllData[[#This Row],[Nitrate (PPM)]]&gt;=0, "No evidence"))))</f>
        <v>Very high</v>
      </c>
      <c r="S1226" s="4">
        <v>0.34</v>
      </c>
      <c r="T1226" s="7" t="str">
        <f>IF(AllData[[#This Row],[Phosphate (PPM)]]&gt;0.5, "Very high", IF(AllData[[#This Row],[Phosphate (PPM)]]&gt;0.1, "High", IF(AllData[[#This Row],[Phosphate (PPM)]]&gt;0.05, "Some evidence", IF(AllData[[#This Row],[Phosphate (PPM)]]&lt;=0.05, "No Evidence", ""))))</f>
        <v>High</v>
      </c>
      <c r="U1226">
        <v>-0.8</v>
      </c>
      <c r="V1226" t="s">
        <v>1874</v>
      </c>
    </row>
    <row r="1227" spans="1:22" x14ac:dyDescent="0.25">
      <c r="A1227" t="s">
        <v>1671</v>
      </c>
      <c r="B1227" s="2">
        <v>45533</v>
      </c>
      <c r="C1227" s="2" t="str" cm="1">
        <f t="array" ref="C12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7">
        <f>YEAR(AllData[[#This Row],[Date]])</f>
        <v>2024</v>
      </c>
      <c r="E1227" s="1">
        <v>0.66666666666666663</v>
      </c>
      <c r="F1227" s="2" t="str">
        <f>IF(AND(AllData[[#This Row],[Time]]&lt;0.5, AllData[[#This Row],[Time]]&gt;0.17)=TRUE, "Morning", IF(AND(AllData[[#This Row],[Time]]&lt;0.75, AllData[[#This Row],[Time]]&gt;=0.5)=TRUE, "Afternoon", IF(AND(AllData[[#This Row],[Time]]&lt;1, AllData[[#This Row],[Time]]&gt;=0.75)=TRUE, "Evening", "Night")))</f>
        <v>Afternoon</v>
      </c>
      <c r="G1227" t="str">
        <f>_xlfn.XLOOKUP(AllData[[#This Row],[Location Name]], Locations[Location Name],Locations[Group As])</f>
        <v>Swiffen Bank</v>
      </c>
      <c r="H1227" t="e" vm="2">
        <f>_xlfn.XLOOKUP(AllData[[#This Row],[Site Name]],LocationsKey[Site Name],LocationsKey[District])</f>
        <v>#VALUE!</v>
      </c>
      <c r="I1227" t="e" vm="13">
        <f>_xlfn.XLOOKUP(AllData[[#This Row],[Site Name]],LocationsKey[Site Name],LocationsKey[Town])</f>
        <v>#VALUE!</v>
      </c>
      <c r="J1227" t="str">
        <f>_xlfn.XLOOKUP(AllData[[#This Row],[Site Name]],LocationsKey[Site Name], LocationsKey[Waterway])</f>
        <v>Avon</v>
      </c>
      <c r="K1227" t="s">
        <v>1249</v>
      </c>
      <c r="L1227">
        <v>52.206000000000003</v>
      </c>
      <c r="M1227">
        <v>-1.6539999999999999</v>
      </c>
      <c r="N1227" t="s">
        <v>29</v>
      </c>
      <c r="O1227">
        <v>698</v>
      </c>
      <c r="P1227">
        <v>19.600000000000001</v>
      </c>
      <c r="Q1227">
        <v>10</v>
      </c>
      <c r="R1227" s="7" t="str">
        <f>IF(AllData[[#This Row],[Nitrate (PPM)]]&gt;2, "Very high", IF(AllData[[#This Row],[Nitrate (PPM)]]&gt;1, "High", IF(AllData[[#This Row],[Nitrate (PPM)]]&gt;0.5, "Some evidence", IF(AllData[[#This Row],[Nitrate (PPM)]]&gt;=0, "No evidence"))))</f>
        <v>Very high</v>
      </c>
      <c r="S1227" s="4">
        <v>0.39</v>
      </c>
      <c r="T1227" s="7" t="str">
        <f>IF(AllData[[#This Row],[Phosphate (PPM)]]&gt;0.5, "Very high", IF(AllData[[#This Row],[Phosphate (PPM)]]&gt;0.1, "High", IF(AllData[[#This Row],[Phosphate (PPM)]]&gt;0.05, "Some evidence", IF(AllData[[#This Row],[Phosphate (PPM)]]&lt;=0.05, "No Evidence", ""))))</f>
        <v>High</v>
      </c>
      <c r="U1227">
        <v>-1</v>
      </c>
      <c r="V1227" t="s">
        <v>1873</v>
      </c>
    </row>
    <row r="1228" spans="1:22" x14ac:dyDescent="0.25">
      <c r="A1228" t="s">
        <v>1672</v>
      </c>
      <c r="B1228" s="2">
        <v>45534</v>
      </c>
      <c r="C1228" s="2" t="str" cm="1">
        <f t="array" ref="C12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8">
        <f>YEAR(AllData[[#This Row],[Date]])</f>
        <v>2024</v>
      </c>
      <c r="E1228" s="1">
        <v>0.41111111111111109</v>
      </c>
      <c r="F1228" s="2" t="str">
        <f>IF(AND(AllData[[#This Row],[Time]]&lt;0.5, AllData[[#This Row],[Time]]&gt;0.17)=TRUE, "Morning", IF(AND(AllData[[#This Row],[Time]]&lt;0.75, AllData[[#This Row],[Time]]&gt;=0.5)=TRUE, "Afternoon", IF(AND(AllData[[#This Row],[Time]]&lt;1, AllData[[#This Row],[Time]]&gt;=0.75)=TRUE, "Evening", "Night")))</f>
        <v>Morning</v>
      </c>
      <c r="G1228" t="str">
        <f>_xlfn.XLOOKUP(AllData[[#This Row],[Location Name]], Locations[Location Name],Locations[Group As])</f>
        <v>Carrant M5 Bridge</v>
      </c>
      <c r="H1228" t="e" vm="1">
        <f>_xlfn.XLOOKUP(AllData[[#This Row],[Site Name]],LocationsKey[Site Name],LocationsKey[District])</f>
        <v>#VALUE!</v>
      </c>
      <c r="I1228" t="e" vm="1">
        <f>_xlfn.XLOOKUP(AllData[[#This Row],[Site Name]],LocationsKey[Site Name],LocationsKey[Town])</f>
        <v>#VALUE!</v>
      </c>
      <c r="J1228" t="str">
        <f>_xlfn.XLOOKUP(AllData[[#This Row],[Site Name]],LocationsKey[Site Name], LocationsKey[Waterway])</f>
        <v>Carrant</v>
      </c>
      <c r="K1228" t="s">
        <v>960</v>
      </c>
      <c r="L1228">
        <v>52.011420000000001</v>
      </c>
      <c r="M1228">
        <v>-2.1195460000000002</v>
      </c>
      <c r="N1228" t="s">
        <v>23</v>
      </c>
      <c r="O1228">
        <v>857</v>
      </c>
      <c r="P1228">
        <v>15.7</v>
      </c>
      <c r="Q1228">
        <v>5</v>
      </c>
      <c r="R1228" s="7" t="str">
        <f>IF(AllData[[#This Row],[Nitrate (PPM)]]&gt;2, "Very high", IF(AllData[[#This Row],[Nitrate (PPM)]]&gt;1, "High", IF(AllData[[#This Row],[Nitrate (PPM)]]&gt;0.5, "Some evidence", IF(AllData[[#This Row],[Nitrate (PPM)]]&gt;=0, "No evidence"))))</f>
        <v>Very high</v>
      </c>
      <c r="S1228" s="4">
        <v>1.35</v>
      </c>
      <c r="T1228" s="7" t="str">
        <f>IF(AllData[[#This Row],[Phosphate (PPM)]]&gt;0.5, "Very high", IF(AllData[[#This Row],[Phosphate (PPM)]]&gt;0.1, "High", IF(AllData[[#This Row],[Phosphate (PPM)]]&gt;0.05, "Some evidence", IF(AllData[[#This Row],[Phosphate (PPM)]]&lt;=0.05, "No Evidence", ""))))</f>
        <v>Very high</v>
      </c>
      <c r="U1228">
        <v>0</v>
      </c>
    </row>
    <row r="1229" spans="1:22" x14ac:dyDescent="0.25">
      <c r="A1229" t="s">
        <v>1653</v>
      </c>
      <c r="B1229" s="2">
        <v>45535</v>
      </c>
      <c r="C1229" s="2" t="str" cm="1">
        <f t="array" ref="C12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9">
        <f>YEAR(AllData[[#This Row],[Date]])</f>
        <v>2024</v>
      </c>
      <c r="E1229" s="1">
        <v>0.5</v>
      </c>
      <c r="F1229" s="2" t="str">
        <f>IF(AND(AllData[[#This Row],[Time]]&lt;0.5, AllData[[#This Row],[Time]]&gt;0.17)=TRUE, "Morning", IF(AND(AllData[[#This Row],[Time]]&lt;0.75, AllData[[#This Row],[Time]]&gt;=0.5)=TRUE, "Afternoon", IF(AND(AllData[[#This Row],[Time]]&lt;1, AllData[[#This Row],[Time]]&gt;=0.75)=TRUE, "Evening", "Night")))</f>
        <v>Afternoon</v>
      </c>
      <c r="G1229" t="str">
        <f>_xlfn.XLOOKUP(AllData[[#This Row],[Location Name]], Locations[Location Name],Locations[Group As])</f>
        <v>Carrant Bredon Rd</v>
      </c>
      <c r="H1229" t="e" vm="1">
        <f>_xlfn.XLOOKUP(AllData[[#This Row],[Site Name]],LocationsKey[Site Name],LocationsKey[District])</f>
        <v>#VALUE!</v>
      </c>
      <c r="I1229" t="e" vm="1">
        <f>_xlfn.XLOOKUP(AllData[[#This Row],[Site Name]],LocationsKey[Site Name],LocationsKey[Town])</f>
        <v>#VALUE!</v>
      </c>
      <c r="J1229" t="str">
        <f>_xlfn.XLOOKUP(AllData[[#This Row],[Site Name]],LocationsKey[Site Name], LocationsKey[Waterway])</f>
        <v>Carrant</v>
      </c>
      <c r="K1229" t="s">
        <v>600</v>
      </c>
      <c r="L1229">
        <v>51.996181999999997</v>
      </c>
      <c r="M1229">
        <v>-2.1560260000000002</v>
      </c>
      <c r="N1229" t="s">
        <v>23</v>
      </c>
      <c r="O1229">
        <v>734</v>
      </c>
      <c r="P1229">
        <v>16.3</v>
      </c>
      <c r="Q1229">
        <v>5</v>
      </c>
      <c r="R1229" s="7" t="str">
        <f>IF(AllData[[#This Row],[Nitrate (PPM)]]&gt;2, "Very high", IF(AllData[[#This Row],[Nitrate (PPM)]]&gt;1, "High", IF(AllData[[#This Row],[Nitrate (PPM)]]&gt;0.5, "Some evidence", IF(AllData[[#This Row],[Nitrate (PPM)]]&gt;=0, "No evidence"))))</f>
        <v>Very high</v>
      </c>
      <c r="S1229" s="4">
        <v>0.45</v>
      </c>
      <c r="T1229" s="7" t="str">
        <f>IF(AllData[[#This Row],[Phosphate (PPM)]]&gt;0.5, "Very high", IF(AllData[[#This Row],[Phosphate (PPM)]]&gt;0.1, "High", IF(AllData[[#This Row],[Phosphate (PPM)]]&gt;0.05, "Some evidence", IF(AllData[[#This Row],[Phosphate (PPM)]]&lt;=0.05, "No Evidence", ""))))</f>
        <v>High</v>
      </c>
      <c r="U1229">
        <v>0</v>
      </c>
    </row>
    <row r="1230" spans="1:22" x14ac:dyDescent="0.25">
      <c r="A1230" t="s">
        <v>1665</v>
      </c>
      <c r="B1230" s="2">
        <v>45535</v>
      </c>
      <c r="C1230" s="2" t="str" cm="1">
        <f t="array" ref="C12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0">
        <f>YEAR(AllData[[#This Row],[Date]])</f>
        <v>2024</v>
      </c>
      <c r="E1230" s="1">
        <v>0.75208333333333333</v>
      </c>
      <c r="F1230" s="2" t="str">
        <f>IF(AND(AllData[[#This Row],[Time]]&lt;0.5, AllData[[#This Row],[Time]]&gt;0.17)=TRUE, "Morning", IF(AND(AllData[[#This Row],[Time]]&lt;0.75, AllData[[#This Row],[Time]]&gt;=0.5)=TRUE, "Afternoon", IF(AND(AllData[[#This Row],[Time]]&lt;1, AllData[[#This Row],[Time]]&gt;=0.75)=TRUE, "Evening", "Night")))</f>
        <v>Evening</v>
      </c>
      <c r="G1230" t="str">
        <f>_xlfn.XLOOKUP(AllData[[#This Row],[Location Name]], Locations[Location Name],Locations[Group As])</f>
        <v>Site 1  :  Middle Street</v>
      </c>
      <c r="H1230" t="e" vm="2">
        <f>_xlfn.XLOOKUP(AllData[[#This Row],[Site Name]],LocationsKey[Site Name],LocationsKey[District])</f>
        <v>#VALUE!</v>
      </c>
      <c r="I1230" t="e" vm="11">
        <f>_xlfn.XLOOKUP(AllData[[#This Row],[Site Name]],LocationsKey[Site Name],LocationsKey[Town])</f>
        <v>#VALUE!</v>
      </c>
      <c r="J1230" t="str">
        <f>_xlfn.XLOOKUP(AllData[[#This Row],[Site Name]],LocationsKey[Site Name], LocationsKey[Waterway])</f>
        <v>Fosseway Brook</v>
      </c>
      <c r="K1230" t="s">
        <v>1850</v>
      </c>
      <c r="L1230">
        <v>52.090235</v>
      </c>
      <c r="M1230">
        <v>-1.6926000000000001</v>
      </c>
      <c r="N1230" t="s">
        <v>66</v>
      </c>
      <c r="O1230">
        <v>629</v>
      </c>
      <c r="P1230">
        <v>17.399999999999999</v>
      </c>
      <c r="Q1230">
        <v>2</v>
      </c>
      <c r="R1230" s="7" t="str">
        <f>IF(AllData[[#This Row],[Nitrate (PPM)]]&gt;2, "Very high", IF(AllData[[#This Row],[Nitrate (PPM)]]&gt;1, "High", IF(AllData[[#This Row],[Nitrate (PPM)]]&gt;0.5, "Some evidence", IF(AllData[[#This Row],[Nitrate (PPM)]]&gt;=0, "No evidence"))))</f>
        <v>High</v>
      </c>
      <c r="S1230" s="4">
        <v>0.87</v>
      </c>
      <c r="T1230" s="7" t="str">
        <f>IF(AllData[[#This Row],[Phosphate (PPM)]]&gt;0.5, "Very high", IF(AllData[[#This Row],[Phosphate (PPM)]]&gt;0.1, "High", IF(AllData[[#This Row],[Phosphate (PPM)]]&gt;0.05, "Some evidence", IF(AllData[[#This Row],[Phosphate (PPM)]]&lt;=0.05, "No Evidence", ""))))</f>
        <v>Very high</v>
      </c>
      <c r="U1230">
        <v>0</v>
      </c>
      <c r="V1230" t="s">
        <v>1872</v>
      </c>
    </row>
    <row r="1231" spans="1:22" x14ac:dyDescent="0.25">
      <c r="A1231" t="s">
        <v>1664</v>
      </c>
      <c r="B1231" s="2">
        <v>45535</v>
      </c>
      <c r="C1231" s="2" t="str" cm="1">
        <f t="array" ref="C12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1">
        <f>YEAR(AllData[[#This Row],[Date]])</f>
        <v>2024</v>
      </c>
      <c r="E1231" s="1">
        <v>0.76249999999999996</v>
      </c>
      <c r="F1231" s="2" t="str">
        <f>IF(AND(AllData[[#This Row],[Time]]&lt;0.5, AllData[[#This Row],[Time]]&gt;0.17)=TRUE, "Morning", IF(AND(AllData[[#This Row],[Time]]&lt;0.75, AllData[[#This Row],[Time]]&gt;=0.5)=TRUE, "Afternoon", IF(AND(AllData[[#This Row],[Time]]&lt;1, AllData[[#This Row],[Time]]&gt;=0.75)=TRUE, "Evening", "Night")))</f>
        <v>Evening</v>
      </c>
      <c r="G1231" t="str">
        <f>_xlfn.XLOOKUP(AllData[[#This Row],[Location Name]], Locations[Location Name],Locations[Group As])</f>
        <v>Site 2  :  Cross Leys culvert</v>
      </c>
      <c r="H1231" t="e" vm="2">
        <f>_xlfn.XLOOKUP(AllData[[#This Row],[Site Name]],LocationsKey[Site Name],LocationsKey[District])</f>
        <v>#VALUE!</v>
      </c>
      <c r="I1231" t="e" vm="11">
        <f>_xlfn.XLOOKUP(AllData[[#This Row],[Site Name]],LocationsKey[Site Name],LocationsKey[Town])</f>
        <v>#VALUE!</v>
      </c>
      <c r="J1231" t="str">
        <f>_xlfn.XLOOKUP(AllData[[#This Row],[Site Name]],LocationsKey[Site Name], LocationsKey[Waterway])</f>
        <v>Fosseway Brook</v>
      </c>
      <c r="K1231" t="s">
        <v>1851</v>
      </c>
      <c r="L1231">
        <v>52.092998000000001</v>
      </c>
      <c r="M1231">
        <v>-1.6863440000000001</v>
      </c>
      <c r="N1231" t="s">
        <v>66</v>
      </c>
      <c r="O1231">
        <v>885</v>
      </c>
      <c r="P1231">
        <v>15.8</v>
      </c>
      <c r="Q1231">
        <v>0</v>
      </c>
      <c r="R1231" s="7" t="str">
        <f>IF(AllData[[#This Row],[Nitrate (PPM)]]&gt;2, "Very high", IF(AllData[[#This Row],[Nitrate (PPM)]]&gt;1, "High", IF(AllData[[#This Row],[Nitrate (PPM)]]&gt;0.5, "Some evidence", IF(AllData[[#This Row],[Nitrate (PPM)]]&gt;=0, "No evidence"))))</f>
        <v>No evidence</v>
      </c>
      <c r="S1231" s="4">
        <v>2.27</v>
      </c>
      <c r="T1231" s="7" t="str">
        <f>IF(AllData[[#This Row],[Phosphate (PPM)]]&gt;0.5, "Very high", IF(AllData[[#This Row],[Phosphate (PPM)]]&gt;0.1, "High", IF(AllData[[#This Row],[Phosphate (PPM)]]&gt;0.05, "Some evidence", IF(AllData[[#This Row],[Phosphate (PPM)]]&lt;=0.05, "No Evidence", ""))))</f>
        <v>Very high</v>
      </c>
      <c r="U1231">
        <v>0</v>
      </c>
      <c r="V1231" t="s">
        <v>1871</v>
      </c>
    </row>
    <row r="1232" spans="1:22" x14ac:dyDescent="0.25">
      <c r="A1232" t="s">
        <v>1663</v>
      </c>
      <c r="B1232" s="2">
        <v>45535</v>
      </c>
      <c r="C1232" s="2" t="str" cm="1">
        <f t="array" ref="C12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2">
        <f>YEAR(AllData[[#This Row],[Date]])</f>
        <v>2024</v>
      </c>
      <c r="E1232" s="1">
        <v>0.76666666666666672</v>
      </c>
      <c r="F1232" s="2" t="str">
        <f>IF(AND(AllData[[#This Row],[Time]]&lt;0.5, AllData[[#This Row],[Time]]&gt;0.17)=TRUE, "Morning", IF(AND(AllData[[#This Row],[Time]]&lt;0.75, AllData[[#This Row],[Time]]&gt;=0.5)=TRUE, "Afternoon", IF(AND(AllData[[#This Row],[Time]]&lt;1, AllData[[#This Row],[Time]]&gt;=0.75)=TRUE, "Evening", "Night")))</f>
        <v>Evening</v>
      </c>
      <c r="G1232" t="str">
        <f>_xlfn.XLOOKUP(AllData[[#This Row],[Location Name]], Locations[Location Name],Locations[Group As])</f>
        <v>Site 3  :  Severn Trent Water processing plant outflow</v>
      </c>
      <c r="H1232" t="e" vm="2">
        <f>_xlfn.XLOOKUP(AllData[[#This Row],[Site Name]],LocationsKey[Site Name],LocationsKey[District])</f>
        <v>#VALUE!</v>
      </c>
      <c r="I1232" t="e" vm="11">
        <f>_xlfn.XLOOKUP(AllData[[#This Row],[Site Name]],LocationsKey[Site Name],LocationsKey[Town])</f>
        <v>#VALUE!</v>
      </c>
      <c r="J1232" t="str">
        <f>_xlfn.XLOOKUP(AllData[[#This Row],[Site Name]],LocationsKey[Site Name], LocationsKey[Waterway])</f>
        <v>Fosseway Brook</v>
      </c>
      <c r="K1232" t="s">
        <v>1849</v>
      </c>
      <c r="L1232">
        <v>52.116596000000001</v>
      </c>
      <c r="M1232">
        <v>-1.62124</v>
      </c>
      <c r="N1232" t="s">
        <v>29</v>
      </c>
      <c r="O1232">
        <v>1002</v>
      </c>
      <c r="P1232">
        <v>17.5</v>
      </c>
      <c r="Q1232">
        <v>10</v>
      </c>
      <c r="R1232" s="7" t="str">
        <f>IF(AllData[[#This Row],[Nitrate (PPM)]]&gt;2, "Very high", IF(AllData[[#This Row],[Nitrate (PPM)]]&gt;1, "High", IF(AllData[[#This Row],[Nitrate (PPM)]]&gt;0.5, "Some evidence", IF(AllData[[#This Row],[Nitrate (PPM)]]&gt;=0, "No evidence"))))</f>
        <v>Very high</v>
      </c>
      <c r="S1232" s="4">
        <v>2.5</v>
      </c>
      <c r="T1232" s="7" t="str">
        <f>IF(AllData[[#This Row],[Phosphate (PPM)]]&gt;0.5, "Very high", IF(AllData[[#This Row],[Phosphate (PPM)]]&gt;0.1, "High", IF(AllData[[#This Row],[Phosphate (PPM)]]&gt;0.05, "Some evidence", IF(AllData[[#This Row],[Phosphate (PPM)]]&lt;=0.05, "No Evidence", ""))))</f>
        <v>Very high</v>
      </c>
      <c r="U1232">
        <v>0.25</v>
      </c>
      <c r="V1232" t="s">
        <v>1869</v>
      </c>
    </row>
    <row r="1233" spans="1:22" x14ac:dyDescent="0.25">
      <c r="A1233" t="s">
        <v>1660</v>
      </c>
      <c r="B1233" s="2">
        <v>45535</v>
      </c>
      <c r="C1233" s="2" t="str" cm="1">
        <f t="array" ref="C12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3">
        <f>YEAR(AllData[[#This Row],[Date]])</f>
        <v>2024</v>
      </c>
      <c r="E1233" s="1">
        <v>0.80486111111111114</v>
      </c>
      <c r="F1233" s="2" t="str">
        <f>IF(AND(AllData[[#This Row],[Time]]&lt;0.5, AllData[[#This Row],[Time]]&gt;0.17)=TRUE, "Morning", IF(AND(AllData[[#This Row],[Time]]&lt;0.75, AllData[[#This Row],[Time]]&gt;=0.5)=TRUE, "Afternoon", IF(AND(AllData[[#This Row],[Time]]&lt;1, AllData[[#This Row],[Time]]&gt;=0.75)=TRUE, "Evening", "Night")))</f>
        <v>Evening</v>
      </c>
      <c r="G1233" t="str">
        <f>_xlfn.XLOOKUP(AllData[[#This Row],[Location Name]], Locations[Location Name],Locations[Group As])</f>
        <v>Abbey Mill</v>
      </c>
      <c r="H1233" t="e" vm="1">
        <f>_xlfn.XLOOKUP(AllData[[#This Row],[Site Name]],LocationsKey[Site Name],LocationsKey[District])</f>
        <v>#VALUE!</v>
      </c>
      <c r="I1233" t="e" vm="1">
        <f>_xlfn.XLOOKUP(AllData[[#This Row],[Site Name]],LocationsKey[Site Name],LocationsKey[Town])</f>
        <v>#VALUE!</v>
      </c>
      <c r="J1233" t="str">
        <f>_xlfn.XLOOKUP(AllData[[#This Row],[Site Name]],LocationsKey[Site Name], LocationsKey[Waterway])</f>
        <v>Avon</v>
      </c>
      <c r="K1233" t="s">
        <v>25</v>
      </c>
      <c r="L1233">
        <v>51.991205999999998</v>
      </c>
      <c r="M1233">
        <v>-2.162496</v>
      </c>
      <c r="N1233" t="s">
        <v>23</v>
      </c>
      <c r="O1233">
        <v>1060</v>
      </c>
      <c r="P1233">
        <v>18.399999999999999</v>
      </c>
      <c r="Q1233">
        <v>8</v>
      </c>
      <c r="R1233" s="7" t="str">
        <f>IF(AllData[[#This Row],[Nitrate (PPM)]]&gt;2, "Very high", IF(AllData[[#This Row],[Nitrate (PPM)]]&gt;1, "High", IF(AllData[[#This Row],[Nitrate (PPM)]]&gt;0.5, "Some evidence", IF(AllData[[#This Row],[Nitrate (PPM)]]&gt;=0, "No evidence"))))</f>
        <v>Very high</v>
      </c>
      <c r="S1233" s="4">
        <v>0.81</v>
      </c>
      <c r="T1233" s="7" t="str">
        <f>IF(AllData[[#This Row],[Phosphate (PPM)]]&gt;0.5, "Very high", IF(AllData[[#This Row],[Phosphate (PPM)]]&gt;0.1, "High", IF(AllData[[#This Row],[Phosphate (PPM)]]&gt;0.05, "Some evidence", IF(AllData[[#This Row],[Phosphate (PPM)]]&lt;=0.05, "No Evidence", ""))))</f>
        <v>Very high</v>
      </c>
      <c r="U1233">
        <v>0.4</v>
      </c>
    </row>
    <row r="1234" spans="1:22" x14ac:dyDescent="0.25">
      <c r="A1234" t="s">
        <v>1659</v>
      </c>
      <c r="B1234" s="2">
        <v>45536</v>
      </c>
      <c r="C1234" s="2" t="str" cm="1">
        <f t="array" ref="C12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4">
        <f>YEAR(AllData[[#This Row],[Date]])</f>
        <v>2024</v>
      </c>
      <c r="E1234" s="1">
        <v>0.42430555555555555</v>
      </c>
      <c r="F1234" s="2" t="str">
        <f>IF(AND(AllData[[#This Row],[Time]]&lt;0.5, AllData[[#This Row],[Time]]&gt;0.17)=TRUE, "Morning", IF(AND(AllData[[#This Row],[Time]]&lt;0.75, AllData[[#This Row],[Time]]&gt;=0.5)=TRUE, "Afternoon", IF(AND(AllData[[#This Row],[Time]]&lt;1, AllData[[#This Row],[Time]]&gt;=0.75)=TRUE, "Evening", "Night")))</f>
        <v>Morning</v>
      </c>
      <c r="G1234" t="str">
        <f>_xlfn.XLOOKUP(AllData[[#This Row],[Location Name]], Locations[Location Name],Locations[Group As])</f>
        <v>Lower Lode</v>
      </c>
      <c r="H1234" t="e" vm="1">
        <f>_xlfn.XLOOKUP(AllData[[#This Row],[Site Name]],LocationsKey[Site Name],LocationsKey[District])</f>
        <v>#VALUE!</v>
      </c>
      <c r="I1234" t="e" vm="1">
        <f>_xlfn.XLOOKUP(AllData[[#This Row],[Site Name]],LocationsKey[Site Name],LocationsKey[Town])</f>
        <v>#VALUE!</v>
      </c>
      <c r="J1234" t="str">
        <f>_xlfn.XLOOKUP(AllData[[#This Row],[Site Name]],LocationsKey[Site Name], LocationsKey[Waterway])</f>
        <v>Avon</v>
      </c>
      <c r="K1234" t="s">
        <v>592</v>
      </c>
      <c r="L1234">
        <v>51.984090000000002</v>
      </c>
      <c r="M1234">
        <v>-2.1777519999999999</v>
      </c>
      <c r="N1234" t="s">
        <v>29</v>
      </c>
      <c r="O1234">
        <v>1020</v>
      </c>
      <c r="P1234">
        <v>19.5</v>
      </c>
      <c r="Q1234">
        <v>10</v>
      </c>
      <c r="R1234" s="7" t="str">
        <f>IF(AllData[[#This Row],[Nitrate (PPM)]]&gt;2, "Very high", IF(AllData[[#This Row],[Nitrate (PPM)]]&gt;1, "High", IF(AllData[[#This Row],[Nitrate (PPM)]]&gt;0.5, "Some evidence", IF(AllData[[#This Row],[Nitrate (PPM)]]&gt;=0, "No evidence"))))</f>
        <v>Very high</v>
      </c>
      <c r="S1234" s="4">
        <v>1.04</v>
      </c>
      <c r="T1234" s="7" t="str">
        <f>IF(AllData[[#This Row],[Phosphate (PPM)]]&gt;0.5, "Very high", IF(AllData[[#This Row],[Phosphate (PPM)]]&gt;0.1, "High", IF(AllData[[#This Row],[Phosphate (PPM)]]&gt;0.05, "Some evidence", IF(AllData[[#This Row],[Phosphate (PPM)]]&lt;=0.05, "No Evidence", ""))))</f>
        <v>Very high</v>
      </c>
      <c r="U1234">
        <v>0</v>
      </c>
    </row>
    <row r="1235" spans="1:22" x14ac:dyDescent="0.25">
      <c r="A1235" t="s">
        <v>1658</v>
      </c>
      <c r="B1235" s="2">
        <v>45537</v>
      </c>
      <c r="C1235" s="2" t="str" cm="1">
        <f t="array" ref="C12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5">
        <f>YEAR(AllData[[#This Row],[Date]])</f>
        <v>2024</v>
      </c>
      <c r="E1235" s="1">
        <v>0.28819444444444442</v>
      </c>
      <c r="F1235" s="2" t="str">
        <f>IF(AND(AllData[[#This Row],[Time]]&lt;0.5, AllData[[#This Row],[Time]]&gt;0.17)=TRUE, "Morning", IF(AND(AllData[[#This Row],[Time]]&lt;0.75, AllData[[#This Row],[Time]]&gt;=0.5)=TRUE, "Afternoon", IF(AND(AllData[[#This Row],[Time]]&lt;1, AllData[[#This Row],[Time]]&gt;=0.75)=TRUE, "Evening", "Night")))</f>
        <v>Morning</v>
      </c>
      <c r="G1235" t="str">
        <f>_xlfn.XLOOKUP(AllData[[#This Row],[Location Name]], Locations[Location Name],Locations[Group As])</f>
        <v>Chipping Campden Lady J Gateway</v>
      </c>
      <c r="H1235" t="e" vm="23">
        <f>_xlfn.XLOOKUP(AllData[[#This Row],[Site Name]],LocationsKey[Site Name],LocationsKey[District])</f>
        <v>#VALUE!</v>
      </c>
      <c r="I1235" t="e" vm="24">
        <f>_xlfn.XLOOKUP(AllData[[#This Row],[Site Name]],LocationsKey[Site Name],LocationsKey[Town])</f>
        <v>#VALUE!</v>
      </c>
      <c r="J1235" t="str">
        <f>_xlfn.XLOOKUP(AllData[[#This Row],[Site Name]],LocationsKey[Site Name], LocationsKey[Waterway])</f>
        <v>Cam Brook</v>
      </c>
      <c r="K1235" t="s">
        <v>1476</v>
      </c>
      <c r="N1235" t="s">
        <v>66</v>
      </c>
      <c r="O1235">
        <v>507</v>
      </c>
      <c r="P1235">
        <v>17.600000000000001</v>
      </c>
      <c r="Q1235">
        <v>5</v>
      </c>
      <c r="R1235" s="7" t="str">
        <f>IF(AllData[[#This Row],[Nitrate (PPM)]]&gt;2, "Very high", IF(AllData[[#This Row],[Nitrate (PPM)]]&gt;1, "High", IF(AllData[[#This Row],[Nitrate (PPM)]]&gt;0.5, "Some evidence", IF(AllData[[#This Row],[Nitrate (PPM)]]&gt;=0, "No evidence"))))</f>
        <v>Very high</v>
      </c>
      <c r="S1235" s="4">
        <v>0.14000000000000001</v>
      </c>
      <c r="T1235" s="7" t="str">
        <f>IF(AllData[[#This Row],[Phosphate (PPM)]]&gt;0.5, "Very high", IF(AllData[[#This Row],[Phosphate (PPM)]]&gt;0.1, "High", IF(AllData[[#This Row],[Phosphate (PPM)]]&gt;0.05, "Some evidence", IF(AllData[[#This Row],[Phosphate (PPM)]]&lt;=0.05, "No Evidence", ""))))</f>
        <v>High</v>
      </c>
      <c r="U1235">
        <v>7.0000000000000007E-2</v>
      </c>
    </row>
    <row r="1236" spans="1:22" x14ac:dyDescent="0.25">
      <c r="A1236" t="s">
        <v>1655</v>
      </c>
      <c r="B1236" s="2">
        <v>45537</v>
      </c>
      <c r="C1236" s="2" t="str" cm="1">
        <f t="array" ref="C12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6">
        <f>YEAR(AllData[[#This Row],[Date]])</f>
        <v>2024</v>
      </c>
      <c r="E1236" s="1">
        <v>0.34722222222222221</v>
      </c>
      <c r="F1236" s="2" t="str">
        <f>IF(AND(AllData[[#This Row],[Time]]&lt;0.5, AllData[[#This Row],[Time]]&gt;0.17)=TRUE, "Morning", IF(AND(AllData[[#This Row],[Time]]&lt;0.75, AllData[[#This Row],[Time]]&gt;=0.5)=TRUE, "Afternoon", IF(AND(AllData[[#This Row],[Time]]&lt;1, AllData[[#This Row],[Time]]&gt;=0.75)=TRUE, "Evening", "Night")))</f>
        <v>Morning</v>
      </c>
      <c r="G1236" t="str">
        <f>_xlfn.XLOOKUP(AllData[[#This Row],[Location Name]], Locations[Location Name],Locations[Group As])</f>
        <v>Chipping Campden Sewage Works</v>
      </c>
      <c r="H1236" t="e" vm="23">
        <f>_xlfn.XLOOKUP(AllData[[#This Row],[Site Name]],LocationsKey[Site Name],LocationsKey[District])</f>
        <v>#VALUE!</v>
      </c>
      <c r="I1236" t="e" vm="24">
        <f>_xlfn.XLOOKUP(AllData[[#This Row],[Site Name]],LocationsKey[Site Name],LocationsKey[Town])</f>
        <v>#VALUE!</v>
      </c>
      <c r="J1236" t="str">
        <f>_xlfn.XLOOKUP(AllData[[#This Row],[Site Name]],LocationsKey[Site Name], LocationsKey[Waterway])</f>
        <v>Cam Brook</v>
      </c>
      <c r="K1236" t="s">
        <v>1474</v>
      </c>
      <c r="N1236" t="s">
        <v>29</v>
      </c>
      <c r="O1236">
        <v>792</v>
      </c>
      <c r="P1236">
        <v>17.2</v>
      </c>
      <c r="Q1236">
        <v>2</v>
      </c>
      <c r="R1236" s="7" t="str">
        <f>IF(AllData[[#This Row],[Nitrate (PPM)]]&gt;2, "Very high", IF(AllData[[#This Row],[Nitrate (PPM)]]&gt;1, "High", IF(AllData[[#This Row],[Nitrate (PPM)]]&gt;0.5, "Some evidence", IF(AllData[[#This Row],[Nitrate (PPM)]]&gt;=0, "No evidence"))))</f>
        <v>High</v>
      </c>
      <c r="S1236" s="4">
        <v>0.26</v>
      </c>
      <c r="T1236" s="7" t="str">
        <f>IF(AllData[[#This Row],[Phosphate (PPM)]]&gt;0.5, "Very high", IF(AllData[[#This Row],[Phosphate (PPM)]]&gt;0.1, "High", IF(AllData[[#This Row],[Phosphate (PPM)]]&gt;0.05, "Some evidence", IF(AllData[[#This Row],[Phosphate (PPM)]]&lt;=0.05, "No Evidence", ""))))</f>
        <v>High</v>
      </c>
      <c r="U1236">
        <v>0.23</v>
      </c>
      <c r="V1236" t="s">
        <v>1868</v>
      </c>
    </row>
    <row r="1237" spans="1:22" x14ac:dyDescent="0.25">
      <c r="A1237" t="s">
        <v>1679</v>
      </c>
      <c r="B1237" s="2">
        <v>45537</v>
      </c>
      <c r="C1237" s="2" t="str" cm="1">
        <f t="array" ref="C12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7">
        <f>YEAR(AllData[[#This Row],[Date]])</f>
        <v>2024</v>
      </c>
      <c r="E1237" s="1">
        <v>0.45833333333333331</v>
      </c>
      <c r="F1237" s="2" t="str">
        <f>IF(AND(AllData[[#This Row],[Time]]&lt;0.5, AllData[[#This Row],[Time]]&gt;0.17)=TRUE, "Morning", IF(AND(AllData[[#This Row],[Time]]&lt;0.75, AllData[[#This Row],[Time]]&gt;=0.5)=TRUE, "Afternoon", IF(AND(AllData[[#This Row],[Time]]&lt;1, AllData[[#This Row],[Time]]&gt;=0.75)=TRUE, "Evening", "Night")))</f>
        <v>Morning</v>
      </c>
      <c r="G1237" t="str">
        <f>_xlfn.XLOOKUP(AllData[[#This Row],[Location Name]], Locations[Location Name],Locations[Group As])</f>
        <v>Chipping Campden Craves</v>
      </c>
      <c r="H1237" t="e" vm="23">
        <f>_xlfn.XLOOKUP(AllData[[#This Row],[Site Name]],LocationsKey[Site Name],LocationsKey[District])</f>
        <v>#VALUE!</v>
      </c>
      <c r="I1237" t="e" vm="24">
        <f>_xlfn.XLOOKUP(AllData[[#This Row],[Site Name]],LocationsKey[Site Name],LocationsKey[Town])</f>
        <v>#VALUE!</v>
      </c>
      <c r="J1237" t="str">
        <f>_xlfn.XLOOKUP(AllData[[#This Row],[Site Name]],LocationsKey[Site Name], LocationsKey[Waterway])</f>
        <v>Cam Brook</v>
      </c>
      <c r="K1237" t="s">
        <v>1857</v>
      </c>
      <c r="N1237" t="s">
        <v>66</v>
      </c>
      <c r="O1237">
        <v>442</v>
      </c>
      <c r="P1237">
        <v>20</v>
      </c>
      <c r="Q1237">
        <v>5</v>
      </c>
      <c r="R1237" s="126" t="str">
        <f>IF(AllData[[#This Row],[Nitrate (PPM)]]&gt;2, "Very high", IF(AllData[[#This Row],[Nitrate (PPM)]]&gt;1, "High", IF(AllData[[#This Row],[Nitrate (PPM)]]&gt;0.5, "Some evidence", IF(AllData[[#This Row],[Nitrate (PPM)]]&gt;=0, "No evidence"))))</f>
        <v>Very high</v>
      </c>
      <c r="S1237" s="4">
        <v>0.83</v>
      </c>
      <c r="T1237" s="126" t="str">
        <f>IF(AllData[[#This Row],[Phosphate (PPM)]]&gt;0.5, "Very high", IF(AllData[[#This Row],[Phosphate (PPM)]]&gt;0.1, "High", IF(AllData[[#This Row],[Phosphate (PPM)]]&gt;0.05, "Some evidence", IF(AllData[[#This Row],[Phosphate (PPM)]]&lt;=0.05, "No Evidence", ""))))</f>
        <v>Very high</v>
      </c>
      <c r="U1237">
        <v>6.5</v>
      </c>
    </row>
    <row r="1238" spans="1:22" x14ac:dyDescent="0.25">
      <c r="A1238" t="s">
        <v>1654</v>
      </c>
      <c r="B1238" s="2">
        <v>45537</v>
      </c>
      <c r="C1238" s="2" t="str" cm="1">
        <f t="array" ref="C12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238">
        <f>YEAR(AllData[[#This Row],[Date]])</f>
        <v>2024</v>
      </c>
      <c r="E1238" s="1">
        <v>0.70833333333333337</v>
      </c>
      <c r="F1238" s="2" t="str">
        <f>IF(AND(AllData[[#This Row],[Time]]&lt;0.5, AllData[[#This Row],[Time]]&gt;0.17)=TRUE, "Morning", IF(AND(AllData[[#This Row],[Time]]&lt;0.75, AllData[[#This Row],[Time]]&gt;=0.5)=TRUE, "Afternoon", IF(AND(AllData[[#This Row],[Time]]&lt;1, AllData[[#This Row],[Time]]&gt;=0.75)=TRUE, "Evening", "Night")))</f>
        <v>Afternoon</v>
      </c>
      <c r="G1238" t="str">
        <f>_xlfn.XLOOKUP(AllData[[#This Row],[Location Name]], Locations[Location Name],Locations[Group As])</f>
        <v>Fell Mill Footbridge</v>
      </c>
      <c r="H1238" t="e" vm="2">
        <f>_xlfn.XLOOKUP(AllData[[#This Row],[Site Name]],LocationsKey[Site Name],LocationsKey[District])</f>
        <v>#VALUE!</v>
      </c>
      <c r="I1238" t="e" vm="10">
        <f>_xlfn.XLOOKUP(AllData[[#This Row],[Site Name]],LocationsKey[Site Name],LocationsKey[Town])</f>
        <v>#VALUE!</v>
      </c>
      <c r="J1238" t="str">
        <f>_xlfn.XLOOKUP(AllData[[#This Row],[Site Name]],LocationsKey[Site Name], LocationsKey[Waterway])</f>
        <v>Stour</v>
      </c>
      <c r="K1238" t="s">
        <v>1848</v>
      </c>
      <c r="L1238">
        <v>52.070086000000003</v>
      </c>
      <c r="M1238">
        <v>-1.61145</v>
      </c>
      <c r="N1238" t="s">
        <v>29</v>
      </c>
      <c r="O1238">
        <v>655</v>
      </c>
      <c r="P1238">
        <v>18.5</v>
      </c>
      <c r="Q1238">
        <v>5</v>
      </c>
      <c r="R1238" s="126" t="str">
        <f>IF(AllData[[#This Row],[Nitrate (PPM)]]&gt;2, "Very high", IF(AllData[[#This Row],[Nitrate (PPM)]]&gt;1, "High", IF(AllData[[#This Row],[Nitrate (PPM)]]&gt;0.5, "Some evidence", IF(AllData[[#This Row],[Nitrate (PPM)]]&gt;=0, "No evidence"))))</f>
        <v>Very high</v>
      </c>
      <c r="S1238" s="4">
        <v>0.49</v>
      </c>
      <c r="T1238" s="126" t="str">
        <f>IF(AllData[[#This Row],[Phosphate (PPM)]]&gt;0.5, "Very high", IF(AllData[[#This Row],[Phosphate (PPM)]]&gt;0.1, "High", IF(AllData[[#This Row],[Phosphate (PPM)]]&gt;0.05, "Some evidence", IF(AllData[[#This Row],[Phosphate (PPM)]]&lt;=0.05, "No Evidence", ""))))</f>
        <v>High</v>
      </c>
      <c r="U1238">
        <v>0.9</v>
      </c>
      <c r="V1238" t="s">
        <v>1867</v>
      </c>
    </row>
    <row r="1240" spans="1:22" x14ac:dyDescent="0.25">
      <c r="L1240" s="174"/>
      <c r="M1240" s="174"/>
    </row>
  </sheetData>
  <conditionalFormatting sqref="O2:O1238">
    <cfRule type="colorScale" priority="9">
      <colorScale>
        <cfvo type="min"/>
        <cfvo type="max"/>
        <color rgb="FFFCFCFF"/>
        <color theme="4"/>
      </colorScale>
    </cfRule>
  </conditionalFormatting>
  <conditionalFormatting sqref="P2:P1238">
    <cfRule type="colorScale" priority="1">
      <colorScale>
        <cfvo type="min"/>
        <cfvo type="percentile" val="50"/>
        <cfvo type="max"/>
        <color rgb="FF5A8AC6"/>
        <color rgb="FFFCFCFF"/>
        <color rgb="FFF8696B"/>
      </colorScale>
    </cfRule>
  </conditionalFormatting>
  <conditionalFormatting sqref="Q2:Q1238">
    <cfRule type="colorScale" priority="10">
      <colorScale>
        <cfvo type="min"/>
        <cfvo type="max"/>
        <color rgb="FFFCFCFF"/>
        <color rgb="FFF8696B"/>
      </colorScale>
    </cfRule>
  </conditionalFormatting>
  <conditionalFormatting sqref="R2:R96 T2:T1238 R98:R182 R184:R1238">
    <cfRule type="cellIs" dxfId="5" priority="2" operator="equal">
      <formula>"No evidence"</formula>
    </cfRule>
    <cfRule type="cellIs" dxfId="4" priority="4" operator="equal">
      <formula>"Some evidence"</formula>
    </cfRule>
    <cfRule type="cellIs" dxfId="3" priority="5" operator="equal">
      <formula>"High"</formula>
    </cfRule>
    <cfRule type="cellIs" dxfId="2" priority="6" operator="equal">
      <formula>"Very high"</formula>
    </cfRule>
  </conditionalFormatting>
  <conditionalFormatting sqref="S2:S1238">
    <cfRule type="colorScale" priority="11">
      <colorScale>
        <cfvo type="min"/>
        <cfvo type="max"/>
        <color rgb="FFFCFCFF"/>
        <color rgb="FFF8696B"/>
      </colorScale>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AB14-5F43-4210-8B87-45EA78CBCEBA}">
  <dimension ref="A1:J122"/>
  <sheetViews>
    <sheetView zoomScaleNormal="100" workbookViewId="0">
      <selection activeCell="F9" sqref="F9"/>
    </sheetView>
  </sheetViews>
  <sheetFormatPr defaultRowHeight="15" x14ac:dyDescent="0.25"/>
  <cols>
    <col min="1" max="1" width="44.28515625" bestFit="1" customWidth="1"/>
    <col min="2" max="2" width="15.7109375" hidden="1" customWidth="1"/>
    <col min="3" max="3" width="17.28515625" hidden="1" customWidth="1"/>
    <col min="4" max="4" width="48.85546875" bestFit="1" customWidth="1"/>
    <col min="6" max="6" width="35.28515625" bestFit="1" customWidth="1"/>
    <col min="7" max="7" width="18.5703125" bestFit="1" customWidth="1"/>
    <col min="8" max="8" width="15.5703125" bestFit="1" customWidth="1"/>
    <col min="9" max="9" width="42.28515625" hidden="1" customWidth="1"/>
    <col min="10" max="10" width="24.5703125" bestFit="1" customWidth="1"/>
  </cols>
  <sheetData>
    <row r="1" spans="1:10" x14ac:dyDescent="0.25">
      <c r="A1" s="88" t="s">
        <v>1939</v>
      </c>
      <c r="F1" s="88" t="s">
        <v>1940</v>
      </c>
    </row>
    <row r="2" spans="1:10" x14ac:dyDescent="0.25">
      <c r="A2" t="s">
        <v>9</v>
      </c>
      <c r="B2" t="s">
        <v>1562</v>
      </c>
      <c r="C2" t="s">
        <v>1563</v>
      </c>
      <c r="D2" t="s">
        <v>1564</v>
      </c>
      <c r="F2" t="s">
        <v>6</v>
      </c>
      <c r="G2" t="s">
        <v>1565</v>
      </c>
      <c r="H2" t="s">
        <v>1956</v>
      </c>
      <c r="I2" t="s">
        <v>1566</v>
      </c>
      <c r="J2" t="s">
        <v>1945</v>
      </c>
    </row>
    <row r="3" spans="1:10" x14ac:dyDescent="0.25">
      <c r="A3" t="s">
        <v>25</v>
      </c>
      <c r="B3" s="3" t="e">
        <f>#REF!-#REF!</f>
        <v>#REF!</v>
      </c>
      <c r="C3" s="3" t="e">
        <f>#REF!-#REF!</f>
        <v>#REF!</v>
      </c>
      <c r="D3" t="s">
        <v>25</v>
      </c>
      <c r="F3" t="s">
        <v>25</v>
      </c>
      <c r="G3" t="s">
        <v>1568</v>
      </c>
      <c r="H3" t="e" vm="1">
        <v>#VALUE!</v>
      </c>
      <c r="I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AV-OTH-Abbey Mill</v>
      </c>
      <c r="J3" t="e" vm="1">
        <v>#VALUE!</v>
      </c>
    </row>
    <row r="4" spans="1:10" x14ac:dyDescent="0.25">
      <c r="A4" t="s">
        <v>1864</v>
      </c>
      <c r="B4" s="3" t="e">
        <f>#REF!-#REF!</f>
        <v>#REF!</v>
      </c>
      <c r="C4" s="3" t="e">
        <f>#REF!-#REF!</f>
        <v>#REF!</v>
      </c>
      <c r="D4" t="s">
        <v>1861</v>
      </c>
      <c r="F4" t="s">
        <v>286</v>
      </c>
      <c r="G4" t="s">
        <v>1568</v>
      </c>
      <c r="H4" t="e" vm="2">
        <v>#VALUE!</v>
      </c>
      <c r="I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AV-OTH-Alveston Weir</v>
      </c>
      <c r="J4" t="e" vm="13">
        <v>#VALUE!</v>
      </c>
    </row>
    <row r="5" spans="1:10" x14ac:dyDescent="0.25">
      <c r="A5" t="s">
        <v>1249</v>
      </c>
      <c r="B5" s="3" t="e">
        <f>#REF!-#REF!</f>
        <v>#REF!</v>
      </c>
      <c r="C5" s="3" t="e">
        <f>#REF!-#REF!</f>
        <v>#REF!</v>
      </c>
      <c r="D5" t="s">
        <v>284</v>
      </c>
      <c r="F5" t="s">
        <v>741</v>
      </c>
      <c r="G5" t="s">
        <v>1568</v>
      </c>
      <c r="H5" t="e" vm="17">
        <v>#VALUE!</v>
      </c>
      <c r="I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AV-OTH-Avon Smiths Meadow Wyre Piddle</v>
      </c>
      <c r="J5" t="e" vm="20">
        <v>#VALUE!</v>
      </c>
    </row>
    <row r="6" spans="1:10" x14ac:dyDescent="0.25">
      <c r="A6" t="s">
        <v>286</v>
      </c>
      <c r="B6" s="3" t="e">
        <f>#REF!-#REF!</f>
        <v>#REF!</v>
      </c>
      <c r="C6" s="3" t="e">
        <f>#REF!-#REF!</f>
        <v>#REF!</v>
      </c>
      <c r="D6" t="s">
        <v>286</v>
      </c>
      <c r="F6" t="s">
        <v>65</v>
      </c>
      <c r="G6" t="s">
        <v>1568</v>
      </c>
      <c r="H6" t="e" vm="2">
        <v>#VALUE!</v>
      </c>
      <c r="I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AV-OTH-Avonbank Drive</v>
      </c>
      <c r="J6" t="e" vm="7">
        <v>#VALUE!</v>
      </c>
    </row>
    <row r="7" spans="1:10" x14ac:dyDescent="0.25">
      <c r="A7" t="s">
        <v>741</v>
      </c>
      <c r="B7" s="3" t="e">
        <f>#REF!-#REF!</f>
        <v>#REF!</v>
      </c>
      <c r="C7" s="3" t="e">
        <f>#REF!-#REF!</f>
        <v>#REF!</v>
      </c>
      <c r="D7" t="s">
        <v>741</v>
      </c>
      <c r="F7" t="s">
        <v>49</v>
      </c>
      <c r="G7" t="s">
        <v>1568</v>
      </c>
      <c r="H7" t="e" vm="2">
        <v>#VALUE!</v>
      </c>
      <c r="I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AV-OTH-Barton</v>
      </c>
      <c r="J7" t="s">
        <v>49</v>
      </c>
    </row>
    <row r="8" spans="1:10" x14ac:dyDescent="0.25">
      <c r="A8" t="s">
        <v>103</v>
      </c>
      <c r="B8" s="3" t="e">
        <f>#REF!-#REF!</f>
        <v>#REF!</v>
      </c>
      <c r="C8" s="3" t="e">
        <f>#REF!-#REF!</f>
        <v>#REF!</v>
      </c>
      <c r="D8" t="s">
        <v>65</v>
      </c>
      <c r="F8" t="s">
        <v>534</v>
      </c>
      <c r="G8" t="s">
        <v>1570</v>
      </c>
      <c r="H8" t="e" vm="2">
        <v>#VALUE!</v>
      </c>
      <c r="I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OTH-OTH-Bell Brook 1</v>
      </c>
      <c r="J8" t="e" vm="15">
        <v>#VALUE!</v>
      </c>
    </row>
    <row r="9" spans="1:10" x14ac:dyDescent="0.25">
      <c r="A9" t="s">
        <v>65</v>
      </c>
      <c r="B9" s="3" t="e">
        <f>#REF!-#REF!</f>
        <v>#REF!</v>
      </c>
      <c r="C9" s="3" t="e">
        <f>#REF!-#REF!</f>
        <v>#REF!</v>
      </c>
      <c r="D9" t="s">
        <v>65</v>
      </c>
      <c r="F9" t="s">
        <v>567</v>
      </c>
      <c r="G9" t="s">
        <v>1568</v>
      </c>
      <c r="H9" t="e" vm="1">
        <v>#VALUE!</v>
      </c>
      <c r="I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AV-OTH-Black Bear</v>
      </c>
      <c r="J9" t="e" vm="1">
        <v>#VALUE!</v>
      </c>
    </row>
    <row r="10" spans="1:10" x14ac:dyDescent="0.25">
      <c r="A10" t="s">
        <v>49</v>
      </c>
      <c r="B10" s="3" t="e">
        <f>#REF!-#REF!</f>
        <v>#REF!</v>
      </c>
      <c r="C10" s="3" t="e">
        <f>#REF!-#REF!</f>
        <v>#REF!</v>
      </c>
      <c r="D10" t="s">
        <v>49</v>
      </c>
      <c r="F10" t="s">
        <v>1571</v>
      </c>
      <c r="G10" t="s">
        <v>1568</v>
      </c>
      <c r="H10" t="e" vm="1">
        <v>#VALUE!</v>
      </c>
      <c r="I1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AV-OTH-Bredon Dock Lane</v>
      </c>
      <c r="J10" t="e" vm="25">
        <v>#VALUE!</v>
      </c>
    </row>
    <row r="11" spans="1:10" x14ac:dyDescent="0.25">
      <c r="A11" t="s">
        <v>534</v>
      </c>
      <c r="B11" s="3" t="e">
        <f>#REF!-#REF!</f>
        <v>#REF!</v>
      </c>
      <c r="C11" s="3" t="e">
        <f>#REF!-#REF!</f>
        <v>#REF!</v>
      </c>
      <c r="D11" t="s">
        <v>534</v>
      </c>
      <c r="F11" t="s">
        <v>1649</v>
      </c>
      <c r="G11" t="s">
        <v>1568</v>
      </c>
      <c r="H11" t="e" vm="1">
        <v>#VALUE!</v>
      </c>
      <c r="I1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AV-OTH-Bredon Marina</v>
      </c>
      <c r="J11" t="e" vm="25">
        <v>#VALUE!</v>
      </c>
    </row>
    <row r="12" spans="1:10" x14ac:dyDescent="0.25">
      <c r="A12" t="s">
        <v>567</v>
      </c>
      <c r="B12" s="3" t="e">
        <f>#REF!-#REF!</f>
        <v>#REF!</v>
      </c>
      <c r="C12" s="3" t="e">
        <f>#REF!-#REF!</f>
        <v>#REF!</v>
      </c>
      <c r="D12" t="s">
        <v>567</v>
      </c>
      <c r="F12" t="s">
        <v>1863</v>
      </c>
      <c r="G12" t="s">
        <v>1573</v>
      </c>
      <c r="H12" t="e" vm="1">
        <v>#VALUE!</v>
      </c>
      <c r="I1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A38</v>
      </c>
      <c r="J12" t="s">
        <v>80</v>
      </c>
    </row>
    <row r="13" spans="1:10" x14ac:dyDescent="0.25">
      <c r="A13" t="s">
        <v>1355</v>
      </c>
      <c r="B13" s="3" t="e">
        <f>#REF!-#REF!</f>
        <v>#REF!</v>
      </c>
      <c r="C13" s="3" t="e">
        <f>#REF!-#REF!</f>
        <v>#REF!</v>
      </c>
      <c r="D13" t="s">
        <v>1571</v>
      </c>
      <c r="F13" t="s">
        <v>1572</v>
      </c>
      <c r="G13" t="s">
        <v>1573</v>
      </c>
      <c r="H13" t="e" vm="1">
        <v>#VALUE!</v>
      </c>
      <c r="I1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Back Lane Beckford</v>
      </c>
      <c r="J13" t="s">
        <v>1946</v>
      </c>
    </row>
    <row r="14" spans="1:10" x14ac:dyDescent="0.25">
      <c r="A14" t="s">
        <v>1649</v>
      </c>
      <c r="B14" s="3" t="e">
        <f>#REF!-#REF!</f>
        <v>#REF!</v>
      </c>
      <c r="C14" s="3" t="e">
        <f>#REF!-#REF!</f>
        <v>#REF!</v>
      </c>
      <c r="D14" t="s">
        <v>1649</v>
      </c>
      <c r="F14" t="s">
        <v>1574</v>
      </c>
      <c r="G14" t="s">
        <v>1573</v>
      </c>
      <c r="H14" t="e" vm="1">
        <v>#VALUE!</v>
      </c>
      <c r="I1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Beckford Sewage Works</v>
      </c>
      <c r="J14" t="s">
        <v>1946</v>
      </c>
    </row>
    <row r="15" spans="1:10" x14ac:dyDescent="0.25">
      <c r="A15" t="s">
        <v>1857</v>
      </c>
      <c r="B15" s="3" t="e">
        <f>#REF!-#REF!</f>
        <v>#REF!</v>
      </c>
      <c r="C15" s="3" t="e">
        <f>#REF!-#REF!</f>
        <v>#REF!</v>
      </c>
      <c r="D15" t="s">
        <v>1938</v>
      </c>
      <c r="F15" t="s">
        <v>600</v>
      </c>
      <c r="G15" t="s">
        <v>1573</v>
      </c>
      <c r="H15" t="e" vm="1">
        <v>#VALUE!</v>
      </c>
      <c r="I1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Bredon Rd</v>
      </c>
      <c r="J15" t="e" vm="1">
        <v>#VALUE!</v>
      </c>
    </row>
    <row r="16" spans="1:10" x14ac:dyDescent="0.25">
      <c r="A16" t="s">
        <v>1476</v>
      </c>
      <c r="B16" s="3" t="e">
        <f>#REF!-#REF!</f>
        <v>#REF!</v>
      </c>
      <c r="C16" s="3" t="e">
        <f>#REF!-#REF!</f>
        <v>#REF!</v>
      </c>
      <c r="D16" t="s">
        <v>1650</v>
      </c>
      <c r="F16" t="s">
        <v>1575</v>
      </c>
      <c r="G16" t="s">
        <v>1573</v>
      </c>
      <c r="H16" t="e" vm="1">
        <v>#VALUE!</v>
      </c>
      <c r="I1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M5 Bridge</v>
      </c>
      <c r="J16" t="e" vm="1">
        <v>#VALUE!</v>
      </c>
    </row>
    <row r="17" spans="1:10" x14ac:dyDescent="0.25">
      <c r="A17" t="s">
        <v>1474</v>
      </c>
      <c r="B17" s="3" t="e">
        <f>#REF!-#REF!</f>
        <v>#REF!</v>
      </c>
      <c r="C17" s="3" t="e">
        <f>#REF!-#REF!</f>
        <v>#REF!</v>
      </c>
      <c r="D17" t="s">
        <v>1651</v>
      </c>
      <c r="F17" t="s">
        <v>1577</v>
      </c>
      <c r="G17" t="s">
        <v>1573</v>
      </c>
      <c r="H17" t="e" vm="1">
        <v>#VALUE!</v>
      </c>
      <c r="I1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Mitton Bridge</v>
      </c>
      <c r="J17" t="e" vm="1">
        <v>#VALUE!</v>
      </c>
    </row>
    <row r="18" spans="1:10" x14ac:dyDescent="0.25">
      <c r="A18" t="s">
        <v>1863</v>
      </c>
      <c r="B18" s="3" t="e">
        <f>#REF!-#REF!</f>
        <v>#REF!</v>
      </c>
      <c r="C18" s="3" t="e">
        <f>#REF!-#REF!</f>
        <v>#REF!</v>
      </c>
      <c r="D18" t="s">
        <v>1863</v>
      </c>
      <c r="F18" t="s">
        <v>1097</v>
      </c>
      <c r="G18" t="s">
        <v>1573</v>
      </c>
      <c r="H18" t="e" vm="1">
        <v>#VALUE!</v>
      </c>
      <c r="I1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Mitton Path</v>
      </c>
      <c r="J18" t="e" vm="1">
        <v>#VALUE!</v>
      </c>
    </row>
    <row r="19" spans="1:10" x14ac:dyDescent="0.25">
      <c r="A19" t="s">
        <v>1307</v>
      </c>
      <c r="B19" s="3" t="e">
        <f>#REF!-#REF!</f>
        <v>#REF!</v>
      </c>
      <c r="C19" s="3" t="e">
        <f>#REF!-#REF!</f>
        <v>#REF!</v>
      </c>
      <c r="D19" t="s">
        <v>1572</v>
      </c>
      <c r="F19" t="s">
        <v>1938</v>
      </c>
      <c r="G19" t="s">
        <v>1949</v>
      </c>
      <c r="H19" t="e" vm="23">
        <v>#VALUE!</v>
      </c>
      <c r="I1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Craves</v>
      </c>
      <c r="J19" t="e" vm="24">
        <v>#VALUE!</v>
      </c>
    </row>
    <row r="20" spans="1:10" x14ac:dyDescent="0.25">
      <c r="A20" t="s">
        <v>1305</v>
      </c>
      <c r="B20" s="3" t="e">
        <f>#REF!-#REF!</f>
        <v>#REF!</v>
      </c>
      <c r="C20" s="3" t="e">
        <f>#REF!-#REF!</f>
        <v>#REF!</v>
      </c>
      <c r="D20" t="s">
        <v>1574</v>
      </c>
      <c r="F20" t="s">
        <v>1650</v>
      </c>
      <c r="G20" t="s">
        <v>1949</v>
      </c>
      <c r="H20" t="e" vm="23">
        <v>#VALUE!</v>
      </c>
      <c r="I2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Lady J Gateway</v>
      </c>
      <c r="J20" t="e" vm="24">
        <v>#VALUE!</v>
      </c>
    </row>
    <row r="21" spans="1:10" x14ac:dyDescent="0.25">
      <c r="A21" t="s">
        <v>600</v>
      </c>
      <c r="B21" s="3" t="e">
        <f>#REF!-#REF!</f>
        <v>#REF!</v>
      </c>
      <c r="C21" s="3" t="e">
        <f>#REF!-#REF!</f>
        <v>#REF!</v>
      </c>
      <c r="D21" t="s">
        <v>600</v>
      </c>
      <c r="F21" t="s">
        <v>1651</v>
      </c>
      <c r="G21" t="s">
        <v>1949</v>
      </c>
      <c r="H21" t="e" vm="23">
        <v>#VALUE!</v>
      </c>
      <c r="I2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Sewage Works</v>
      </c>
      <c r="J21" t="e" vm="24">
        <v>#VALUE!</v>
      </c>
    </row>
    <row r="22" spans="1:10" x14ac:dyDescent="0.25">
      <c r="A22" t="s">
        <v>439</v>
      </c>
      <c r="B22" s="3" t="e">
        <f>#REF!-#REF!</f>
        <v>#REF!</v>
      </c>
      <c r="C22" s="3" t="e">
        <f>#REF!-#REF!</f>
        <v>#REF!</v>
      </c>
      <c r="D22" t="s">
        <v>600</v>
      </c>
      <c r="F22" t="s">
        <v>1578</v>
      </c>
      <c r="G22" t="s">
        <v>1579</v>
      </c>
      <c r="H22" t="e" vm="2">
        <v>#VALUE!</v>
      </c>
      <c r="I2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ST-OTH-Clifford Chambers Mill Bridge</v>
      </c>
      <c r="J22" t="e" vm="12">
        <v>#VALUE!</v>
      </c>
    </row>
    <row r="23" spans="1:10" x14ac:dyDescent="0.25">
      <c r="A23" t="s">
        <v>1858</v>
      </c>
      <c r="B23" s="3" t="e">
        <f>#REF!-#REF!</f>
        <v>#REF!</v>
      </c>
      <c r="C23" s="3" t="e">
        <f>#REF!-#REF!</f>
        <v>#REF!</v>
      </c>
      <c r="D23" t="s">
        <v>1572</v>
      </c>
      <c r="F23" t="s">
        <v>1580</v>
      </c>
      <c r="G23" t="s">
        <v>1579</v>
      </c>
      <c r="H23" t="e" vm="2">
        <v>#VALUE!</v>
      </c>
      <c r="I2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ST-OTH-Clifford Chambers Road Bridge</v>
      </c>
      <c r="J23" t="e" vm="12">
        <v>#VALUE!</v>
      </c>
    </row>
    <row r="24" spans="1:10" x14ac:dyDescent="0.25">
      <c r="A24" t="s">
        <v>1490</v>
      </c>
      <c r="B24" s="3" t="e">
        <f>#REF!-#REF!</f>
        <v>#REF!</v>
      </c>
      <c r="C24" s="3" t="e">
        <f>#REF!-#REF!</f>
        <v>#REF!</v>
      </c>
      <c r="D24" t="s">
        <v>1572</v>
      </c>
      <c r="F24" t="s">
        <v>818</v>
      </c>
      <c r="G24" t="s">
        <v>1579</v>
      </c>
      <c r="H24" t="e" vm="2">
        <v>#VALUE!</v>
      </c>
      <c r="I2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ST-OTH-Fell Mill Footbridge</v>
      </c>
      <c r="J24" t="e" vm="10">
        <v>#VALUE!</v>
      </c>
    </row>
    <row r="25" spans="1:10" x14ac:dyDescent="0.25">
      <c r="A25" t="s">
        <v>1547</v>
      </c>
      <c r="B25" s="3" t="e">
        <f>#REF!-#REF!</f>
        <v>#REF!</v>
      </c>
      <c r="C25" s="3" t="e">
        <f>#REF!-#REF!</f>
        <v>#REF!</v>
      </c>
      <c r="D25" t="s">
        <v>1572</v>
      </c>
      <c r="F25" t="s">
        <v>37</v>
      </c>
      <c r="G25" t="s">
        <v>1568</v>
      </c>
      <c r="H25" t="e" vm="2">
        <v>#VALUE!</v>
      </c>
      <c r="I2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AV-OTH-Hampton Lucy</v>
      </c>
      <c r="J25" t="e" vm="4">
        <v>#VALUE!</v>
      </c>
    </row>
    <row r="26" spans="1:10" x14ac:dyDescent="0.25">
      <c r="A26" t="s">
        <v>960</v>
      </c>
      <c r="B26" s="3" t="e">
        <f>#REF!-#REF!</f>
        <v>#REF!</v>
      </c>
      <c r="C26" s="3" t="e">
        <f>#REF!-#REF!</f>
        <v>#REF!</v>
      </c>
      <c r="D26" t="s">
        <v>1575</v>
      </c>
      <c r="F26" t="s">
        <v>34</v>
      </c>
      <c r="G26" t="s">
        <v>1568</v>
      </c>
      <c r="H26" t="e" vm="2">
        <v>#VALUE!</v>
      </c>
      <c r="I2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AV-OTH-Hampton Wood</v>
      </c>
      <c r="J26" t="e" vm="3">
        <v>#VALUE!</v>
      </c>
    </row>
    <row r="27" spans="1:10" x14ac:dyDescent="0.25">
      <c r="A27" t="s">
        <v>1209</v>
      </c>
      <c r="B27" s="3" t="e">
        <f>#REF!-#REF!</f>
        <v>#REF!</v>
      </c>
      <c r="C27" s="3" t="e">
        <f>#REF!-#REF!</f>
        <v>#REF!</v>
      </c>
      <c r="D27" t="s">
        <v>1577</v>
      </c>
      <c r="F27" t="s">
        <v>592</v>
      </c>
      <c r="G27" t="s">
        <v>1568</v>
      </c>
      <c r="H27" t="e" vm="1">
        <v>#VALUE!</v>
      </c>
      <c r="I2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AV-OTH-Lower Lode</v>
      </c>
      <c r="J27" t="e" vm="1">
        <v>#VALUE!</v>
      </c>
    </row>
    <row r="28" spans="1:10" x14ac:dyDescent="0.25">
      <c r="A28" t="s">
        <v>958</v>
      </c>
      <c r="B28" s="3" t="e">
        <f>#REF!-#REF!</f>
        <v>#REF!</v>
      </c>
      <c r="C28" s="3" t="e">
        <f>#REF!-#REF!</f>
        <v>#REF!</v>
      </c>
      <c r="D28" t="s">
        <v>1097</v>
      </c>
      <c r="F28" t="s">
        <v>216</v>
      </c>
      <c r="G28" t="s">
        <v>1568</v>
      </c>
      <c r="H28" t="e" vm="2">
        <v>#VALUE!</v>
      </c>
      <c r="I2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AV-OTH-Lucy's Mill Bridge</v>
      </c>
      <c r="J28" t="e" vm="7">
        <v>#VALUE!</v>
      </c>
    </row>
    <row r="29" spans="1:10" x14ac:dyDescent="0.25">
      <c r="A29" t="s">
        <v>768</v>
      </c>
      <c r="B29" s="3" t="e">
        <f>#REF!-#REF!</f>
        <v>#REF!</v>
      </c>
      <c r="C29" s="3" t="e">
        <f>#REF!-#REF!</f>
        <v>#REF!</v>
      </c>
      <c r="D29" t="s">
        <v>845</v>
      </c>
      <c r="F29" t="s">
        <v>845</v>
      </c>
      <c r="G29" t="s">
        <v>1583</v>
      </c>
      <c r="H29" t="e" vm="17">
        <v>#VALUE!</v>
      </c>
      <c r="I2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OTH-OTH-Mill Bridge Peopleton</v>
      </c>
      <c r="J29" t="s">
        <v>1947</v>
      </c>
    </row>
    <row r="30" spans="1:10" x14ac:dyDescent="0.25">
      <c r="A30" t="s">
        <v>1255</v>
      </c>
      <c r="B30" s="3" t="e">
        <f>#REF!-#REF!</f>
        <v>#REF!</v>
      </c>
      <c r="C30" s="3" t="e">
        <f>#REF!-#REF!</f>
        <v>#REF!</v>
      </c>
      <c r="D30" t="s">
        <v>845</v>
      </c>
      <c r="F30" t="s">
        <v>865</v>
      </c>
      <c r="G30" t="s">
        <v>1568</v>
      </c>
      <c r="H30" t="e" vm="17">
        <v>#VALUE!</v>
      </c>
      <c r="I3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AV-OTH-Pershore Bridges</v>
      </c>
      <c r="J30" t="e" vm="18">
        <v>#VALUE!</v>
      </c>
    </row>
    <row r="31" spans="1:10" x14ac:dyDescent="0.25">
      <c r="A31" t="s">
        <v>1302</v>
      </c>
      <c r="B31" s="3" t="e">
        <f>#REF!-#REF!</f>
        <v>#REF!</v>
      </c>
      <c r="C31" s="3" t="e">
        <f>#REF!-#REF!</f>
        <v>#REF!</v>
      </c>
      <c r="D31" t="s">
        <v>845</v>
      </c>
      <c r="F31" t="s">
        <v>1585</v>
      </c>
      <c r="G31" t="s">
        <v>1568</v>
      </c>
      <c r="H31" t="e" vm="17">
        <v>#VALUE!</v>
      </c>
      <c r="I3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AV-OTH-Pershore Leisure Centre</v>
      </c>
      <c r="J31" t="e" vm="18">
        <v>#VALUE!</v>
      </c>
    </row>
    <row r="32" spans="1:10" x14ac:dyDescent="0.25">
      <c r="A32" t="s">
        <v>249</v>
      </c>
      <c r="B32" s="3" t="e">
        <f>#REF!-#REF!</f>
        <v>#REF!</v>
      </c>
      <c r="C32" s="3" t="e">
        <f>#REF!-#REF!</f>
        <v>#REF!</v>
      </c>
      <c r="D32" t="s">
        <v>1578</v>
      </c>
      <c r="F32" t="s">
        <v>1541</v>
      </c>
      <c r="G32" t="s">
        <v>1586</v>
      </c>
      <c r="H32" t="e" vm="17">
        <v>#VALUE!</v>
      </c>
      <c r="I3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Long Lane Pinvin</v>
      </c>
      <c r="J32" t="s">
        <v>1950</v>
      </c>
    </row>
    <row r="33" spans="1:10" x14ac:dyDescent="0.25">
      <c r="A33" t="s">
        <v>263</v>
      </c>
      <c r="B33" s="3" t="e">
        <f>#REF!-#REF!</f>
        <v>#REF!</v>
      </c>
      <c r="C33" s="3" t="e">
        <f>#REF!-#REF!</f>
        <v>#REF!</v>
      </c>
      <c r="D33" t="s">
        <v>1578</v>
      </c>
      <c r="F33" t="s">
        <v>1537</v>
      </c>
      <c r="G33" t="s">
        <v>1586</v>
      </c>
      <c r="H33" t="e" vm="17">
        <v>#VALUE!</v>
      </c>
      <c r="I3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North of Radford</v>
      </c>
      <c r="J33" t="s">
        <v>1948</v>
      </c>
    </row>
    <row r="34" spans="1:10" x14ac:dyDescent="0.25">
      <c r="A34" t="s">
        <v>427</v>
      </c>
      <c r="B34" s="3" t="e">
        <f>#REF!-#REF!</f>
        <v>#REF!</v>
      </c>
      <c r="C34" s="3" t="e">
        <f>#REF!-#REF!</f>
        <v>#REF!</v>
      </c>
      <c r="D34" t="s">
        <v>1580</v>
      </c>
      <c r="F34" t="s">
        <v>1539</v>
      </c>
      <c r="G34" t="s">
        <v>1586</v>
      </c>
      <c r="H34" t="e" vm="17">
        <v>#VALUE!</v>
      </c>
      <c r="I3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Norton Beachamp Bridge</v>
      </c>
      <c r="J34" t="s">
        <v>1952</v>
      </c>
    </row>
    <row r="35" spans="1:10" x14ac:dyDescent="0.25">
      <c r="A35" t="s">
        <v>332</v>
      </c>
      <c r="B35" s="3" t="e">
        <f>#REF!-#REF!</f>
        <v>#REF!</v>
      </c>
      <c r="C35" s="3" t="e">
        <f>#REF!-#REF!</f>
        <v>#REF!</v>
      </c>
      <c r="D35" t="s">
        <v>1578</v>
      </c>
      <c r="F35" t="s">
        <v>744</v>
      </c>
      <c r="G35" t="s">
        <v>1586</v>
      </c>
      <c r="H35" t="e" vm="17">
        <v>#VALUE!</v>
      </c>
      <c r="I3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Wyre Piddle Bridge</v>
      </c>
      <c r="J35" t="e" vm="20">
        <v>#VALUE!</v>
      </c>
    </row>
    <row r="36" spans="1:10" x14ac:dyDescent="0.25">
      <c r="A36" t="s">
        <v>1854</v>
      </c>
      <c r="B36" s="3" t="e">
        <f>#REF!-#REF!</f>
        <v>#REF!</v>
      </c>
      <c r="C36" s="3" t="e">
        <f>#REF!-#REF!</f>
        <v>#REF!</v>
      </c>
      <c r="D36" t="s">
        <v>1860</v>
      </c>
      <c r="F36" t="s">
        <v>69</v>
      </c>
      <c r="G36" t="s">
        <v>1568</v>
      </c>
      <c r="H36" t="e" vm="2">
        <v>#VALUE!</v>
      </c>
      <c r="I3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AV-OTH-Pitch 16</v>
      </c>
      <c r="J36" t="e" vm="7">
        <v>#VALUE!</v>
      </c>
    </row>
    <row r="37" spans="1:10" x14ac:dyDescent="0.25">
      <c r="A37" t="s">
        <v>1371</v>
      </c>
      <c r="B37" s="3" t="e">
        <f>#REF!-#REF!</f>
        <v>#REF!</v>
      </c>
      <c r="C37" s="3" t="e">
        <f>#REF!-#REF!</f>
        <v>#REF!</v>
      </c>
      <c r="D37" t="s">
        <v>1860</v>
      </c>
      <c r="F37" t="s">
        <v>618</v>
      </c>
      <c r="G37" t="s">
        <v>618</v>
      </c>
      <c r="H37" t="e" vm="2">
        <v>#VALUE!</v>
      </c>
      <c r="I3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OTH-OTH-Preston Bagot Brook</v>
      </c>
      <c r="J37" t="e" vm="19">
        <v>#VALUE!</v>
      </c>
    </row>
    <row r="38" spans="1:10" x14ac:dyDescent="0.25">
      <c r="A38" t="s">
        <v>818</v>
      </c>
      <c r="B38" s="3" t="e">
        <f>#REF!-#REF!</f>
        <v>#REF!</v>
      </c>
      <c r="C38" s="3" t="e">
        <f>#REF!-#REF!</f>
        <v>#REF!</v>
      </c>
      <c r="D38" t="s">
        <v>818</v>
      </c>
      <c r="F38" t="s">
        <v>615</v>
      </c>
      <c r="G38" t="s">
        <v>615</v>
      </c>
      <c r="H38" t="e" vm="2">
        <v>#VALUE!</v>
      </c>
      <c r="I3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OTH-OTH-Preston Bagot Canal</v>
      </c>
      <c r="J38" t="e" vm="19">
        <v>#VALUE!</v>
      </c>
    </row>
    <row r="39" spans="1:10" x14ac:dyDescent="0.25">
      <c r="A39" t="s">
        <v>1852</v>
      </c>
      <c r="B39" s="3" t="e">
        <f>#REF!-#REF!</f>
        <v>#REF!</v>
      </c>
      <c r="C39" s="3" t="e">
        <f>#REF!-#REF!</f>
        <v>#REF!</v>
      </c>
      <c r="D39" t="s">
        <v>818</v>
      </c>
      <c r="F39" t="s">
        <v>1587</v>
      </c>
      <c r="G39" t="s">
        <v>1579</v>
      </c>
      <c r="H39" t="e" vm="2">
        <v>#VALUE!</v>
      </c>
      <c r="I3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ST-OTH-Preston-on-Stour River Bridge</v>
      </c>
      <c r="J39" t="e" vm="9">
        <v>#VALUE!</v>
      </c>
    </row>
    <row r="40" spans="1:10" x14ac:dyDescent="0.25">
      <c r="A40" t="s">
        <v>1848</v>
      </c>
      <c r="B40" s="3" t="e">
        <f>#REF!-#REF!</f>
        <v>#REF!</v>
      </c>
      <c r="C40" s="3" t="e">
        <f>#REF!-#REF!</f>
        <v>#REF!</v>
      </c>
      <c r="D40" t="s">
        <v>818</v>
      </c>
      <c r="F40" t="s">
        <v>570</v>
      </c>
      <c r="G40" t="s">
        <v>1588</v>
      </c>
      <c r="H40" t="e" vm="2">
        <v>#VALUE!</v>
      </c>
      <c r="I4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OTH-OTH-Sherbourne Brook 1</v>
      </c>
      <c r="J40" t="e" vm="16">
        <v>#VALUE!</v>
      </c>
    </row>
    <row r="41" spans="1:10" x14ac:dyDescent="0.25">
      <c r="A41" t="s">
        <v>496</v>
      </c>
      <c r="B41" s="3" t="e">
        <f>#REF!-#REF!</f>
        <v>#REF!</v>
      </c>
      <c r="C41" s="3" t="e">
        <f>#REF!-#REF!</f>
        <v>#REF!</v>
      </c>
      <c r="D41" t="s">
        <v>818</v>
      </c>
      <c r="F41" t="s">
        <v>868</v>
      </c>
      <c r="G41" t="s">
        <v>1588</v>
      </c>
      <c r="H41" t="e" vm="2">
        <v>#VALUE!</v>
      </c>
      <c r="I4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OTH-OTH-Sherbourne Brook 2</v>
      </c>
      <c r="J41" t="s">
        <v>80</v>
      </c>
    </row>
    <row r="42" spans="1:10" x14ac:dyDescent="0.25">
      <c r="A42" t="s">
        <v>1851</v>
      </c>
      <c r="B42" s="3" t="e">
        <f>#REF!-#REF!</f>
        <v>#REF!</v>
      </c>
      <c r="C42" s="3" t="e">
        <f>#REF!-#REF!</f>
        <v>#REF!</v>
      </c>
      <c r="D42" t="s">
        <v>1860</v>
      </c>
      <c r="F42" t="s">
        <v>1859</v>
      </c>
      <c r="G42" t="s">
        <v>1960</v>
      </c>
      <c r="H42" t="e" vm="2">
        <v>#VALUE!</v>
      </c>
      <c r="I4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1  :  Middle Street</v>
      </c>
      <c r="J42" t="e" vm="11">
        <v>#VALUE!</v>
      </c>
    </row>
    <row r="43" spans="1:10" x14ac:dyDescent="0.25">
      <c r="A43" t="s">
        <v>1850</v>
      </c>
      <c r="B43" s="3" t="e">
        <f>#REF!-#REF!</f>
        <v>#REF!</v>
      </c>
      <c r="C43" s="3" t="e">
        <f>#REF!-#REF!</f>
        <v>#REF!</v>
      </c>
      <c r="D43" t="s">
        <v>1859</v>
      </c>
      <c r="F43" t="s">
        <v>1860</v>
      </c>
      <c r="G43" t="s">
        <v>1960</v>
      </c>
      <c r="H43" t="e" vm="2">
        <v>#VALUE!</v>
      </c>
      <c r="I4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2  :  Cross Leys culvert</v>
      </c>
      <c r="J43" t="e" vm="11">
        <v>#VALUE!</v>
      </c>
    </row>
    <row r="44" spans="1:10" x14ac:dyDescent="0.25">
      <c r="A44" t="s">
        <v>1849</v>
      </c>
      <c r="B44" s="3" t="e">
        <f>#REF!-#REF!</f>
        <v>#REF!</v>
      </c>
      <c r="C44" s="3" t="e">
        <f>#REF!-#REF!</f>
        <v>#REF!</v>
      </c>
      <c r="D44" t="s">
        <v>1861</v>
      </c>
      <c r="F44" t="s">
        <v>1861</v>
      </c>
      <c r="G44" t="s">
        <v>1960</v>
      </c>
      <c r="H44" t="e" vm="2">
        <v>#VALUE!</v>
      </c>
      <c r="I4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3  :  Severn Trent Water processing plant outflow</v>
      </c>
      <c r="J44" t="e" vm="11">
        <v>#VALUE!</v>
      </c>
    </row>
    <row r="45" spans="1:10" x14ac:dyDescent="0.25">
      <c r="A45" t="s">
        <v>37</v>
      </c>
      <c r="B45" s="3" t="e">
        <f>#REF!-#REF!</f>
        <v>#REF!</v>
      </c>
      <c r="C45" s="3" t="e">
        <f>#REF!-#REF!</f>
        <v>#REF!</v>
      </c>
      <c r="D45" t="s">
        <v>37</v>
      </c>
      <c r="F45" t="s">
        <v>1576</v>
      </c>
      <c r="G45" t="s">
        <v>1579</v>
      </c>
      <c r="H45" t="e" vm="2">
        <v>#VALUE!</v>
      </c>
      <c r="I4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Ascott Village</v>
      </c>
      <c r="J45" t="e" vm="22">
        <v>#VALUE!</v>
      </c>
    </row>
    <row r="46" spans="1:10" x14ac:dyDescent="0.25">
      <c r="A46" t="s">
        <v>34</v>
      </c>
      <c r="B46" s="3" t="e">
        <f>#REF!-#REF!</f>
        <v>#REF!</v>
      </c>
      <c r="C46" s="3" t="e">
        <f>#REF!-#REF!</f>
        <v>#REF!</v>
      </c>
      <c r="D46" t="s">
        <v>34</v>
      </c>
      <c r="F46" t="s">
        <v>1581</v>
      </c>
      <c r="G46" t="s">
        <v>1579</v>
      </c>
      <c r="H46" t="e" vm="2">
        <v>#VALUE!</v>
      </c>
      <c r="I4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Cherington Sewage Works</v>
      </c>
      <c r="J46" t="s">
        <v>1953</v>
      </c>
    </row>
    <row r="47" spans="1:10" x14ac:dyDescent="0.25">
      <c r="A47" t="s">
        <v>208</v>
      </c>
      <c r="B47" s="3" t="e">
        <f>#REF!-#REF!</f>
        <v>#REF!</v>
      </c>
      <c r="C47" s="3" t="e">
        <f>#REF!-#REF!</f>
        <v>#REF!</v>
      </c>
      <c r="D47" t="s">
        <v>1859</v>
      </c>
      <c r="F47" t="s">
        <v>1589</v>
      </c>
      <c r="G47" t="s">
        <v>1579</v>
      </c>
      <c r="H47" t="e" vm="2">
        <v>#VALUE!</v>
      </c>
      <c r="I4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Newbold Mill</v>
      </c>
      <c r="J47" t="e" vm="8">
        <v>#VALUE!</v>
      </c>
    </row>
    <row r="48" spans="1:10" x14ac:dyDescent="0.25">
      <c r="A48" t="s">
        <v>557</v>
      </c>
      <c r="B48" s="3" t="e">
        <f>#REF!-#REF!</f>
        <v>#REF!</v>
      </c>
      <c r="C48" s="3" t="e">
        <f>#REF!-#REF!</f>
        <v>#REF!</v>
      </c>
      <c r="D48" t="s">
        <v>526</v>
      </c>
      <c r="F48" t="s">
        <v>1584</v>
      </c>
      <c r="G48" t="s">
        <v>1579</v>
      </c>
      <c r="H48" t="e" vm="2">
        <v>#VALUE!</v>
      </c>
      <c r="I4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Shipston Mill Bridge</v>
      </c>
      <c r="J48" t="e" vm="10">
        <v>#VALUE!</v>
      </c>
    </row>
    <row r="49" spans="1:10" x14ac:dyDescent="0.25">
      <c r="A49" t="s">
        <v>592</v>
      </c>
      <c r="B49" s="3" t="e">
        <f>#REF!-#REF!</f>
        <v>#REF!</v>
      </c>
      <c r="C49" s="3" t="e">
        <f>#REF!-#REF!</f>
        <v>#REF!</v>
      </c>
      <c r="D49" t="s">
        <v>592</v>
      </c>
      <c r="F49" t="s">
        <v>1582</v>
      </c>
      <c r="G49" t="s">
        <v>1579</v>
      </c>
      <c r="H49" t="e" vm="2">
        <v>#VALUE!</v>
      </c>
      <c r="I4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Stretton-on-Fosse Sewage Works</v>
      </c>
      <c r="J49" t="e" vm="14">
        <v>#VALUE!</v>
      </c>
    </row>
    <row r="50" spans="1:10" x14ac:dyDescent="0.25">
      <c r="A50" t="s">
        <v>216</v>
      </c>
      <c r="B50" s="3" t="e">
        <f>#REF!-#REF!</f>
        <v>#REF!</v>
      </c>
      <c r="C50" s="3" t="e">
        <f>#REF!-#REF!</f>
        <v>#REF!</v>
      </c>
      <c r="D50" t="s">
        <v>216</v>
      </c>
      <c r="F50" t="s">
        <v>544</v>
      </c>
      <c r="G50" t="s">
        <v>1579</v>
      </c>
      <c r="H50" t="e" vm="2">
        <v>#VALUE!</v>
      </c>
      <c r="I5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Stretton-on-Fosse Village</v>
      </c>
      <c r="J50" t="e" vm="14">
        <v>#VALUE!</v>
      </c>
    </row>
    <row r="51" spans="1:10" x14ac:dyDescent="0.25">
      <c r="A51" t="s">
        <v>1373</v>
      </c>
      <c r="B51" s="3" t="e">
        <f>#REF!-#REF!</f>
        <v>#REF!</v>
      </c>
      <c r="C51" s="3" t="e">
        <f>#REF!-#REF!</f>
        <v>#REF!</v>
      </c>
      <c r="D51" t="s">
        <v>1859</v>
      </c>
      <c r="F51" t="s">
        <v>853</v>
      </c>
      <c r="G51" t="s">
        <v>1579</v>
      </c>
      <c r="H51" t="e" vm="2">
        <v>#VALUE!</v>
      </c>
      <c r="I5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Whichford</v>
      </c>
      <c r="J51" t="e" vm="21">
        <v>#VALUE!</v>
      </c>
    </row>
    <row r="52" spans="1:10" x14ac:dyDescent="0.25">
      <c r="A52" t="s">
        <v>845</v>
      </c>
      <c r="B52" s="3" t="e">
        <f>#REF!-#REF!</f>
        <v>#REF!</v>
      </c>
      <c r="C52" s="3" t="e">
        <f>#REF!-#REF!</f>
        <v>#REF!</v>
      </c>
      <c r="D52" t="s">
        <v>845</v>
      </c>
      <c r="F52" t="s">
        <v>517</v>
      </c>
      <c r="G52" t="s">
        <v>1579</v>
      </c>
      <c r="H52" t="e" vm="2">
        <v>#VALUE!</v>
      </c>
      <c r="I5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Willington</v>
      </c>
      <c r="J52" t="s">
        <v>1951</v>
      </c>
    </row>
    <row r="53" spans="1:10" x14ac:dyDescent="0.25">
      <c r="A53" t="s">
        <v>921</v>
      </c>
      <c r="B53" s="3" t="e">
        <f>#REF!-#REF!</f>
        <v>#REF!</v>
      </c>
      <c r="C53" s="3" t="e">
        <f>#REF!-#REF!</f>
        <v>#REF!</v>
      </c>
      <c r="D53" t="s">
        <v>845</v>
      </c>
      <c r="F53" t="s">
        <v>1590</v>
      </c>
      <c r="G53" t="s">
        <v>1568</v>
      </c>
      <c r="H53" t="e" vm="2">
        <v>#VALUE!</v>
      </c>
      <c r="I5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AV-OTH-Stratford RSC</v>
      </c>
      <c r="J53" t="e" vm="7">
        <v>#VALUE!</v>
      </c>
    </row>
    <row r="54" spans="1:10" x14ac:dyDescent="0.25">
      <c r="A54" t="s">
        <v>702</v>
      </c>
      <c r="B54" s="3" t="e">
        <f>#REF!-#REF!</f>
        <v>#REF!</v>
      </c>
      <c r="C54" s="3" t="e">
        <f>#REF!-#REF!</f>
        <v>#REF!</v>
      </c>
      <c r="D54" t="s">
        <v>845</v>
      </c>
      <c r="F54" t="s">
        <v>284</v>
      </c>
      <c r="G54" t="s">
        <v>1568</v>
      </c>
      <c r="H54" t="e" vm="2">
        <v>#VALUE!</v>
      </c>
      <c r="I5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AV-OTH-Swiffen Bank</v>
      </c>
      <c r="J54" t="e" vm="13">
        <v>#VALUE!</v>
      </c>
    </row>
    <row r="55" spans="1:10" x14ac:dyDescent="0.25">
      <c r="A55" t="s">
        <v>203</v>
      </c>
      <c r="B55" s="3" t="e">
        <f>#REF!-#REF!</f>
        <v>#REF!</v>
      </c>
      <c r="C55" s="3" t="e">
        <f>#REF!-#REF!</f>
        <v>#REF!</v>
      </c>
      <c r="D55" t="s">
        <v>1589</v>
      </c>
      <c r="F55" t="s">
        <v>1569</v>
      </c>
      <c r="G55" t="s">
        <v>1569</v>
      </c>
      <c r="H55" t="e" vm="1">
        <v>#VALUE!</v>
      </c>
      <c r="I5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SW-OTH-Swilgate</v>
      </c>
      <c r="J55" t="e" vm="1">
        <v>#VALUE!</v>
      </c>
    </row>
    <row r="56" spans="1:10" x14ac:dyDescent="0.25">
      <c r="A56" t="s">
        <v>140</v>
      </c>
      <c r="B56" s="3" t="e">
        <f>#REF!-#REF!</f>
        <v>#REF!</v>
      </c>
      <c r="C56" s="3" t="e">
        <f>#REF!-#REF!</f>
        <v>#REF!</v>
      </c>
      <c r="D56" t="s">
        <v>1589</v>
      </c>
      <c r="F56" t="s">
        <v>1223</v>
      </c>
      <c r="G56" t="s">
        <v>1569</v>
      </c>
      <c r="H56" t="e" vm="1">
        <v>#VALUE!</v>
      </c>
      <c r="I5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SW-OTH-Swillgate TNR 2nd bridge</v>
      </c>
      <c r="J56" t="e" vm="1">
        <v>#VALUE!</v>
      </c>
    </row>
    <row r="57" spans="1:10" x14ac:dyDescent="0.25">
      <c r="A57" t="s">
        <v>865</v>
      </c>
      <c r="B57" s="3" t="e">
        <f>#REF!-#REF!</f>
        <v>#REF!</v>
      </c>
      <c r="C57" s="3" t="e">
        <f>#REF!-#REF!</f>
        <v>#REF!</v>
      </c>
      <c r="D57" t="s">
        <v>865</v>
      </c>
      <c r="F57" t="s">
        <v>120</v>
      </c>
      <c r="G57" t="s">
        <v>1568</v>
      </c>
      <c r="H57" t="e" vm="2">
        <v>#VALUE!</v>
      </c>
      <c r="I5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AV-OTH-Talton Lodge</v>
      </c>
      <c r="J57" t="e" vm="8">
        <v>#VALUE!</v>
      </c>
    </row>
    <row r="58" spans="1:10" x14ac:dyDescent="0.25">
      <c r="A58" t="s">
        <v>583</v>
      </c>
      <c r="B58" s="3" t="e">
        <f>#REF!-#REF!</f>
        <v>#REF!</v>
      </c>
      <c r="C58" s="3" t="e">
        <f>#REF!-#REF!</f>
        <v>#REF!</v>
      </c>
      <c r="D58" t="s">
        <v>1585</v>
      </c>
      <c r="F58" t="s">
        <v>526</v>
      </c>
      <c r="G58" t="s">
        <v>557</v>
      </c>
      <c r="H58" t="e" vm="2">
        <v>#VALUE!</v>
      </c>
      <c r="I5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OTH-OTH-The Ford, Langley</v>
      </c>
      <c r="J58" t="s">
        <v>1954</v>
      </c>
    </row>
    <row r="59" spans="1:10" x14ac:dyDescent="0.25">
      <c r="A59" t="s">
        <v>1541</v>
      </c>
      <c r="B59" s="3" t="e">
        <f>#REF!-#REF!</f>
        <v>#REF!</v>
      </c>
      <c r="C59" s="3" t="e">
        <f>#REF!-#REF!</f>
        <v>#REF!</v>
      </c>
      <c r="D59" t="s">
        <v>1541</v>
      </c>
      <c r="F59" t="s">
        <v>1591</v>
      </c>
      <c r="G59" t="s">
        <v>1568</v>
      </c>
      <c r="H59" t="e" vm="2">
        <v>#VALUE!</v>
      </c>
      <c r="I5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AV-OTH-Trinity Church</v>
      </c>
      <c r="J59" t="e" vm="7">
        <v>#VALUE!</v>
      </c>
    </row>
    <row r="60" spans="1:10" x14ac:dyDescent="0.25">
      <c r="A60" t="s">
        <v>1537</v>
      </c>
      <c r="B60" s="3" t="e">
        <f>#REF!-#REF!</f>
        <v>#REF!</v>
      </c>
      <c r="C60" s="3" t="e">
        <f>#REF!-#REF!</f>
        <v>#REF!</v>
      </c>
      <c r="D60" t="s">
        <v>1537</v>
      </c>
      <c r="F60" t="s">
        <v>54</v>
      </c>
      <c r="G60" t="s">
        <v>1568</v>
      </c>
      <c r="H60" t="e" vm="1">
        <v>#VALUE!</v>
      </c>
      <c r="I6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AV-OTH-Twyning Fleet</v>
      </c>
      <c r="J60" t="s">
        <v>1955</v>
      </c>
    </row>
    <row r="61" spans="1:10" x14ac:dyDescent="0.25">
      <c r="A61" t="s">
        <v>1539</v>
      </c>
      <c r="B61" s="3" t="e">
        <f>#REF!-#REF!</f>
        <v>#REF!</v>
      </c>
      <c r="C61" s="3" t="e">
        <f>#REF!-#REF!</f>
        <v>#REF!</v>
      </c>
      <c r="D61" t="s">
        <v>1539</v>
      </c>
      <c r="F61" t="s">
        <v>732</v>
      </c>
      <c r="G61" t="s">
        <v>1583</v>
      </c>
      <c r="H61" t="e" vm="17">
        <v>#VALUE!</v>
      </c>
      <c r="I6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OTH-OTH-Walcot Lane, Bow Brook Ford</v>
      </c>
      <c r="J61" t="e" vm="18">
        <v>#VALUE!</v>
      </c>
    </row>
    <row r="62" spans="1:10" x14ac:dyDescent="0.25">
      <c r="A62" t="s">
        <v>744</v>
      </c>
      <c r="B62" s="3" t="e">
        <f>#REF!-#REF!</f>
        <v>#REF!</v>
      </c>
      <c r="C62" s="3" t="e">
        <f>#REF!-#REF!</f>
        <v>#REF!</v>
      </c>
      <c r="D62" t="s">
        <v>744</v>
      </c>
      <c r="F62" t="s">
        <v>39</v>
      </c>
      <c r="G62" t="s">
        <v>1568</v>
      </c>
      <c r="H62" t="e" vm="2">
        <v>#VALUE!</v>
      </c>
      <c r="I6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AV-OTH-Welford Boat Station</v>
      </c>
      <c r="J62" t="e" vm="5">
        <v>#VALUE!</v>
      </c>
    </row>
    <row r="63" spans="1:10" x14ac:dyDescent="0.25">
      <c r="A63" t="s">
        <v>69</v>
      </c>
      <c r="B63" s="3" t="e">
        <f>#REF!-#REF!</f>
        <v>#REF!</v>
      </c>
      <c r="C63" s="3" t="e">
        <f>#REF!-#REF!</f>
        <v>#REF!</v>
      </c>
      <c r="D63" t="s">
        <v>69</v>
      </c>
      <c r="F63" t="s">
        <v>1592</v>
      </c>
      <c r="G63" t="s">
        <v>1568</v>
      </c>
      <c r="H63" t="e" vm="2">
        <v>#VALUE!</v>
      </c>
      <c r="I6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AV-OTH-Weston-on-Avon</v>
      </c>
      <c r="J63" t="e" vm="6">
        <v>#VALUE!</v>
      </c>
    </row>
    <row r="64" spans="1:10" x14ac:dyDescent="0.25">
      <c r="A64" t="s">
        <v>1567</v>
      </c>
      <c r="B64" s="3" t="e">
        <f>#REF!-#REF!</f>
        <v>#REF!</v>
      </c>
      <c r="C64" s="3" t="e">
        <f>#REF!-#REF!</f>
        <v>#REF!</v>
      </c>
      <c r="D64" t="s">
        <v>69</v>
      </c>
      <c r="F64" t="s">
        <v>1855</v>
      </c>
      <c r="G64" t="s">
        <v>1652</v>
      </c>
      <c r="H64" t="e" vm="17">
        <v>#VALUE!</v>
      </c>
      <c r="I6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Atch Lench Road, Church Lench.</v>
      </c>
      <c r="J64" t="e" vm="26">
        <v>#VALUE!</v>
      </c>
    </row>
    <row r="65" spans="1:10" x14ac:dyDescent="0.25">
      <c r="A65" t="s">
        <v>1593</v>
      </c>
      <c r="B65" s="3" t="e">
        <f>#REF!-#REF!</f>
        <v>#REF!</v>
      </c>
      <c r="C65" s="3" t="e">
        <f>#REF!-#REF!</f>
        <v>#REF!</v>
      </c>
      <c r="D65" t="s">
        <v>69</v>
      </c>
      <c r="F65" t="s">
        <v>1525</v>
      </c>
      <c r="G65" t="s">
        <v>1652</v>
      </c>
      <c r="H65" t="e" vm="17">
        <v>#VALUE!</v>
      </c>
      <c r="I6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north of Bishampton</v>
      </c>
      <c r="J65" t="e" vm="28">
        <v>#VALUE!</v>
      </c>
    </row>
    <row r="66" spans="1:10" x14ac:dyDescent="0.25">
      <c r="A66" t="s">
        <v>618</v>
      </c>
      <c r="B66" s="3" t="e">
        <f>#REF!-#REF!</f>
        <v>#REF!</v>
      </c>
      <c r="C66" s="3" t="e">
        <f>#REF!-#REF!</f>
        <v>#REF!</v>
      </c>
      <c r="D66" t="s">
        <v>618</v>
      </c>
      <c r="F66" t="s">
        <v>1534</v>
      </c>
      <c r="G66" t="s">
        <v>1652</v>
      </c>
      <c r="H66" t="e" vm="17">
        <v>#VALUE!</v>
      </c>
      <c r="I6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Rous Church Lench</v>
      </c>
      <c r="J66" t="e" vm="26">
        <v>#VALUE!</v>
      </c>
    </row>
    <row r="67" spans="1:10" x14ac:dyDescent="0.25">
      <c r="A67" t="s">
        <v>615</v>
      </c>
      <c r="B67" s="3" t="e">
        <f>#REF!-#REF!</f>
        <v>#REF!</v>
      </c>
      <c r="C67" s="3" t="e">
        <f>#REF!-#REF!</f>
        <v>#REF!</v>
      </c>
      <c r="D67" t="s">
        <v>615</v>
      </c>
      <c r="F67" t="s">
        <v>1528</v>
      </c>
      <c r="G67" t="s">
        <v>1652</v>
      </c>
      <c r="H67" t="e" vm="17">
        <v>#VALUE!</v>
      </c>
      <c r="I6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Rous Lench Bishampton</v>
      </c>
      <c r="J67" t="e" vm="27">
        <v>#VALUE!</v>
      </c>
    </row>
    <row r="68" spans="1:10" x14ac:dyDescent="0.25">
      <c r="A68" t="s">
        <v>145</v>
      </c>
      <c r="B68" s="3" t="e">
        <f>#REF!-#REF!</f>
        <v>#REF!</v>
      </c>
      <c r="C68" s="3" t="e">
        <f>#REF!-#REF!</f>
        <v>#REF!</v>
      </c>
      <c r="D68" t="s">
        <v>1587</v>
      </c>
      <c r="F68" t="s">
        <v>1856</v>
      </c>
      <c r="G68" t="s">
        <v>1652</v>
      </c>
      <c r="H68" t="e" vm="17">
        <v>#VALUE!</v>
      </c>
      <c r="I6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Low road, Church Lench</v>
      </c>
      <c r="J68" t="e" vm="26">
        <v>#VALUE!</v>
      </c>
    </row>
    <row r="69" spans="1:10" x14ac:dyDescent="0.25">
      <c r="A69" t="s">
        <v>127</v>
      </c>
      <c r="B69" s="3" t="e">
        <f>#REF!-#REF!</f>
        <v>#REF!</v>
      </c>
      <c r="C69" s="3" t="e">
        <f>#REF!-#REF!</f>
        <v>#REF!</v>
      </c>
      <c r="D69" t="s">
        <v>1587</v>
      </c>
    </row>
    <row r="70" spans="1:10" x14ac:dyDescent="0.25">
      <c r="A70" t="s">
        <v>183</v>
      </c>
      <c r="B70" s="3" t="e">
        <f>#REF!-#REF!</f>
        <v>#REF!</v>
      </c>
      <c r="C70" s="3" t="e">
        <f>#REF!-#REF!</f>
        <v>#REF!</v>
      </c>
      <c r="D70" t="s">
        <v>1587</v>
      </c>
    </row>
    <row r="71" spans="1:10" x14ac:dyDescent="0.25">
      <c r="A71" t="s">
        <v>163</v>
      </c>
      <c r="B71" s="3" t="e">
        <f>#REF!-#REF!</f>
        <v>#REF!</v>
      </c>
      <c r="C71" s="3" t="e">
        <f>#REF!-#REF!</f>
        <v>#REF!</v>
      </c>
      <c r="D71" t="s">
        <v>1587</v>
      </c>
    </row>
    <row r="72" spans="1:10" x14ac:dyDescent="0.25">
      <c r="A72" t="s">
        <v>272</v>
      </c>
      <c r="B72" s="3" t="e">
        <f>#REF!-#REF!</f>
        <v>#REF!</v>
      </c>
      <c r="C72" s="3" t="e">
        <f>#REF!-#REF!</f>
        <v>#REF!</v>
      </c>
      <c r="D72" t="s">
        <v>1587</v>
      </c>
    </row>
    <row r="73" spans="1:10" x14ac:dyDescent="0.25">
      <c r="A73" t="s">
        <v>675</v>
      </c>
      <c r="B73" s="3" t="e">
        <f>#REF!-#REF!</f>
        <v>#REF!</v>
      </c>
      <c r="C73" s="3" t="e">
        <f>#REF!-#REF!</f>
        <v>#REF!</v>
      </c>
      <c r="D73" t="s">
        <v>1581</v>
      </c>
    </row>
    <row r="74" spans="1:10" x14ac:dyDescent="0.25">
      <c r="A74" t="s">
        <v>1368</v>
      </c>
      <c r="B74" s="3" t="e">
        <f>#REF!-#REF!</f>
        <v>#REF!</v>
      </c>
      <c r="C74" s="3" t="e">
        <f>#REF!-#REF!</f>
        <v>#REF!</v>
      </c>
      <c r="D74" t="s">
        <v>1861</v>
      </c>
    </row>
    <row r="75" spans="1:10" x14ac:dyDescent="0.25">
      <c r="A75" t="s">
        <v>537</v>
      </c>
      <c r="B75" s="3" t="e">
        <f>#REF!-#REF!</f>
        <v>#REF!</v>
      </c>
      <c r="C75" s="3" t="e">
        <f>#REF!-#REF!</f>
        <v>#REF!</v>
      </c>
      <c r="D75" t="s">
        <v>570</v>
      </c>
    </row>
    <row r="76" spans="1:10" x14ac:dyDescent="0.25">
      <c r="A76" t="s">
        <v>570</v>
      </c>
      <c r="B76" s="3" t="e">
        <f>#REF!-#REF!</f>
        <v>#REF!</v>
      </c>
      <c r="C76" s="3" t="e">
        <f>#REF!-#REF!</f>
        <v>#REF!</v>
      </c>
      <c r="D76" t="s">
        <v>570</v>
      </c>
    </row>
    <row r="77" spans="1:10" x14ac:dyDescent="0.25">
      <c r="A77" t="s">
        <v>868</v>
      </c>
      <c r="B77" s="3" t="e">
        <f>#REF!-#REF!</f>
        <v>#REF!</v>
      </c>
      <c r="C77" s="3" t="e">
        <f>#REF!-#REF!</f>
        <v>#REF!</v>
      </c>
      <c r="D77" t="s">
        <v>868</v>
      </c>
    </row>
    <row r="78" spans="1:10" x14ac:dyDescent="0.25">
      <c r="A78" t="s">
        <v>432</v>
      </c>
      <c r="B78" s="3" t="e">
        <f>#REF!-#REF!</f>
        <v>#REF!</v>
      </c>
      <c r="C78" s="3" t="e">
        <f>#REF!-#REF!</f>
        <v>#REF!</v>
      </c>
      <c r="D78" t="s">
        <v>1584</v>
      </c>
    </row>
    <row r="79" spans="1:10" x14ac:dyDescent="0.25">
      <c r="A79" t="s">
        <v>1859</v>
      </c>
      <c r="B79" s="3" t="e">
        <f>#REF!-#REF!</f>
        <v>#REF!</v>
      </c>
      <c r="C79" s="3" t="e">
        <f>#REF!-#REF!</f>
        <v>#REF!</v>
      </c>
      <c r="D79" t="s">
        <v>1859</v>
      </c>
    </row>
    <row r="80" spans="1:10" x14ac:dyDescent="0.25">
      <c r="A80" t="s">
        <v>1860</v>
      </c>
      <c r="B80" s="3" t="e">
        <f>#REF!-#REF!</f>
        <v>#REF!</v>
      </c>
      <c r="C80" s="3" t="e">
        <f>#REF!-#REF!</f>
        <v>#REF!</v>
      </c>
      <c r="D80" t="s">
        <v>1860</v>
      </c>
    </row>
    <row r="81" spans="1:4" x14ac:dyDescent="0.25">
      <c r="A81" t="s">
        <v>1861</v>
      </c>
      <c r="B81" s="3" t="e">
        <f>#REF!-#REF!</f>
        <v>#REF!</v>
      </c>
      <c r="C81" s="3" t="e">
        <f>#REF!-#REF!</f>
        <v>#REF!</v>
      </c>
      <c r="D81" t="s">
        <v>1861</v>
      </c>
    </row>
    <row r="82" spans="1:4" x14ac:dyDescent="0.25">
      <c r="A82" t="s">
        <v>1853</v>
      </c>
      <c r="B82" s="3" t="e">
        <f>#REF!-#REF!</f>
        <v>#REF!</v>
      </c>
      <c r="C82" s="3" t="e">
        <f>#REF!-#REF!</f>
        <v>#REF!</v>
      </c>
      <c r="D82" t="s">
        <v>1861</v>
      </c>
    </row>
    <row r="83" spans="1:4" x14ac:dyDescent="0.25">
      <c r="A83" t="s">
        <v>855</v>
      </c>
      <c r="B83" s="3" t="e">
        <f>#REF!-#REF!</f>
        <v>#REF!</v>
      </c>
      <c r="C83" s="3" t="e">
        <f>#REF!-#REF!</f>
        <v>#REF!</v>
      </c>
      <c r="D83" t="s">
        <v>1576</v>
      </c>
    </row>
    <row r="84" spans="1:4" x14ac:dyDescent="0.25">
      <c r="A84" t="s">
        <v>160</v>
      </c>
      <c r="B84" s="3" t="e">
        <f>#REF!-#REF!</f>
        <v>#REF!</v>
      </c>
      <c r="C84" s="3" t="e">
        <f>#REF!-#REF!</f>
        <v>#REF!</v>
      </c>
      <c r="D84" t="s">
        <v>1584</v>
      </c>
    </row>
    <row r="85" spans="1:4" x14ac:dyDescent="0.25">
      <c r="A85" t="s">
        <v>123</v>
      </c>
      <c r="B85" s="3" t="e">
        <f>#REF!-#REF!</f>
        <v>#REF!</v>
      </c>
      <c r="C85" s="3" t="e">
        <f>#REF!-#REF!</f>
        <v>#REF!</v>
      </c>
      <c r="D85" t="s">
        <v>1589</v>
      </c>
    </row>
    <row r="86" spans="1:4" x14ac:dyDescent="0.25">
      <c r="A86" t="s">
        <v>154</v>
      </c>
      <c r="B86" s="3" t="e">
        <f>#REF!-#REF!</f>
        <v>#REF!</v>
      </c>
      <c r="C86" s="3" t="e">
        <f>#REF!-#REF!</f>
        <v>#REF!</v>
      </c>
      <c r="D86" t="s">
        <v>1584</v>
      </c>
    </row>
    <row r="87" spans="1:4" x14ac:dyDescent="0.25">
      <c r="A87" t="s">
        <v>422</v>
      </c>
      <c r="B87" s="3" t="e">
        <f>#REF!-#REF!</f>
        <v>#REF!</v>
      </c>
      <c r="C87" s="3" t="e">
        <f>#REF!-#REF!</f>
        <v>#REF!</v>
      </c>
      <c r="D87" t="s">
        <v>818</v>
      </c>
    </row>
    <row r="88" spans="1:4" x14ac:dyDescent="0.25">
      <c r="A88" t="s">
        <v>223</v>
      </c>
      <c r="B88" s="3" t="e">
        <f>#REF!-#REF!</f>
        <v>#REF!</v>
      </c>
      <c r="C88" s="3" t="e">
        <f>#REF!-#REF!</f>
        <v>#REF!</v>
      </c>
      <c r="D88" t="s">
        <v>1584</v>
      </c>
    </row>
    <row r="89" spans="1:4" x14ac:dyDescent="0.25">
      <c r="A89" t="s">
        <v>335</v>
      </c>
      <c r="B89" s="3" t="e">
        <f>#REF!-#REF!</f>
        <v>#REF!</v>
      </c>
      <c r="C89" s="3" t="e">
        <f>#REF!-#REF!</f>
        <v>#REF!</v>
      </c>
      <c r="D89" t="s">
        <v>1582</v>
      </c>
    </row>
    <row r="90" spans="1:4" x14ac:dyDescent="0.25">
      <c r="A90" t="s">
        <v>544</v>
      </c>
      <c r="B90" s="3" t="e">
        <f>#REF!-#REF!</f>
        <v>#REF!</v>
      </c>
      <c r="C90" s="3" t="e">
        <f>#REF!-#REF!</f>
        <v>#REF!</v>
      </c>
      <c r="D90" t="s">
        <v>544</v>
      </c>
    </row>
    <row r="91" spans="1:4" x14ac:dyDescent="0.25">
      <c r="A91" t="s">
        <v>383</v>
      </c>
      <c r="B91" s="3" t="e">
        <f>#REF!-#REF!</f>
        <v>#REF!</v>
      </c>
      <c r="C91" s="3" t="e">
        <f>#REF!-#REF!</f>
        <v>#REF!</v>
      </c>
      <c r="D91" t="s">
        <v>544</v>
      </c>
    </row>
    <row r="92" spans="1:4" x14ac:dyDescent="0.25">
      <c r="A92" t="s">
        <v>853</v>
      </c>
      <c r="B92" s="3" t="e">
        <f>#REF!-#REF!</f>
        <v>#REF!</v>
      </c>
      <c r="C92" s="3" t="e">
        <f>#REF!-#REF!</f>
        <v>#REF!</v>
      </c>
      <c r="D92" t="s">
        <v>853</v>
      </c>
    </row>
    <row r="93" spans="1:4" x14ac:dyDescent="0.25">
      <c r="A93" t="s">
        <v>895</v>
      </c>
      <c r="B93" s="3" t="e">
        <f>#REF!-#REF!</f>
        <v>#REF!</v>
      </c>
      <c r="C93" s="3" t="e">
        <f>#REF!-#REF!</f>
        <v>#REF!</v>
      </c>
      <c r="D93" t="s">
        <v>853</v>
      </c>
    </row>
    <row r="94" spans="1:4" x14ac:dyDescent="0.25">
      <c r="A94" t="s">
        <v>517</v>
      </c>
      <c r="B94" s="3" t="e">
        <f>#REF!-#REF!</f>
        <v>#REF!</v>
      </c>
      <c r="C94" s="3" t="e">
        <f>#REF!-#REF!</f>
        <v>#REF!</v>
      </c>
      <c r="D94" t="s">
        <v>517</v>
      </c>
    </row>
    <row r="95" spans="1:4" x14ac:dyDescent="0.25">
      <c r="A95" t="s">
        <v>321</v>
      </c>
      <c r="B95" s="3" t="e">
        <f>#REF!-#REF!</f>
        <v>#REF!</v>
      </c>
      <c r="C95" s="3" t="e">
        <f>#REF!-#REF!</f>
        <v>#REF!</v>
      </c>
      <c r="D95" t="s">
        <v>1581</v>
      </c>
    </row>
    <row r="96" spans="1:4" x14ac:dyDescent="0.25">
      <c r="A96" t="s">
        <v>200</v>
      </c>
      <c r="B96" s="3" t="e">
        <f>#REF!-#REF!</f>
        <v>#REF!</v>
      </c>
      <c r="C96" s="3" t="e">
        <f>#REF!-#REF!</f>
        <v>#REF!</v>
      </c>
      <c r="D96" t="s">
        <v>1584</v>
      </c>
    </row>
    <row r="97" spans="1:4" x14ac:dyDescent="0.25">
      <c r="A97" t="s">
        <v>156</v>
      </c>
      <c r="B97" s="3" t="e">
        <f>#REF!-#REF!</f>
        <v>#REF!</v>
      </c>
      <c r="C97" s="3" t="e">
        <f>#REF!-#REF!</f>
        <v>#REF!</v>
      </c>
      <c r="D97" t="s">
        <v>1589</v>
      </c>
    </row>
    <row r="98" spans="1:4" x14ac:dyDescent="0.25">
      <c r="A98" t="s">
        <v>220</v>
      </c>
      <c r="B98" s="3" t="e">
        <f>#REF!-#REF!</f>
        <v>#REF!</v>
      </c>
      <c r="C98" s="3" t="e">
        <f>#REF!-#REF!</f>
        <v>#REF!</v>
      </c>
      <c r="D98" t="s">
        <v>1589</v>
      </c>
    </row>
    <row r="99" spans="1:4" x14ac:dyDescent="0.25">
      <c r="A99" t="s">
        <v>362</v>
      </c>
      <c r="B99" s="3" t="e">
        <f>#REF!-#REF!</f>
        <v>#REF!</v>
      </c>
      <c r="C99" s="3" t="e">
        <f>#REF!-#REF!</f>
        <v>#REF!</v>
      </c>
      <c r="D99" t="s">
        <v>1589</v>
      </c>
    </row>
    <row r="100" spans="1:4" x14ac:dyDescent="0.25">
      <c r="A100" t="s">
        <v>465</v>
      </c>
      <c r="B100" s="3" t="e">
        <f>#REF!-#REF!</f>
        <v>#REF!</v>
      </c>
      <c r="C100" s="3" t="e">
        <f>#REF!-#REF!</f>
        <v>#REF!</v>
      </c>
      <c r="D100" t="s">
        <v>1589</v>
      </c>
    </row>
    <row r="101" spans="1:4" x14ac:dyDescent="0.25">
      <c r="A101" t="s">
        <v>365</v>
      </c>
      <c r="B101" s="3" t="e">
        <f>#REF!-#REF!</f>
        <v>#REF!</v>
      </c>
      <c r="C101" s="3" t="e">
        <f>#REF!-#REF!</f>
        <v>#REF!</v>
      </c>
      <c r="D101" t="s">
        <v>1589</v>
      </c>
    </row>
    <row r="102" spans="1:4" x14ac:dyDescent="0.25">
      <c r="A102" t="s">
        <v>319</v>
      </c>
      <c r="B102" s="3" t="e">
        <f>#REF!-#REF!</f>
        <v>#REF!</v>
      </c>
      <c r="C102" s="3" t="e">
        <f>#REF!-#REF!</f>
        <v>#REF!</v>
      </c>
      <c r="D102" t="s">
        <v>1584</v>
      </c>
    </row>
    <row r="103" spans="1:4" x14ac:dyDescent="0.25">
      <c r="A103" t="s">
        <v>1228</v>
      </c>
      <c r="B103" s="3" t="e">
        <f>#REF!-#REF!</f>
        <v>#REF!</v>
      </c>
      <c r="C103" s="3" t="e">
        <f>#REF!-#REF!</f>
        <v>#REF!</v>
      </c>
      <c r="D103" t="s">
        <v>1590</v>
      </c>
    </row>
    <row r="104" spans="1:4" x14ac:dyDescent="0.25">
      <c r="A104" t="s">
        <v>284</v>
      </c>
      <c r="B104" s="3" t="e">
        <f>#REF!-#REF!</f>
        <v>#REF!</v>
      </c>
      <c r="C104" s="3" t="e">
        <f>#REF!-#REF!</f>
        <v>#REF!</v>
      </c>
      <c r="D104" t="s">
        <v>284</v>
      </c>
    </row>
    <row r="105" spans="1:4" x14ac:dyDescent="0.25">
      <c r="A105" t="s">
        <v>413</v>
      </c>
      <c r="B105" s="3" t="e">
        <f>#REF!-#REF!</f>
        <v>#REF!</v>
      </c>
      <c r="C105" s="3" t="e">
        <f>#REF!-#REF!</f>
        <v>#REF!</v>
      </c>
      <c r="D105" t="s">
        <v>1569</v>
      </c>
    </row>
    <row r="106" spans="1:4" x14ac:dyDescent="0.25">
      <c r="A106" t="s">
        <v>480</v>
      </c>
      <c r="B106" s="3" t="e">
        <f>#REF!-#REF!</f>
        <v>#REF!</v>
      </c>
      <c r="C106" s="3" t="e">
        <f>#REF!-#REF!</f>
        <v>#REF!</v>
      </c>
      <c r="D106" t="s">
        <v>1569</v>
      </c>
    </row>
    <row r="107" spans="1:4" x14ac:dyDescent="0.25">
      <c r="A107" t="s">
        <v>84</v>
      </c>
      <c r="B107" s="3" t="e">
        <f>#REF!-#REF!</f>
        <v>#REF!</v>
      </c>
      <c r="C107" s="3" t="e">
        <f>#REF!-#REF!</f>
        <v>#REF!</v>
      </c>
      <c r="D107" t="s">
        <v>1569</v>
      </c>
    </row>
    <row r="108" spans="1:4" x14ac:dyDescent="0.25">
      <c r="A108" t="s">
        <v>1223</v>
      </c>
      <c r="B108" s="3" t="e">
        <f>#REF!-#REF!</f>
        <v>#REF!</v>
      </c>
      <c r="C108" s="3" t="e">
        <f>#REF!-#REF!</f>
        <v>#REF!</v>
      </c>
      <c r="D108" t="s">
        <v>1223</v>
      </c>
    </row>
    <row r="109" spans="1:4" x14ac:dyDescent="0.25">
      <c r="A109" t="s">
        <v>120</v>
      </c>
      <c r="B109" s="3" t="e">
        <f>#REF!-#REF!</f>
        <v>#REF!</v>
      </c>
      <c r="C109" s="3" t="e">
        <f>#REF!-#REF!</f>
        <v>#REF!</v>
      </c>
      <c r="D109" t="s">
        <v>120</v>
      </c>
    </row>
    <row r="110" spans="1:4" x14ac:dyDescent="0.25">
      <c r="A110" t="s">
        <v>189</v>
      </c>
      <c r="B110" s="3" t="e">
        <f>#REF!-#REF!</f>
        <v>#REF!</v>
      </c>
      <c r="C110" s="3" t="e">
        <f>#REF!-#REF!</f>
        <v>#REF!</v>
      </c>
      <c r="D110" t="s">
        <v>1591</v>
      </c>
    </row>
    <row r="111" spans="1:4" x14ac:dyDescent="0.25">
      <c r="A111" t="s">
        <v>526</v>
      </c>
      <c r="B111" s="3" t="e">
        <f>#REF!-#REF!</f>
        <v>#REF!</v>
      </c>
      <c r="C111" s="3" t="e">
        <f>#REF!-#REF!</f>
        <v>#REF!</v>
      </c>
      <c r="D111" t="s">
        <v>526</v>
      </c>
    </row>
    <row r="112" spans="1:4" x14ac:dyDescent="0.25">
      <c r="A112" t="s">
        <v>54</v>
      </c>
      <c r="B112" s="3" t="e">
        <f>#REF!-#REF!</f>
        <v>#REF!</v>
      </c>
      <c r="C112" s="3" t="e">
        <f>#REF!-#REF!</f>
        <v>#REF!</v>
      </c>
      <c r="D112" t="s">
        <v>54</v>
      </c>
    </row>
    <row r="113" spans="1:4" x14ac:dyDescent="0.25">
      <c r="A113" t="s">
        <v>872</v>
      </c>
      <c r="B113" s="3" t="e">
        <f>#REF!-#REF!</f>
        <v>#REF!</v>
      </c>
      <c r="C113" s="3" t="e">
        <f>#REF!-#REF!</f>
        <v>#REF!</v>
      </c>
      <c r="D113" t="s">
        <v>732</v>
      </c>
    </row>
    <row r="114" spans="1:4" x14ac:dyDescent="0.25">
      <c r="A114" t="s">
        <v>732</v>
      </c>
      <c r="B114" s="3" t="e">
        <f>#REF!-#REF!</f>
        <v>#REF!</v>
      </c>
      <c r="C114" s="3" t="e">
        <f>#REF!-#REF!</f>
        <v>#REF!</v>
      </c>
      <c r="D114" t="s">
        <v>732</v>
      </c>
    </row>
    <row r="115" spans="1:4" x14ac:dyDescent="0.25">
      <c r="A115" t="s">
        <v>39</v>
      </c>
      <c r="B115" s="3" t="e">
        <f>#REF!-#REF!</f>
        <v>#REF!</v>
      </c>
      <c r="C115" s="3" t="e">
        <f>#REF!-#REF!</f>
        <v>#REF!</v>
      </c>
      <c r="D115" t="s">
        <v>39</v>
      </c>
    </row>
    <row r="116" spans="1:4" x14ac:dyDescent="0.25">
      <c r="A116" t="s">
        <v>41</v>
      </c>
      <c r="B116" s="3" t="e">
        <f>#REF!-#REF!</f>
        <v>#REF!</v>
      </c>
      <c r="C116" s="3" t="e">
        <f>#REF!-#REF!</f>
        <v>#REF!</v>
      </c>
      <c r="D116" t="s">
        <v>1592</v>
      </c>
    </row>
    <row r="117" spans="1:4" x14ac:dyDescent="0.25">
      <c r="A117" t="s">
        <v>1855</v>
      </c>
      <c r="B117" s="3" t="e">
        <f>#REF!-#REF!</f>
        <v>#REF!</v>
      </c>
      <c r="C117" s="3" t="e">
        <f>#REF!-#REF!</f>
        <v>#REF!</v>
      </c>
      <c r="D117" t="s">
        <v>1855</v>
      </c>
    </row>
    <row r="118" spans="1:4" x14ac:dyDescent="0.25">
      <c r="A118" t="s">
        <v>1531</v>
      </c>
      <c r="B118" s="3" t="e">
        <f>#REF!-#REF!</f>
        <v>#REF!</v>
      </c>
      <c r="C118" s="3" t="e">
        <f>#REF!-#REF!</f>
        <v>#REF!</v>
      </c>
      <c r="D118" t="s">
        <v>1855</v>
      </c>
    </row>
    <row r="119" spans="1:4" x14ac:dyDescent="0.25">
      <c r="A119" t="s">
        <v>1525</v>
      </c>
      <c r="B119" s="3" t="e">
        <f>#REF!-#REF!</f>
        <v>#REF!</v>
      </c>
      <c r="C119" s="3" t="e">
        <f>#REF!-#REF!</f>
        <v>#REF!</v>
      </c>
      <c r="D119" t="s">
        <v>1525</v>
      </c>
    </row>
    <row r="120" spans="1:4" x14ac:dyDescent="0.25">
      <c r="A120" t="s">
        <v>1534</v>
      </c>
      <c r="B120" s="3" t="e">
        <f>#REF!-#REF!</f>
        <v>#REF!</v>
      </c>
      <c r="C120" s="3" t="e">
        <f>#REF!-#REF!</f>
        <v>#REF!</v>
      </c>
      <c r="D120" t="s">
        <v>1534</v>
      </c>
    </row>
    <row r="121" spans="1:4" x14ac:dyDescent="0.25">
      <c r="A121" t="s">
        <v>1528</v>
      </c>
      <c r="B121" s="3" t="e">
        <f>#REF!-#REF!</f>
        <v>#REF!</v>
      </c>
      <c r="C121" s="3" t="e">
        <f>#REF!-#REF!</f>
        <v>#REF!</v>
      </c>
      <c r="D121" t="s">
        <v>1528</v>
      </c>
    </row>
    <row r="122" spans="1:4" x14ac:dyDescent="0.25">
      <c r="A122" t="s">
        <v>1856</v>
      </c>
      <c r="B122" s="3" t="e">
        <f>#REF!-#REF!</f>
        <v>#REF!</v>
      </c>
      <c r="C122" s="3" t="e">
        <f>#REF!-#REF!</f>
        <v>#REF!</v>
      </c>
      <c r="D122" t="s">
        <v>1856</v>
      </c>
    </row>
  </sheetData>
  <conditionalFormatting sqref="B3:C122">
    <cfRule type="colorScale" priority="99">
      <colorScale>
        <cfvo type="min"/>
        <cfvo type="max"/>
        <color rgb="FFFCFCFF"/>
        <color rgb="FFF8696B"/>
      </colorScale>
    </cfRule>
  </conditionalFormatting>
  <dataValidations count="1">
    <dataValidation type="list" allowBlank="1" showInputMessage="1" showErrorMessage="1" sqref="D3:D122" xr:uid="{237AADC8-F4CD-4857-A510-56D0F845E6E1}">
      <formula1>$F$3:$F$68</formula1>
    </dataValidation>
  </dataValidations>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09FA-FCE8-4FB2-8DE0-509B32FC351D}">
  <sheetPr>
    <pageSetUpPr fitToPage="1"/>
  </sheetPr>
  <dimension ref="A1:AP107"/>
  <sheetViews>
    <sheetView zoomScale="85" workbookViewId="0">
      <selection activeCell="AE11" sqref="AE11"/>
    </sheetView>
  </sheetViews>
  <sheetFormatPr defaultRowHeight="15" x14ac:dyDescent="0.25"/>
  <cols>
    <col min="1" max="1" width="2.140625" customWidth="1"/>
    <col min="2" max="2" width="39.42578125" bestFit="1" customWidth="1"/>
    <col min="3" max="3" width="11.7109375" bestFit="1" customWidth="1"/>
    <col min="4" max="4" width="13.28515625" bestFit="1" customWidth="1"/>
    <col min="5" max="5" width="29.42578125" bestFit="1" customWidth="1"/>
    <col min="6" max="6" width="20.28515625" bestFit="1" customWidth="1"/>
    <col min="7" max="7" width="20.7109375" bestFit="1" customWidth="1"/>
    <col min="8" max="8" width="8.28515625" bestFit="1" customWidth="1"/>
    <col min="9" max="9" width="14.5703125" customWidth="1"/>
    <col min="10" max="10" width="12.140625" bestFit="1" customWidth="1"/>
    <col min="11" max="11" width="19.7109375" customWidth="1"/>
    <col min="12" max="12" width="21.140625" customWidth="1"/>
    <col min="13" max="13" width="19.7109375" customWidth="1"/>
    <col min="14" max="14" width="19.85546875" customWidth="1"/>
    <col min="15" max="15" width="8.28515625" bestFit="1" customWidth="1"/>
    <col min="16" max="16" width="8.5703125" bestFit="1" customWidth="1"/>
    <col min="17" max="17" width="14" customWidth="1"/>
    <col min="18" max="18" width="11" bestFit="1" customWidth="1"/>
    <col min="19" max="19" width="13.85546875" customWidth="1"/>
    <col min="20" max="20" width="8.28515625" bestFit="1" customWidth="1"/>
    <col min="21" max="21" width="7.85546875" bestFit="1" customWidth="1"/>
    <col min="22" max="22" width="14.5703125" customWidth="1"/>
    <col min="23" max="23" width="11" bestFit="1" customWidth="1"/>
    <col min="24" max="24" width="14.140625" customWidth="1"/>
    <col min="25" max="25" width="8.28515625" bestFit="1" customWidth="1"/>
    <col min="26" max="26" width="7.85546875" bestFit="1" customWidth="1"/>
    <col min="27" max="27" width="14.85546875" customWidth="1"/>
    <col min="28" max="28" width="11" bestFit="1" customWidth="1"/>
    <col min="29" max="29" width="14.42578125" customWidth="1"/>
    <col min="30" max="30" width="8.28515625" bestFit="1" customWidth="1"/>
    <col min="31" max="31" width="7.85546875" bestFit="1" customWidth="1"/>
    <col min="32" max="32" width="15.42578125" customWidth="1"/>
    <col min="33" max="33" width="11.7109375" customWidth="1"/>
    <col min="34" max="34" width="11.42578125" customWidth="1"/>
    <col min="37" max="37" width="11.85546875" customWidth="1"/>
    <col min="38" max="38" width="15.28515625" customWidth="1"/>
    <col min="39" max="39" width="11.28515625" customWidth="1"/>
    <col min="40" max="40" width="12.5703125" customWidth="1"/>
    <col min="41" max="41" width="16.140625" customWidth="1"/>
  </cols>
  <sheetData>
    <row r="1" spans="1:41" ht="15.75" thickBot="1" x14ac:dyDescent="0.3"/>
    <row r="2" spans="1:41" x14ac:dyDescent="0.25">
      <c r="B2" s="14" t="s">
        <v>1594</v>
      </c>
      <c r="C2" s="13"/>
      <c r="D2" s="182" t="s">
        <v>1595</v>
      </c>
      <c r="E2" s="183"/>
      <c r="F2" s="183"/>
      <c r="G2" s="183"/>
      <c r="H2" s="183"/>
      <c r="I2" s="183"/>
      <c r="J2" s="183"/>
      <c r="K2" s="184"/>
    </row>
    <row r="3" spans="1:41" x14ac:dyDescent="0.25">
      <c r="B3" s="15" t="s">
        <v>1596</v>
      </c>
      <c r="C3" s="13"/>
      <c r="D3" s="16" t="s">
        <v>1597</v>
      </c>
      <c r="E3" s="17" t="s">
        <v>1598</v>
      </c>
      <c r="F3" s="210" t="s">
        <v>1599</v>
      </c>
      <c r="G3" s="211"/>
      <c r="H3" s="210" t="s">
        <v>1600</v>
      </c>
      <c r="I3" s="211"/>
      <c r="J3" s="212" t="s">
        <v>1601</v>
      </c>
      <c r="K3" s="213"/>
    </row>
    <row r="4" spans="1:41" ht="15.75" thickBot="1" x14ac:dyDescent="0.3">
      <c r="B4" s="18" t="s">
        <v>1602</v>
      </c>
      <c r="C4" s="13"/>
      <c r="D4" s="120" t="s">
        <v>1603</v>
      </c>
      <c r="E4" s="19" t="s">
        <v>1604</v>
      </c>
      <c r="F4" s="214" t="s">
        <v>1605</v>
      </c>
      <c r="G4" s="215"/>
      <c r="H4" s="214" t="s">
        <v>1606</v>
      </c>
      <c r="I4" s="215"/>
      <c r="J4" s="216" t="s">
        <v>1607</v>
      </c>
      <c r="K4" s="217"/>
    </row>
    <row r="5" spans="1:41" ht="15.75" thickBot="1" x14ac:dyDescent="0.3">
      <c r="B5" s="20" t="s">
        <v>1608</v>
      </c>
      <c r="C5" s="13"/>
      <c r="D5" s="13" t="s">
        <v>1609</v>
      </c>
      <c r="E5" s="13"/>
      <c r="F5" s="125" t="s">
        <v>1610</v>
      </c>
      <c r="G5" s="13"/>
      <c r="H5" s="13"/>
      <c r="I5" s="13"/>
      <c r="J5" s="114"/>
      <c r="K5" s="114"/>
    </row>
    <row r="6" spans="1:41" x14ac:dyDescent="0.25">
      <c r="D6" s="118" t="s">
        <v>1611</v>
      </c>
      <c r="E6" s="118"/>
      <c r="F6" s="125" t="s">
        <v>1612</v>
      </c>
      <c r="M6" s="13"/>
      <c r="N6" s="13"/>
      <c r="O6" s="13"/>
      <c r="P6" s="13"/>
      <c r="Q6" s="13"/>
      <c r="R6" s="13"/>
      <c r="S6" s="13"/>
      <c r="T6" s="13"/>
      <c r="U6" s="13"/>
      <c r="V6" s="13"/>
      <c r="W6" s="13"/>
      <c r="X6" s="13"/>
      <c r="Y6" s="13"/>
      <c r="Z6" s="13"/>
      <c r="AA6" s="13"/>
      <c r="AB6" s="13"/>
      <c r="AC6" s="13"/>
      <c r="AD6" s="13"/>
      <c r="AE6" s="13"/>
      <c r="AF6" s="13"/>
      <c r="AG6" s="13"/>
      <c r="AH6" s="13"/>
    </row>
    <row r="7" spans="1:41" ht="15.75" thickBot="1" x14ac:dyDescent="0.3">
      <c r="B7" s="118" t="s">
        <v>1944</v>
      </c>
      <c r="D7" s="118" t="s">
        <v>1613</v>
      </c>
      <c r="L7" s="13"/>
      <c r="M7" s="13"/>
      <c r="N7" s="13"/>
      <c r="O7" s="13"/>
      <c r="P7" s="13"/>
      <c r="Q7" s="13"/>
      <c r="R7" s="13"/>
      <c r="S7" s="13"/>
      <c r="T7" s="13"/>
      <c r="U7" s="13"/>
      <c r="V7" s="13"/>
      <c r="W7" s="13"/>
      <c r="X7" s="13"/>
      <c r="Y7" s="13"/>
      <c r="Z7" s="13"/>
      <c r="AA7" s="13"/>
      <c r="AB7" s="13"/>
      <c r="AC7" s="13"/>
      <c r="AD7" s="13"/>
      <c r="AE7" s="13"/>
      <c r="AF7" s="13"/>
      <c r="AG7" s="13"/>
      <c r="AH7" s="13"/>
    </row>
    <row r="8" spans="1:41" x14ac:dyDescent="0.25">
      <c r="B8" s="193" t="s">
        <v>1614</v>
      </c>
      <c r="C8" s="193"/>
      <c r="D8" s="193"/>
      <c r="E8" s="193"/>
      <c r="F8" s="193"/>
      <c r="M8" s="13"/>
      <c r="N8" s="13"/>
      <c r="O8" s="179" t="s">
        <v>1615</v>
      </c>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1"/>
    </row>
    <row r="9" spans="1:41" ht="15.75" thickBot="1" x14ac:dyDescent="0.3">
      <c r="B9" s="193"/>
      <c r="C9" s="193"/>
      <c r="D9" s="193"/>
      <c r="E9" s="193"/>
      <c r="F9" s="193"/>
      <c r="M9" s="21"/>
      <c r="N9" s="21"/>
      <c r="O9" s="194">
        <v>2023</v>
      </c>
      <c r="P9" s="195"/>
      <c r="Q9" s="195"/>
      <c r="R9" s="195"/>
      <c r="S9" s="195"/>
      <c r="T9" s="195"/>
      <c r="U9" s="195"/>
      <c r="V9" s="195"/>
      <c r="W9" s="195"/>
      <c r="X9" s="195"/>
      <c r="Y9" s="195"/>
      <c r="Z9" s="195"/>
      <c r="AA9" s="195"/>
      <c r="AB9" s="195"/>
      <c r="AC9" s="195"/>
      <c r="AD9" s="176">
        <v>2024</v>
      </c>
      <c r="AE9" s="177"/>
      <c r="AF9" s="177"/>
      <c r="AG9" s="177"/>
      <c r="AH9" s="177"/>
      <c r="AI9" s="177"/>
      <c r="AJ9" s="177"/>
      <c r="AK9" s="177"/>
      <c r="AL9" s="177"/>
      <c r="AM9" s="177"/>
      <c r="AN9" s="177"/>
      <c r="AO9" s="178"/>
    </row>
    <row r="10" spans="1:41" ht="15.75" thickBot="1" x14ac:dyDescent="0.3">
      <c r="B10" s="13"/>
      <c r="C10" s="13"/>
      <c r="D10" s="13"/>
      <c r="E10" s="13"/>
      <c r="F10" s="13"/>
      <c r="G10" s="13"/>
      <c r="H10" s="182" t="s">
        <v>1616</v>
      </c>
      <c r="I10" s="183"/>
      <c r="J10" s="183"/>
      <c r="K10" s="183"/>
      <c r="L10" s="183"/>
      <c r="M10" s="183"/>
      <c r="N10" s="183"/>
      <c r="O10" s="196" t="s">
        <v>1617</v>
      </c>
      <c r="P10" s="197"/>
      <c r="Q10" s="197"/>
      <c r="R10" s="197"/>
      <c r="S10" s="198"/>
      <c r="T10" s="199" t="s">
        <v>1618</v>
      </c>
      <c r="U10" s="200"/>
      <c r="V10" s="200"/>
      <c r="W10" s="200"/>
      <c r="X10" s="201"/>
      <c r="Y10" s="202" t="s">
        <v>1619</v>
      </c>
      <c r="Z10" s="203"/>
      <c r="AA10" s="203"/>
      <c r="AB10" s="203"/>
      <c r="AC10" s="204"/>
      <c r="AD10" s="185" t="s">
        <v>1620</v>
      </c>
      <c r="AE10" s="186"/>
      <c r="AF10" s="186"/>
      <c r="AG10" s="186"/>
      <c r="AH10" s="187"/>
      <c r="AI10" s="208" t="s">
        <v>1617</v>
      </c>
      <c r="AJ10" s="197"/>
      <c r="AK10" s="197"/>
      <c r="AL10" s="197"/>
      <c r="AM10" s="197"/>
      <c r="AN10" s="197"/>
      <c r="AO10" s="209"/>
    </row>
    <row r="11" spans="1:41" ht="57" x14ac:dyDescent="0.25">
      <c r="A11" s="42"/>
      <c r="B11" s="23" t="s">
        <v>6</v>
      </c>
      <c r="C11" s="23" t="s">
        <v>10</v>
      </c>
      <c r="D11" s="23" t="s">
        <v>11</v>
      </c>
      <c r="E11" s="23" t="s">
        <v>1956</v>
      </c>
      <c r="F11" s="23" t="s">
        <v>1945</v>
      </c>
      <c r="G11" s="24" t="s">
        <v>1621</v>
      </c>
      <c r="H11" s="25" t="s">
        <v>1622</v>
      </c>
      <c r="I11" s="26" t="s">
        <v>1597</v>
      </c>
      <c r="J11" s="26" t="s">
        <v>1603</v>
      </c>
      <c r="K11" s="27" t="s">
        <v>1623</v>
      </c>
      <c r="L11" s="27" t="s">
        <v>1624</v>
      </c>
      <c r="M11" s="27" t="str">
        <f>"N Pollution Rank 
("&amp;COUNTA(B12:B77)&amp;" = Least Polluted)"</f>
        <v>N Pollution Rank 
(66 = Least Polluted)</v>
      </c>
      <c r="N11" s="27" t="str">
        <f>"P Pollution Rank 
("&amp;COUNTA(B12:B77)&amp;" = Least Polluted)"</f>
        <v>P Pollution Rank 
(66 = Least Polluted)</v>
      </c>
      <c r="O11" s="25" t="s">
        <v>1622</v>
      </c>
      <c r="P11" s="26" t="s">
        <v>1597</v>
      </c>
      <c r="Q11" s="27" t="s">
        <v>1625</v>
      </c>
      <c r="R11" s="26" t="s">
        <v>1603</v>
      </c>
      <c r="S11" s="51" t="s">
        <v>1626</v>
      </c>
      <c r="T11" s="26" t="s">
        <v>1622</v>
      </c>
      <c r="U11" s="26" t="s">
        <v>1597</v>
      </c>
      <c r="V11" s="27" t="s">
        <v>1625</v>
      </c>
      <c r="W11" s="26" t="s">
        <v>1603</v>
      </c>
      <c r="X11" s="51" t="s">
        <v>1626</v>
      </c>
      <c r="Y11" s="26" t="s">
        <v>1622</v>
      </c>
      <c r="Z11" s="26" t="s">
        <v>1597</v>
      </c>
      <c r="AA11" s="27" t="s">
        <v>1625</v>
      </c>
      <c r="AB11" s="26" t="s">
        <v>1603</v>
      </c>
      <c r="AC11" s="51" t="s">
        <v>1626</v>
      </c>
      <c r="AD11" s="25" t="s">
        <v>1622</v>
      </c>
      <c r="AE11" s="26" t="s">
        <v>1597</v>
      </c>
      <c r="AF11" s="27" t="s">
        <v>1625</v>
      </c>
      <c r="AG11" s="26" t="s">
        <v>1603</v>
      </c>
      <c r="AH11" s="51" t="s">
        <v>1626</v>
      </c>
      <c r="AI11" s="26" t="s">
        <v>1622</v>
      </c>
      <c r="AJ11" s="26" t="s">
        <v>1597</v>
      </c>
      <c r="AK11" s="27" t="s">
        <v>1625</v>
      </c>
      <c r="AL11" s="27" t="s">
        <v>1627</v>
      </c>
      <c r="AM11" s="26" t="s">
        <v>1603</v>
      </c>
      <c r="AN11" s="27" t="s">
        <v>1626</v>
      </c>
      <c r="AO11" s="60" t="s">
        <v>1628</v>
      </c>
    </row>
    <row r="12" spans="1:41" x14ac:dyDescent="0.25">
      <c r="A12" s="42"/>
      <c r="B12" s="13" t="s">
        <v>25</v>
      </c>
      <c r="C12" s="137">
        <f>IFERROR(AVERAGEIF(AllData[Site Name], Tables!B12, AllData[Latitude]), "Unknown")</f>
        <v>51.991389555555564</v>
      </c>
      <c r="D12" s="137">
        <f>IFERROR(AVERAGEIF(AllData[Site Name], Tables!B12, AllData[Longitude]), "Unknown")</f>
        <v>-2.1620794000000005</v>
      </c>
      <c r="E12" s="13" t="e" vm="1">
        <f>_xlfn.XLOOKUP(B12,LocationsKey[Site Name], LocationsKey[District])</f>
        <v>#VALUE!</v>
      </c>
      <c r="F12" s="13" t="e" vm="1">
        <f>_xlfn.XLOOKUP(B12,LocationsKey[Site Name], LocationsKey[Town])</f>
        <v>#VALUE!</v>
      </c>
      <c r="G12" s="28" t="str">
        <f>_xlfn.XLOOKUP(B12,LocationsKey[Site Name],LocationsKey[Waterway])</f>
        <v>Avon</v>
      </c>
      <c r="H12" s="29">
        <f>COUNTIF(AllData[Site Name], Tables!B12)</f>
        <v>59</v>
      </c>
      <c r="I12" s="30">
        <f>AVERAGE(P12,U12,Z12,AE12,AJ12)</f>
        <v>7.6973892773892771</v>
      </c>
      <c r="J12" s="31">
        <f>AVERAGE(R12,W12,AB12,AG12, AM12)</f>
        <v>0.81888834498834506</v>
      </c>
      <c r="K12" s="32" cm="1">
        <f t="array" ref="K12">SUM(COUNTIFS(AllData[Site Name], B12, AllData[Nitrate Pollution Category], {"High","Very high"}))/COUNTIFS(AllData[Site Name], B12, AllData[Nitrate (PPM)], "&lt;&gt;0")</f>
        <v>1</v>
      </c>
      <c r="L12" s="32" cm="1">
        <f t="array" ref="L12">SUM(COUNTIFS(AllData[Site Name], B12, AllData[Phosphate Pollution Category], {"High","Very high"}))/COUNTIFS(AllData[Site Name], B12, AllData[Phosphate (PPM)], "&lt;&gt;0")</f>
        <v>1</v>
      </c>
      <c r="M12" s="33">
        <f t="shared" ref="M12:M43" si="0">RANK(I12,$I$12:$I$77)</f>
        <v>19</v>
      </c>
      <c r="N12" s="33">
        <f t="shared" ref="N12:N43" si="1">RANK(J12,$J$12:$J$77)</f>
        <v>20</v>
      </c>
      <c r="O12" s="29">
        <f>COUNTIFS(AllData[Site Name], Tables!B12, AllData[Season], "Summer", AllData[Year], "2023")</f>
        <v>10</v>
      </c>
      <c r="P12" s="30">
        <f>IFERROR(AVERAGEIFS(AllData[Nitrate (PPM)], AllData[Site Name], B12, AllData[Season], "Summer", AllData[Year], "2023"), "")</f>
        <v>8.6</v>
      </c>
      <c r="Q12" s="32">
        <f>IFERROR((P12-I12)/I12, "")</f>
        <v>0.11726192999775904</v>
      </c>
      <c r="R12" s="31">
        <f>IFERROR(AVERAGEIFS(AllData[Phosphate (PPM)], AllData[Site Name], B12, AllData[Season], "Summer", AllData[Year], "2023"),"")</f>
        <v>1.032</v>
      </c>
      <c r="S12" s="34">
        <f>IFERROR((R12-J12)/J12, "")</f>
        <v>0.26024507042494066</v>
      </c>
      <c r="T12" s="33">
        <f>COUNTIFS(AllData[Site Name], Tables!B12, AllData[Season], "Autumn", AllData[Year], "2023")</f>
        <v>13</v>
      </c>
      <c r="U12" s="30">
        <f>IFERROR(AVERAGEIFS(AllData[Nitrate (PPM)], AllData[Site Name], B12, AllData[Season], "Autumn", AllData[Year], "2023"), "")</f>
        <v>7.9230769230769234</v>
      </c>
      <c r="V12" s="32">
        <f>IFERROR((U12-I12)/I12, "")</f>
        <v>2.9320024953212794E-2</v>
      </c>
      <c r="W12" s="31">
        <f>IFERROR(AVERAGEIFS(AllData[Phosphate (PPM)], AllData[Site Name], B12, AllData[Season], "Autumn", AllData[Year], "2023"), "")</f>
        <v>0.9276923076923077</v>
      </c>
      <c r="X12" s="34">
        <f>IFERROR((W12-J12)/J12, "")</f>
        <v>0.13286788531043411</v>
      </c>
      <c r="Y12" s="33">
        <f>COUNTIFS(AllData[Site Name], Tables!B12, AllData[Season], "Winter", AllData[Year], "2023")</f>
        <v>13</v>
      </c>
      <c r="Z12" s="30">
        <f>IFERROR(AVERAGEIFS(AllData[Nitrate (PPM)], AllData[Site Name], B12, AllData[Season], "Winter", AllData[Year], "2023"), "")</f>
        <v>5.615384615384615</v>
      </c>
      <c r="AA12" s="32">
        <f>IFERROR((Z12-I12)/I12, "")</f>
        <v>-0.27048192406228616</v>
      </c>
      <c r="AB12" s="31">
        <f>IFERROR(AVERAGEIFS(AllData[Phosphate (PPM)], AllData[Site Name], B12, AllData[Season], "Winter", AllData[Year], "2023"),"")</f>
        <v>0.68846153846153846</v>
      </c>
      <c r="AC12" s="32">
        <f>IFERROR((AB12-J12)/J12, "")</f>
        <v>-0.15927300385336773</v>
      </c>
      <c r="AD12" s="52">
        <f>COUNTIFS(AllData[Site Name], Tables!B12, AllData[Season], "Spring", AllData[Year], "2024")</f>
        <v>12</v>
      </c>
      <c r="AE12" s="30">
        <f>IFERROR(AVERAGEIFS(AllData[Nitrate (PPM)], AllData[Site Name], B12, AllData[Season], "Spring", AllData[Year], "2024"), "")</f>
        <v>7.166666666666667</v>
      </c>
      <c r="AF12" s="32">
        <f>IFERROR((AE12-I12)/I12, "")</f>
        <v>-6.8948391668534045E-2</v>
      </c>
      <c r="AG12" s="31">
        <f>IFERROR(AVERAGEIFS(AllData[Phosphate (PPM)], AllData[Site Name], B12, AllData[Season], "Spring", AllData[Year], "2024"),"")</f>
        <v>0.60083333333333322</v>
      </c>
      <c r="AH12" s="34">
        <f>IFERROR((AG12-J12)/J12, "")</f>
        <v>-0.26628173790666826</v>
      </c>
      <c r="AI12" s="33">
        <f>COUNTIFS(AllData[Site Name], Tables!B12, AllData[Season], "Summer", AllData[Year], "2024")</f>
        <v>11</v>
      </c>
      <c r="AJ12" s="30">
        <f>IFERROR(AVERAGEIFS(AllData[Nitrate (PPM)], AllData[Site Name], B12, AllData[Season], "Summer", AllData[Year], "2024"), "")</f>
        <v>9.1818181818181817</v>
      </c>
      <c r="AK12" s="32">
        <f>IFERROR((AJ12-I12)/I12, "")</f>
        <v>0.19284836077984849</v>
      </c>
      <c r="AL12" s="32">
        <f>IFERROR((AJ12-P12)/P12, "")</f>
        <v>6.7653276955602568E-2</v>
      </c>
      <c r="AM12" s="31">
        <f>IFERROR(AVERAGEIFS(AllData[Phosphate (PPM)], AllData[Site Name], B12, AllData[Season], "Summer", AllData[Year], "2024"),"")</f>
        <v>0.84545454545454557</v>
      </c>
      <c r="AN12" s="32">
        <f>IFERROR((AM12-J12)/J12, "")</f>
        <v>3.2441786024660801E-2</v>
      </c>
      <c r="AO12" s="61">
        <f>IFERROR((AM12-R12)/R12,"")</f>
        <v>-0.18076109936575044</v>
      </c>
    </row>
    <row r="13" spans="1:41" x14ac:dyDescent="0.25">
      <c r="A13" s="42"/>
      <c r="B13" s="13" t="s">
        <v>286</v>
      </c>
      <c r="C13" s="137">
        <f>IFERROR(AVERAGEIF(AllData[Site Name], Tables!B13, AllData[Latitude]), "Unknown")</f>
        <v>52.212366690476216</v>
      </c>
      <c r="D13" s="137">
        <f>IFERROR(AVERAGEIF(AllData[Site Name], Tables!B13, AllData[Longitude]), "Unknown")</f>
        <v>-1.6602567619047619</v>
      </c>
      <c r="E13" s="13" t="e" vm="2">
        <f>_xlfn.XLOOKUP(B13,LocationsKey[Site Name], LocationsKey[District])</f>
        <v>#VALUE!</v>
      </c>
      <c r="F13" s="13" t="e" vm="13">
        <f>_xlfn.XLOOKUP(B13,LocationsKey[Site Name], LocationsKey[Town])</f>
        <v>#VALUE!</v>
      </c>
      <c r="G13" s="28" t="str">
        <f>_xlfn.XLOOKUP(B13,LocationsKey[Site Name],LocationsKey[Waterway])</f>
        <v>Avon</v>
      </c>
      <c r="H13" s="29">
        <f>COUNTIF(AllData[Site Name], Tables!B13)</f>
        <v>43</v>
      </c>
      <c r="I13" s="30">
        <f t="shared" ref="I13:I77" si="2">AVERAGE(P13,U13,Z13,AE13,AJ13)</f>
        <v>5.9037660256410263</v>
      </c>
      <c r="J13" s="31">
        <f t="shared" ref="J13:J77" si="3">AVERAGE(R13,W13,AB13,AG13, AM13)</f>
        <v>0.49470009157509154</v>
      </c>
      <c r="K13" s="32" cm="1">
        <f t="array" ref="K13">SUM(COUNTIFS(AllData[Site Name], B13, AllData[Nitrate Pollution Category], {"High","Very high"}))/COUNTIFS(AllData[Site Name], B13, AllData[Nitrate (PPM)], "&lt;&gt;0")</f>
        <v>0.97619047619047616</v>
      </c>
      <c r="L13" s="32" cm="1">
        <f t="array" ref="L13">SUM(COUNTIFS(AllData[Site Name], B13, AllData[Phosphate Pollution Category], {"High","Very high"}))/COUNTIFS(AllData[Site Name], B13, AllData[Phosphate (PPM)], "&lt;&gt;0")</f>
        <v>1</v>
      </c>
      <c r="M13" s="33">
        <f t="shared" si="0"/>
        <v>37</v>
      </c>
      <c r="N13" s="33">
        <f t="shared" si="1"/>
        <v>48</v>
      </c>
      <c r="O13" s="29">
        <f>COUNTIFS(AllData[Site Name], Tables!B13, AllData[Season], "Summer", AllData[Year], "2023")</f>
        <v>0</v>
      </c>
      <c r="P13" s="30" t="str">
        <f>IFERROR(AVERAGEIFS(AllData[Nitrate (PPM)], AllData[Site Name], B13, AllData[Season], "Summer", AllData[Year], "2023"), "")</f>
        <v/>
      </c>
      <c r="Q13" s="32" t="str">
        <f t="shared" ref="Q13:Q77" si="4">IFERROR((P13-I13)/I13, "")</f>
        <v/>
      </c>
      <c r="R13" s="31" t="str">
        <f>IFERROR(AVERAGEIFS(AllData[Phosphate (PPM)], AllData[Site Name], B13, AllData[Season], "Summer", AllData[Year], "2023"),"")</f>
        <v/>
      </c>
      <c r="S13" s="34" t="str">
        <f t="shared" ref="S13:S77" si="5">IFERROR((R13-J13)/J13, "")</f>
        <v/>
      </c>
      <c r="T13" s="33">
        <f>COUNTIFS(AllData[Site Name], Tables!B13, AllData[Season], "Autumn", AllData[Year], "2023")</f>
        <v>4</v>
      </c>
      <c r="U13" s="30">
        <f>IFERROR(AVERAGEIFS(AllData[Nitrate (PPM)], AllData[Site Name], B13, AllData[Season], "Autumn", AllData[Year], "2023"), "")</f>
        <v>6.25</v>
      </c>
      <c r="V13" s="32">
        <f t="shared" ref="V13:V77" si="6">IFERROR((U13-I13)/I13, "")</f>
        <v>5.8646289987649015E-2</v>
      </c>
      <c r="W13" s="31">
        <f>IFERROR(AVERAGEIFS(AllData[Phosphate (PPM)], AllData[Site Name], B13, AllData[Season], "Autumn", AllData[Year], "2023"), "")</f>
        <v>0.44750000000000001</v>
      </c>
      <c r="X13" s="34">
        <f t="shared" ref="X13:X77" si="7">IFERROR((W13-J13)/J13, "")</f>
        <v>-9.541152787097662E-2</v>
      </c>
      <c r="Y13" s="33">
        <f>COUNTIFS(AllData[Site Name], Tables!B13, AllData[Season], "Winter", AllData[Year], "2023")</f>
        <v>14</v>
      </c>
      <c r="Z13" s="30">
        <f>IFERROR(AVERAGEIFS(AllData[Nitrate (PPM)], AllData[Site Name], B13, AllData[Season], "Winter", AllData[Year], "2023"), "")</f>
        <v>4.5</v>
      </c>
      <c r="AA13" s="32">
        <f t="shared" ref="AA13:AA77" si="8">IFERROR((Z13-I13)/I13, "")</f>
        <v>-0.2377746712088927</v>
      </c>
      <c r="AB13" s="31">
        <f>IFERROR(AVERAGEIFS(AllData[Phosphate (PPM)], AllData[Site Name], B13, AllData[Season], "Winter", AllData[Year], "2023"),"")</f>
        <v>0.63142857142857145</v>
      </c>
      <c r="AC13" s="32">
        <f t="shared" ref="AC13:AC77" si="9">IFERROR((AB13-J13)/J13, "")</f>
        <v>0.27638660712219743</v>
      </c>
      <c r="AD13" s="52">
        <f>COUNTIFS(AllData[Site Name], Tables!B13, AllData[Season], "Spring", AllData[Year], "2024")</f>
        <v>13</v>
      </c>
      <c r="AE13" s="30">
        <f>IFERROR(AVERAGEIFS(AllData[Nitrate (PPM)], AllData[Site Name], B13, AllData[Season], "Spring", AllData[Year], "2024"), "")</f>
        <v>5.7692307692307692</v>
      </c>
      <c r="AF13" s="32">
        <f t="shared" ref="AF13:AF77" si="10">IFERROR((AE13-I13)/I13, "")</f>
        <v>-2.2788040011400921E-2</v>
      </c>
      <c r="AG13" s="31">
        <f>IFERROR(AVERAGEIFS(AllData[Phosphate (PPM)], AllData[Site Name], B13, AllData[Season], "Spring", AllData[Year], "2024"),"")</f>
        <v>0.41153846153846152</v>
      </c>
      <c r="AH13" s="34">
        <f t="shared" ref="AH13:AH77" si="11">IFERROR((AG13-J13)/J13, "")</f>
        <v>-0.16810514380914915</v>
      </c>
      <c r="AI13" s="33">
        <f>COUNTIFS(AllData[Site Name], Tables!B13, AllData[Season], "Summer", AllData[Year], "2024")</f>
        <v>12</v>
      </c>
      <c r="AJ13" s="30">
        <f>IFERROR(AVERAGEIFS(AllData[Nitrate (PPM)], AllData[Site Name], B13, AllData[Season], "Summer", AllData[Year], "2024"), "")</f>
        <v>7.0958333333333341</v>
      </c>
      <c r="AK13" s="32">
        <f t="shared" ref="AK13:AK77" si="12">IFERROR((AJ13-I13)/I13, "")</f>
        <v>0.20191642123264431</v>
      </c>
      <c r="AL13" s="32" t="str">
        <f t="shared" ref="AL13:AL77" si="13">IFERROR((AJ13-P13)/P13, "")</f>
        <v/>
      </c>
      <c r="AM13" s="31">
        <f>IFERROR(AVERAGEIFS(AllData[Phosphate (PPM)], AllData[Site Name], B13, AllData[Season], "Summer", AllData[Year], "2024"),"")</f>
        <v>0.48833333333333329</v>
      </c>
      <c r="AN13" s="32">
        <f t="shared" ref="AN13:AN77" si="14">IFERROR((AM13-J13)/J13, "")</f>
        <v>-1.2869935442071429E-2</v>
      </c>
      <c r="AO13" s="61" t="str">
        <f t="shared" ref="AO13:AO77" si="15">IFERROR((AM13-R13)/R13,"")</f>
        <v/>
      </c>
    </row>
    <row r="14" spans="1:41" x14ac:dyDescent="0.25">
      <c r="A14" s="42"/>
      <c r="B14" s="13" t="s">
        <v>741</v>
      </c>
      <c r="C14" s="137">
        <f>IFERROR(AVERAGEIF(AllData[Site Name], Tables!B14, AllData[Latitude]), "Unknown")</f>
        <v>52.123045961538452</v>
      </c>
      <c r="D14" s="137">
        <f>IFERROR(AVERAGEIF(AllData[Site Name], Tables!B14, AllData[Longitude]), "Unknown")</f>
        <v>-2.0572161923076919</v>
      </c>
      <c r="E14" s="13" t="e" vm="17">
        <f>_xlfn.XLOOKUP(B14,LocationsKey[Site Name], LocationsKey[District])</f>
        <v>#VALUE!</v>
      </c>
      <c r="F14" s="13" t="e" vm="20">
        <f>_xlfn.XLOOKUP(B14,LocationsKey[Site Name], LocationsKey[Town])</f>
        <v>#VALUE!</v>
      </c>
      <c r="G14" s="28" t="str">
        <f>_xlfn.XLOOKUP(B14,LocationsKey[Site Name],LocationsKey[Waterway])</f>
        <v>Avon</v>
      </c>
      <c r="H14" s="29">
        <f>COUNTIF(AllData[Site Name], Tables!B14)</f>
        <v>26</v>
      </c>
      <c r="I14" s="30">
        <f t="shared" si="2"/>
        <v>7.6153846153846159</v>
      </c>
      <c r="J14" s="31">
        <f t="shared" si="3"/>
        <v>0.68153846153846154</v>
      </c>
      <c r="K14" s="32" cm="1">
        <f t="array" ref="K14">SUM(COUNTIFS(AllData[Site Name], B14, AllData[Nitrate Pollution Category], {"High","Very high"}))/COUNTIFS(AllData[Site Name], B14, AllData[Nitrate (PPM)], "&lt;&gt;0")</f>
        <v>1</v>
      </c>
      <c r="L14" s="32" cm="1">
        <f t="array" ref="L14">SUM(COUNTIFS(AllData[Site Name], B14, AllData[Phosphate Pollution Category], {"High","Very high"}))/COUNTIFS(AllData[Site Name], B14, AllData[Phosphate (PPM)], "&lt;&gt;0")</f>
        <v>1</v>
      </c>
      <c r="M14" s="33">
        <f t="shared" si="0"/>
        <v>20</v>
      </c>
      <c r="N14" s="33">
        <f t="shared" si="1"/>
        <v>24</v>
      </c>
      <c r="O14" s="29">
        <f>COUNTIFS(AllData[Site Name], Tables!B14, AllData[Season], "Summer", AllData[Year], "2023")</f>
        <v>0</v>
      </c>
      <c r="P14" s="30" t="str">
        <f>IFERROR(AVERAGEIFS(AllData[Nitrate (PPM)], AllData[Site Name], B14, AllData[Season], "Summer", AllData[Year], "2023"), "")</f>
        <v/>
      </c>
      <c r="Q14" s="32" t="str">
        <f t="shared" si="4"/>
        <v/>
      </c>
      <c r="R14" s="31" t="str">
        <f>IFERROR(AVERAGEIFS(AllData[Phosphate (PPM)], AllData[Site Name], B14, AllData[Season], "Summer", AllData[Year], "2023"),"")</f>
        <v/>
      </c>
      <c r="S14" s="34" t="str">
        <f t="shared" si="5"/>
        <v/>
      </c>
      <c r="T14" s="33">
        <f>COUNTIFS(AllData[Site Name], Tables!B14, AllData[Season], "Autumn", AllData[Year], "2023")</f>
        <v>0</v>
      </c>
      <c r="U14" s="30" t="str">
        <f>IFERROR(AVERAGEIFS(AllData[Nitrate (PPM)], AllData[Site Name], B14, AllData[Season], "Autumn", AllData[Year], "2023"), "")</f>
        <v/>
      </c>
      <c r="V14" s="32" t="str">
        <f t="shared" si="6"/>
        <v/>
      </c>
      <c r="W14" s="31" t="str">
        <f>IFERROR(AVERAGEIFS(AllData[Phosphate (PPM)], AllData[Site Name], B14, AllData[Season], "Autumn", AllData[Year], "2023"), "")</f>
        <v/>
      </c>
      <c r="X14" s="34" t="str">
        <f t="shared" si="7"/>
        <v/>
      </c>
      <c r="Y14" s="33">
        <f>COUNTIFS(AllData[Site Name], Tables!B14, AllData[Season], "Winter", AllData[Year], "2023")</f>
        <v>0</v>
      </c>
      <c r="Z14" s="30" t="str">
        <f>IFERROR(AVERAGEIFS(AllData[Nitrate (PPM)], AllData[Site Name], B14, AllData[Season], "Winter", AllData[Year], "2023"), "")</f>
        <v/>
      </c>
      <c r="AA14" s="32" t="str">
        <f t="shared" si="8"/>
        <v/>
      </c>
      <c r="AB14" s="31" t="str">
        <f>IFERROR(AVERAGEIFS(AllData[Phosphate (PPM)], AllData[Site Name], B14, AllData[Season], "Winter", AllData[Year], "2023"),"")</f>
        <v/>
      </c>
      <c r="AC14" s="32" t="str">
        <f t="shared" si="9"/>
        <v/>
      </c>
      <c r="AD14" s="52">
        <f>COUNTIFS(AllData[Site Name], Tables!B14, AllData[Season], "Spring", AllData[Year], "2024")</f>
        <v>13</v>
      </c>
      <c r="AE14" s="30">
        <f>IFERROR(AVERAGEIFS(AllData[Nitrate (PPM)], AllData[Site Name], B14, AllData[Season], "Spring", AllData[Year], "2024"), "")</f>
        <v>6.4615384615384617</v>
      </c>
      <c r="AF14" s="32">
        <f t="shared" si="10"/>
        <v>-0.15151515151515155</v>
      </c>
      <c r="AG14" s="31">
        <f>IFERROR(AVERAGEIFS(AllData[Phosphate (PPM)], AllData[Site Name], B14, AllData[Season], "Spring", AllData[Year], "2024"),"")</f>
        <v>0.51923076923076927</v>
      </c>
      <c r="AH14" s="34">
        <f t="shared" si="11"/>
        <v>-0.23814898419864552</v>
      </c>
      <c r="AI14" s="33">
        <f>COUNTIFS(AllData[Site Name], Tables!B14, AllData[Season], "Summer", AllData[Year], "2024")</f>
        <v>13</v>
      </c>
      <c r="AJ14" s="30">
        <f>IFERROR(AVERAGEIFS(AllData[Nitrate (PPM)], AllData[Site Name], B14, AllData[Season], "Summer", AllData[Year], "2024"), "")</f>
        <v>8.7692307692307701</v>
      </c>
      <c r="AK14" s="32">
        <f t="shared" si="12"/>
        <v>0.15151515151515155</v>
      </c>
      <c r="AL14" s="32" t="str">
        <f t="shared" si="13"/>
        <v/>
      </c>
      <c r="AM14" s="31">
        <f>IFERROR(AVERAGEIFS(AllData[Phosphate (PPM)], AllData[Site Name], B14, AllData[Season], "Summer", AllData[Year], "2024"),"")</f>
        <v>0.8438461538461538</v>
      </c>
      <c r="AN14" s="32">
        <f t="shared" si="14"/>
        <v>0.23814898419864552</v>
      </c>
      <c r="AO14" s="61" t="str">
        <f t="shared" si="15"/>
        <v/>
      </c>
    </row>
    <row r="15" spans="1:41" x14ac:dyDescent="0.25">
      <c r="A15" s="42"/>
      <c r="B15" s="13" t="s">
        <v>65</v>
      </c>
      <c r="C15" s="137">
        <f>IFERROR(AVERAGEIF(AllData[Site Name], Tables!B15, AllData[Latitude]), "Unknown")</f>
        <v>52.177054657142854</v>
      </c>
      <c r="D15" s="137">
        <f>IFERROR(AVERAGEIF(AllData[Site Name], Tables!B15, AllData[Longitude]), "Unknown")</f>
        <v>-1.7358669999999996</v>
      </c>
      <c r="E15" s="13" t="e" vm="2">
        <f>_xlfn.XLOOKUP(B15,LocationsKey[Site Name], LocationsKey[District])</f>
        <v>#VALUE!</v>
      </c>
      <c r="F15" s="13" t="e" vm="7">
        <f>_xlfn.XLOOKUP(B15,LocationsKey[Site Name], LocationsKey[Town])</f>
        <v>#VALUE!</v>
      </c>
      <c r="G15" s="28" t="str">
        <f>_xlfn.XLOOKUP(B15,LocationsKey[Site Name],LocationsKey[Waterway])</f>
        <v>Avon</v>
      </c>
      <c r="H15" s="29">
        <f>COUNTIF(AllData[Site Name], Tables!B15)</f>
        <v>36</v>
      </c>
      <c r="I15" s="30">
        <f t="shared" si="2"/>
        <v>8.2022222222222219</v>
      </c>
      <c r="J15" s="31">
        <f t="shared" si="3"/>
        <v>0.56275555555555568</v>
      </c>
      <c r="K15" s="32" cm="1">
        <f t="array" ref="K15">SUM(COUNTIFS(AllData[Site Name], B15, AllData[Nitrate Pollution Category], {"High","Very high"}))/COUNTIFS(AllData[Site Name], B15, AllData[Nitrate (PPM)], "&lt;&gt;0")</f>
        <v>1</v>
      </c>
      <c r="L15" s="32" cm="1">
        <f t="array" ref="L15">SUM(COUNTIFS(AllData[Site Name], B15, AllData[Phosphate Pollution Category], {"High","Very high"}))/COUNTIFS(AllData[Site Name], B15, AllData[Phosphate (PPM)], "&lt;&gt;0")</f>
        <v>1</v>
      </c>
      <c r="M15" s="33">
        <f t="shared" si="0"/>
        <v>10</v>
      </c>
      <c r="N15" s="33">
        <f t="shared" si="1"/>
        <v>40</v>
      </c>
      <c r="O15" s="29">
        <f>COUNTIFS(AllData[Site Name], Tables!B15, AllData[Season], "Summer", AllData[Year], "2023")</f>
        <v>5</v>
      </c>
      <c r="P15" s="30">
        <f>IFERROR(AVERAGEIFS(AllData[Nitrate (PPM)], AllData[Site Name], B15, AllData[Season], "Summer", AllData[Year], "2023"), "")</f>
        <v>10</v>
      </c>
      <c r="Q15" s="32">
        <f t="shared" si="4"/>
        <v>0.21918179355188303</v>
      </c>
      <c r="R15" s="31">
        <f>IFERROR(AVERAGEIFS(AllData[Phosphate (PPM)], AllData[Site Name], B15, AllData[Season], "Summer", AllData[Year], "2023"),"")</f>
        <v>0.51</v>
      </c>
      <c r="S15" s="34">
        <f t="shared" si="5"/>
        <v>-9.3745063970936834E-2</v>
      </c>
      <c r="T15" s="33">
        <f>COUNTIFS(AllData[Site Name], Tables!B15, AllData[Season], "Autumn", AllData[Year], "2023")</f>
        <v>12</v>
      </c>
      <c r="U15" s="30">
        <f>IFERROR(AVERAGEIFS(AllData[Nitrate (PPM)], AllData[Site Name], B15, AllData[Season], "Autumn", AllData[Year], "2023"), "")</f>
        <v>10.833333333333334</v>
      </c>
      <c r="V15" s="32">
        <f t="shared" si="6"/>
        <v>0.32078027634787332</v>
      </c>
      <c r="W15" s="31">
        <f>IFERROR(AVERAGEIFS(AllData[Phosphate (PPM)], AllData[Site Name], B15, AllData[Season], "Autumn", AllData[Year], "2023"), "")</f>
        <v>0.82000000000000017</v>
      </c>
      <c r="X15" s="34">
        <f t="shared" si="7"/>
        <v>0.45711577949770971</v>
      </c>
      <c r="Y15" s="33">
        <f>COUNTIFS(AllData[Site Name], Tables!B15, AllData[Season], "Winter", AllData[Year], "2023")</f>
        <v>5</v>
      </c>
      <c r="Z15" s="30">
        <f>IFERROR(AVERAGEIFS(AllData[Nitrate (PPM)], AllData[Site Name], B15, AllData[Season], "Winter", AllData[Year], "2023"), "")</f>
        <v>5.4</v>
      </c>
      <c r="AA15" s="32">
        <f t="shared" si="8"/>
        <v>-0.34164183148198313</v>
      </c>
      <c r="AB15" s="31">
        <f>IFERROR(AVERAGEIFS(AllData[Phosphate (PPM)], AllData[Site Name], B15, AllData[Season], "Winter", AllData[Year], "2023"),"")</f>
        <v>0.52400000000000002</v>
      </c>
      <c r="AC15" s="32">
        <f t="shared" si="9"/>
        <v>-6.8867477491707629E-2</v>
      </c>
      <c r="AD15" s="52">
        <f>COUNTIFS(AllData[Site Name], Tables!B15, AllData[Season], "Spring", AllData[Year], "2024")</f>
        <v>9</v>
      </c>
      <c r="AE15" s="30">
        <f>IFERROR(AVERAGEIFS(AllData[Nitrate (PPM)], AllData[Site Name], B15, AllData[Season], "Spring", AllData[Year], "2024"), "")</f>
        <v>7.7777777777777777</v>
      </c>
      <c r="AF15" s="32">
        <f t="shared" si="10"/>
        <v>-5.1747493904091002E-2</v>
      </c>
      <c r="AG15" s="31">
        <f>IFERROR(AVERAGEIFS(AllData[Phosphate (PPM)], AllData[Site Name], B15, AllData[Season], "Spring", AllData[Year], "2024"),"")</f>
        <v>0.43777777777777771</v>
      </c>
      <c r="AH15" s="34">
        <f t="shared" si="11"/>
        <v>-0.22208181961775419</v>
      </c>
      <c r="AI15" s="33">
        <f>COUNTIFS(AllData[Site Name], Tables!B15, AllData[Season], "Summer", AllData[Year], "2024")</f>
        <v>5</v>
      </c>
      <c r="AJ15" s="30">
        <f>IFERROR(AVERAGEIFS(AllData[Nitrate (PPM)], AllData[Site Name], B15, AllData[Season], "Summer", AllData[Year], "2024"), "")</f>
        <v>7</v>
      </c>
      <c r="AK15" s="32">
        <f t="shared" si="12"/>
        <v>-0.14657274451368188</v>
      </c>
      <c r="AL15" s="32">
        <f t="shared" si="13"/>
        <v>-0.3</v>
      </c>
      <c r="AM15" s="31">
        <f>IFERROR(AVERAGEIFS(AllData[Phosphate (PPM)], AllData[Site Name], B15, AllData[Season], "Summer", AllData[Year], "2024"),"")</f>
        <v>0.52200000000000002</v>
      </c>
      <c r="AN15" s="32">
        <f t="shared" si="14"/>
        <v>-7.2421418417311798E-2</v>
      </c>
      <c r="AO15" s="61">
        <f t="shared" si="15"/>
        <v>2.3529411764705903E-2</v>
      </c>
    </row>
    <row r="16" spans="1:41" x14ac:dyDescent="0.25">
      <c r="A16" s="42"/>
      <c r="B16" s="13" t="s">
        <v>49</v>
      </c>
      <c r="C16" s="137">
        <f>IFERROR(AVERAGEIF(AllData[Site Name], Tables!B16, AllData[Latitude]), "Unknown")</f>
        <v>52.16120999999999</v>
      </c>
      <c r="D16" s="137">
        <f>IFERROR(AVERAGEIF(AllData[Site Name], Tables!B16, AllData[Longitude]), "Unknown")</f>
        <v>-1.8301499999999999</v>
      </c>
      <c r="E16" s="13" t="e" vm="2">
        <f>_xlfn.XLOOKUP(B16,LocationsKey[Site Name], LocationsKey[District])</f>
        <v>#VALUE!</v>
      </c>
      <c r="F16" s="13" t="str">
        <f>_xlfn.XLOOKUP(B16,LocationsKey[Site Name], LocationsKey[Town])</f>
        <v>Barton</v>
      </c>
      <c r="G16" s="28" t="str">
        <f>_xlfn.XLOOKUP(B16,LocationsKey[Site Name],LocationsKey[Waterway])</f>
        <v>Avon</v>
      </c>
      <c r="H16" s="29">
        <f>COUNTIF(AllData[Site Name], Tables!B16)</f>
        <v>13</v>
      </c>
      <c r="I16" s="30">
        <f t="shared" si="2"/>
        <v>7.7666666666666666</v>
      </c>
      <c r="J16" s="31">
        <f t="shared" si="3"/>
        <v>0.61777777777777776</v>
      </c>
      <c r="K16" s="32" cm="1">
        <f t="array" ref="K16">SUM(COUNTIFS(AllData[Site Name], B16, AllData[Nitrate Pollution Category], {"High","Very high"}))/COUNTIFS(AllData[Site Name], B16, AllData[Nitrate (PPM)], "&lt;&gt;0")</f>
        <v>0.92307692307692313</v>
      </c>
      <c r="L16" s="32" cm="1">
        <f t="array" ref="L16">SUM(COUNTIFS(AllData[Site Name], B16, AllData[Phosphate Pollution Category], {"High","Very high"}))/COUNTIFS(AllData[Site Name], B16, AllData[Phosphate (PPM)], "&lt;&gt;0")</f>
        <v>1</v>
      </c>
      <c r="M16" s="33">
        <f t="shared" si="0"/>
        <v>18</v>
      </c>
      <c r="N16" s="33">
        <f t="shared" si="1"/>
        <v>27</v>
      </c>
      <c r="O16" s="29">
        <f>COUNTIFS(AllData[Site Name], Tables!B16, AllData[Season], "Summer", AllData[Year], "2023")</f>
        <v>5</v>
      </c>
      <c r="P16" s="30">
        <f>IFERROR(AVERAGEIFS(AllData[Nitrate (PPM)], AllData[Site Name], B16, AllData[Season], "Summer", AllData[Year], "2023"), "")</f>
        <v>5</v>
      </c>
      <c r="Q16" s="32">
        <f t="shared" si="4"/>
        <v>-0.35622317596566522</v>
      </c>
      <c r="R16" s="31">
        <f>IFERROR(AVERAGEIFS(AllData[Phosphate (PPM)], AllData[Site Name], B16, AllData[Season], "Summer", AllData[Year], "2023"),"")</f>
        <v>0.65199999999999991</v>
      </c>
      <c r="S16" s="34">
        <f t="shared" si="5"/>
        <v>5.5395683453237303E-2</v>
      </c>
      <c r="T16" s="33">
        <f>COUNTIFS(AllData[Site Name], Tables!B16, AllData[Season], "Autumn", AllData[Year], "2023")</f>
        <v>3</v>
      </c>
      <c r="U16" s="30">
        <f>IFERROR(AVERAGEIFS(AllData[Nitrate (PPM)], AllData[Site Name], B16, AllData[Season], "Autumn", AllData[Year], "2023"), "")</f>
        <v>5.5</v>
      </c>
      <c r="V16" s="32">
        <f t="shared" si="6"/>
        <v>-0.29184549356223177</v>
      </c>
      <c r="W16" s="31">
        <f>IFERROR(AVERAGEIFS(AllData[Phosphate (PPM)], AllData[Site Name], B16, AllData[Season], "Autumn", AllData[Year], "2023"), "")</f>
        <v>0.72333333333333327</v>
      </c>
      <c r="X16" s="34">
        <f t="shared" si="7"/>
        <v>0.17086330935251792</v>
      </c>
      <c r="Y16" s="33">
        <f>COUNTIFS(AllData[Site Name], Tables!B16, AllData[Season], "Winter", AllData[Year], "2023")</f>
        <v>5</v>
      </c>
      <c r="Z16" s="30">
        <f>IFERROR(AVERAGEIFS(AllData[Nitrate (PPM)], AllData[Site Name], B16, AllData[Season], "Winter", AllData[Year], "2023"), "")</f>
        <v>12.8</v>
      </c>
      <c r="AA16" s="32">
        <f t="shared" si="8"/>
        <v>0.6480686695278971</v>
      </c>
      <c r="AB16" s="31">
        <f>IFERROR(AVERAGEIFS(AllData[Phosphate (PPM)], AllData[Site Name], B16, AllData[Season], "Winter", AllData[Year], "2023"),"")</f>
        <v>0.47800000000000004</v>
      </c>
      <c r="AC16" s="32">
        <f t="shared" si="9"/>
        <v>-0.22625899280575532</v>
      </c>
      <c r="AD16" s="52">
        <f>COUNTIFS(AllData[Site Name], Tables!B16, AllData[Season], "Spring", AllData[Year], "2024")</f>
        <v>0</v>
      </c>
      <c r="AE16" s="30" t="str">
        <f>IFERROR(AVERAGEIFS(AllData[Nitrate (PPM)], AllData[Site Name], B16, AllData[Season], "Spring", AllData[Year], "2024"), "")</f>
        <v/>
      </c>
      <c r="AF16" s="32" t="str">
        <f t="shared" si="10"/>
        <v/>
      </c>
      <c r="AG16" s="31" t="str">
        <f>IFERROR(AVERAGEIFS(AllData[Phosphate (PPM)], AllData[Site Name], B16, AllData[Season], "Spring", AllData[Year], "2024"),"")</f>
        <v/>
      </c>
      <c r="AH16" s="34" t="str">
        <f t="shared" si="11"/>
        <v/>
      </c>
      <c r="AI16" s="33">
        <f>COUNTIFS(AllData[Site Name], Tables!B16, AllData[Season], "Summer", AllData[Year], "2024")</f>
        <v>0</v>
      </c>
      <c r="AJ16" s="30" t="str">
        <f>IFERROR(AVERAGEIFS(AllData[Nitrate (PPM)], AllData[Site Name], B16, AllData[Season], "Summer", AllData[Year], "2024"), "")</f>
        <v/>
      </c>
      <c r="AK16" s="32" t="str">
        <f t="shared" si="12"/>
        <v/>
      </c>
      <c r="AL16" s="32" t="str">
        <f t="shared" si="13"/>
        <v/>
      </c>
      <c r="AM16" s="31" t="str">
        <f>IFERROR(AVERAGEIFS(AllData[Phosphate (PPM)], AllData[Site Name], B16, AllData[Season], "Summer", AllData[Year], "2024"),"")</f>
        <v/>
      </c>
      <c r="AN16" s="32" t="str">
        <f t="shared" si="14"/>
        <v/>
      </c>
      <c r="AO16" s="61" t="str">
        <f t="shared" si="15"/>
        <v/>
      </c>
    </row>
    <row r="17" spans="1:42" x14ac:dyDescent="0.25">
      <c r="A17" s="42"/>
      <c r="B17" s="13" t="s">
        <v>534</v>
      </c>
      <c r="C17" s="137">
        <f>IFERROR(AVERAGEIF(AllData[Site Name], Tables!B17, AllData[Latitude]), "Unknown")</f>
        <v>52.24489999999998</v>
      </c>
      <c r="D17" s="137">
        <f>IFERROR(AVERAGEIF(AllData[Site Name], Tables!B17, AllData[Longitude]), "Unknown")</f>
        <v>-1.6617000000000013</v>
      </c>
      <c r="E17" s="13" t="e" vm="2">
        <f>_xlfn.XLOOKUP(B17,LocationsKey[Site Name], LocationsKey[District])</f>
        <v>#VALUE!</v>
      </c>
      <c r="F17" s="13" t="e" vm="15">
        <f>_xlfn.XLOOKUP(B17,LocationsKey[Site Name], LocationsKey[Town])</f>
        <v>#VALUE!</v>
      </c>
      <c r="G17" s="28" t="str">
        <f>_xlfn.XLOOKUP(B17,LocationsKey[Site Name],LocationsKey[Waterway])</f>
        <v>Bell Brook</v>
      </c>
      <c r="H17" s="29">
        <f>COUNTIF(AllData[Site Name], Tables!B17)</f>
        <v>33</v>
      </c>
      <c r="I17" s="30">
        <f t="shared" si="2"/>
        <v>6.6630036630036633</v>
      </c>
      <c r="J17" s="31">
        <f t="shared" si="3"/>
        <v>0.56505494505494502</v>
      </c>
      <c r="K17" s="32" cm="1">
        <f t="array" ref="K17">SUM(COUNTIFS(AllData[Site Name], B17, AllData[Nitrate Pollution Category], {"High","Very high"}))/COUNTIFS(AllData[Site Name], B17, AllData[Nitrate (PPM)], "&lt;&gt;0")</f>
        <v>1</v>
      </c>
      <c r="L17" s="32" cm="1">
        <f t="array" ref="L17">SUM(COUNTIFS(AllData[Site Name], B17, AllData[Phosphate Pollution Category], {"High","Very high"}))/COUNTIFS(AllData[Site Name], B17, AllData[Phosphate (PPM)], "&lt;&gt;0")</f>
        <v>1</v>
      </c>
      <c r="M17" s="33">
        <f t="shared" si="0"/>
        <v>30</v>
      </c>
      <c r="N17" s="33">
        <f t="shared" si="1"/>
        <v>39</v>
      </c>
      <c r="O17" s="29">
        <f>COUNTIFS(AllData[Site Name], Tables!B17, AllData[Season], "Summer", AllData[Year], "2023")</f>
        <v>0</v>
      </c>
      <c r="P17" s="30" t="str">
        <f>IFERROR(AVERAGEIFS(AllData[Nitrate (PPM)], AllData[Site Name], B17, AllData[Season], "Summer", AllData[Year], "2023"), "")</f>
        <v/>
      </c>
      <c r="Q17" s="32" t="str">
        <f t="shared" si="4"/>
        <v/>
      </c>
      <c r="R17" s="31" t="str">
        <f>IFERROR(AVERAGEIFS(AllData[Phosphate (PPM)], AllData[Site Name], B17, AllData[Season], "Summer", AllData[Year], "2023"),"")</f>
        <v/>
      </c>
      <c r="S17" s="34" t="str">
        <f t="shared" si="5"/>
        <v/>
      </c>
      <c r="T17" s="33">
        <f>COUNTIFS(AllData[Site Name], Tables!B17, AllData[Season], "Autumn", AllData[Year], "2023")</f>
        <v>0</v>
      </c>
      <c r="U17" s="30" t="str">
        <f>IFERROR(AVERAGEIFS(AllData[Nitrate (PPM)], AllData[Site Name], B17, AllData[Season], "Autumn", AllData[Year], "2023"), "")</f>
        <v/>
      </c>
      <c r="V17" s="32" t="str">
        <f t="shared" si="6"/>
        <v/>
      </c>
      <c r="W17" s="31" t="str">
        <f>IFERROR(AVERAGEIFS(AllData[Phosphate (PPM)], AllData[Site Name], B17, AllData[Season], "Autumn", AllData[Year], "2023"), "")</f>
        <v/>
      </c>
      <c r="X17" s="34" t="str">
        <f t="shared" si="7"/>
        <v/>
      </c>
      <c r="Y17" s="33">
        <f>COUNTIFS(AllData[Site Name], Tables!B17, AllData[Season], "Winter", AllData[Year], "2023")</f>
        <v>7</v>
      </c>
      <c r="Z17" s="30">
        <f>IFERROR(AVERAGEIFS(AllData[Nitrate (PPM)], AllData[Site Name], B17, AllData[Season], "Winter", AllData[Year], "2023"), "")</f>
        <v>6.1428571428571432</v>
      </c>
      <c r="AA17" s="32">
        <f t="shared" si="8"/>
        <v>-7.806487080813633E-2</v>
      </c>
      <c r="AB17" s="31">
        <f>IFERROR(AVERAGEIFS(AllData[Phosphate (PPM)], AllData[Site Name], B17, AllData[Season], "Winter", AllData[Year], "2023"),"")</f>
        <v>0.61285714285714288</v>
      </c>
      <c r="AC17" s="32">
        <f t="shared" si="9"/>
        <v>8.459743290548434E-2</v>
      </c>
      <c r="AD17" s="52">
        <f>COUNTIFS(AllData[Site Name], Tables!B17, AllData[Season], "Spring", AllData[Year], "2024")</f>
        <v>13</v>
      </c>
      <c r="AE17" s="30">
        <f>IFERROR(AVERAGEIFS(AllData[Nitrate (PPM)], AllData[Site Name], B17, AllData[Season], "Spring", AllData[Year], "2024"), "")</f>
        <v>4.6923076923076925</v>
      </c>
      <c r="AF17" s="32">
        <f t="shared" si="10"/>
        <v>-0.29576690489279822</v>
      </c>
      <c r="AG17" s="31">
        <f>IFERROR(AVERAGEIFS(AllData[Phosphate (PPM)], AllData[Site Name], B17, AllData[Season], "Spring", AllData[Year], "2024"),"")</f>
        <v>0.45692307692307693</v>
      </c>
      <c r="AH17" s="34">
        <f t="shared" si="11"/>
        <v>-0.19136522753792293</v>
      </c>
      <c r="AI17" s="33">
        <f>COUNTIFS(AllData[Site Name], Tables!B17, AllData[Season], "Summer", AllData[Year], "2024")</f>
        <v>13</v>
      </c>
      <c r="AJ17" s="30">
        <f>IFERROR(AVERAGEIFS(AllData[Nitrate (PPM)], AllData[Site Name], B17, AllData[Season], "Summer", AllData[Year], "2024"), "")</f>
        <v>9.1538461538461533</v>
      </c>
      <c r="AK17" s="32">
        <f t="shared" si="12"/>
        <v>0.37383177570093445</v>
      </c>
      <c r="AL17" s="32" t="str">
        <f t="shared" si="13"/>
        <v/>
      </c>
      <c r="AM17" s="31">
        <f>IFERROR(AVERAGEIFS(AllData[Phosphate (PPM)], AllData[Site Name], B17, AllData[Season], "Summer", AllData[Year], "2024"),"")</f>
        <v>0.62538461538461543</v>
      </c>
      <c r="AN17" s="32">
        <f t="shared" si="14"/>
        <v>0.10676779463243888</v>
      </c>
      <c r="AO17" s="61" t="str">
        <f t="shared" si="15"/>
        <v/>
      </c>
    </row>
    <row r="18" spans="1:42" x14ac:dyDescent="0.25">
      <c r="A18" s="42"/>
      <c r="B18" s="13" t="s">
        <v>567</v>
      </c>
      <c r="C18" s="137">
        <f>IFERROR(AVERAGEIF(AllData[Site Name], Tables!B18, AllData[Latitude]), "Unknown")</f>
        <v>51.997435214285723</v>
      </c>
      <c r="D18" s="137">
        <f>IFERROR(AVERAGEIF(AllData[Site Name], Tables!B18, AllData[Longitude]), "Unknown")</f>
        <v>-2.1562056785714288</v>
      </c>
      <c r="E18" s="13" t="e" vm="1">
        <f>_xlfn.XLOOKUP(B18,LocationsKey[Site Name], LocationsKey[District])</f>
        <v>#VALUE!</v>
      </c>
      <c r="F18" s="13" t="e" vm="1">
        <f>_xlfn.XLOOKUP(B18,LocationsKey[Site Name], LocationsKey[Town])</f>
        <v>#VALUE!</v>
      </c>
      <c r="G18" s="28" t="str">
        <f>_xlfn.XLOOKUP(B18,LocationsKey[Site Name],LocationsKey[Waterway])</f>
        <v>Avon</v>
      </c>
      <c r="H18" s="29">
        <f>COUNTIF(AllData[Site Name], Tables!B18)</f>
        <v>32</v>
      </c>
      <c r="I18" s="30">
        <f t="shared" si="2"/>
        <v>7.4487179487179489</v>
      </c>
      <c r="J18" s="31">
        <f t="shared" si="3"/>
        <v>0.83008547008546996</v>
      </c>
      <c r="K18" s="32" cm="1">
        <f t="array" ref="K18">SUM(COUNTIFS(AllData[Site Name], B18, AllData[Nitrate Pollution Category], {"High","Very high"}))/COUNTIFS(AllData[Site Name], B18, AllData[Nitrate (PPM)], "&lt;&gt;0")</f>
        <v>1</v>
      </c>
      <c r="L18" s="32" cm="1">
        <f t="array" ref="L18">SUM(COUNTIFS(AllData[Site Name], B18, AllData[Phosphate Pollution Category], {"High","Very high"}))/COUNTIFS(AllData[Site Name], B18, AllData[Phosphate (PPM)], "&lt;&gt;0")</f>
        <v>1</v>
      </c>
      <c r="M18" s="33">
        <f t="shared" si="0"/>
        <v>24</v>
      </c>
      <c r="N18" s="33">
        <f t="shared" si="1"/>
        <v>18</v>
      </c>
      <c r="O18" s="29">
        <f>COUNTIFS(AllData[Site Name], Tables!B18, AllData[Season], "Summer", AllData[Year], "2023")</f>
        <v>0</v>
      </c>
      <c r="P18" s="30" t="str">
        <f>IFERROR(AVERAGEIFS(AllData[Nitrate (PPM)], AllData[Site Name], B18, AllData[Season], "Summer", AllData[Year], "2023"), "")</f>
        <v/>
      </c>
      <c r="Q18" s="32" t="str">
        <f t="shared" si="4"/>
        <v/>
      </c>
      <c r="R18" s="31" t="str">
        <f>IFERROR(AVERAGEIFS(AllData[Phosphate (PPM)], AllData[Site Name], B18, AllData[Season], "Summer", AllData[Year], "2023"),"")</f>
        <v/>
      </c>
      <c r="S18" s="34" t="str">
        <f t="shared" si="5"/>
        <v/>
      </c>
      <c r="T18" s="33">
        <f>COUNTIFS(AllData[Site Name], Tables!B18, AllData[Season], "Autumn", AllData[Year], "2023")</f>
        <v>0</v>
      </c>
      <c r="U18" s="30" t="str">
        <f>IFERROR(AVERAGEIFS(AllData[Nitrate (PPM)], AllData[Site Name], B18, AllData[Season], "Autumn", AllData[Year], "2023"), "")</f>
        <v/>
      </c>
      <c r="V18" s="32" t="str">
        <f t="shared" si="6"/>
        <v/>
      </c>
      <c r="W18" s="31" t="str">
        <f>IFERROR(AVERAGEIFS(AllData[Phosphate (PPM)], AllData[Site Name], B18, AllData[Season], "Autumn", AllData[Year], "2023"), "")</f>
        <v/>
      </c>
      <c r="X18" s="34" t="str">
        <f t="shared" si="7"/>
        <v/>
      </c>
      <c r="Y18" s="33">
        <f>COUNTIFS(AllData[Site Name], Tables!B18, AllData[Season], "Winter", AllData[Year], "2023")</f>
        <v>6</v>
      </c>
      <c r="Z18" s="30">
        <f>IFERROR(AVERAGEIFS(AllData[Nitrate (PPM)], AllData[Site Name], B18, AllData[Season], "Winter", AllData[Year], "2023"), "")</f>
        <v>6.5</v>
      </c>
      <c r="AA18" s="32">
        <f t="shared" si="8"/>
        <v>-0.12736660929432017</v>
      </c>
      <c r="AB18" s="31">
        <f>IFERROR(AVERAGEIFS(AllData[Phosphate (PPM)], AllData[Site Name], B18, AllData[Season], "Winter", AllData[Year], "2023"),"")</f>
        <v>0.87333333333333318</v>
      </c>
      <c r="AC18" s="32">
        <f t="shared" si="9"/>
        <v>5.2100494233937381E-2</v>
      </c>
      <c r="AD18" s="52">
        <f>COUNTIFS(AllData[Site Name], Tables!B18, AllData[Season], "Spring", AllData[Year], "2024")</f>
        <v>13</v>
      </c>
      <c r="AE18" s="30">
        <f>IFERROR(AVERAGEIFS(AllData[Nitrate (PPM)], AllData[Site Name], B18, AllData[Season], "Spring", AllData[Year], "2024"), "")</f>
        <v>6.1538461538461542</v>
      </c>
      <c r="AF18" s="32">
        <f t="shared" si="10"/>
        <v>-0.17383820998278826</v>
      </c>
      <c r="AG18" s="31">
        <f>IFERROR(AVERAGEIFS(AllData[Phosphate (PPM)], AllData[Site Name], B18, AllData[Season], "Spring", AllData[Year], "2024"),"")</f>
        <v>0.57538461538461538</v>
      </c>
      <c r="AH18" s="34">
        <f t="shared" si="11"/>
        <v>-0.30683690280065889</v>
      </c>
      <c r="AI18" s="33">
        <f>COUNTIFS(AllData[Site Name], Tables!B18, AllData[Season], "Summer", AllData[Year], "2024")</f>
        <v>13</v>
      </c>
      <c r="AJ18" s="30">
        <f>IFERROR(AVERAGEIFS(AllData[Nitrate (PPM)], AllData[Site Name], B18, AllData[Season], "Summer", AllData[Year], "2024"), "")</f>
        <v>9.6923076923076916</v>
      </c>
      <c r="AK18" s="32">
        <f t="shared" si="12"/>
        <v>0.30120481927710829</v>
      </c>
      <c r="AL18" s="32" t="str">
        <f t="shared" si="13"/>
        <v/>
      </c>
      <c r="AM18" s="31">
        <f>IFERROR(AVERAGEIFS(AllData[Phosphate (PPM)], AllData[Site Name], B18, AllData[Season], "Summer", AllData[Year], "2024"),"")</f>
        <v>1.0415384615384615</v>
      </c>
      <c r="AN18" s="32">
        <f t="shared" si="14"/>
        <v>0.25473640856672175</v>
      </c>
      <c r="AO18" s="61" t="str">
        <f t="shared" si="15"/>
        <v/>
      </c>
    </row>
    <row r="19" spans="1:42" x14ac:dyDescent="0.25">
      <c r="A19" s="42"/>
      <c r="B19" s="13" t="s">
        <v>1571</v>
      </c>
      <c r="C19" s="137">
        <f>IFERROR(AVERAGEIF(AllData[Site Name], Tables!B19, AllData[Latitude]), "Unknown")</f>
        <v>52.033540000000002</v>
      </c>
      <c r="D19" s="137">
        <f>IFERROR(AVERAGEIF(AllData[Site Name], Tables!B19, AllData[Longitude]), "Unknown")</f>
        <v>-2.116123</v>
      </c>
      <c r="E19" s="13" t="e" vm="1">
        <f>_xlfn.XLOOKUP(B19,LocationsKey[Site Name], LocationsKey[District])</f>
        <v>#VALUE!</v>
      </c>
      <c r="F19" s="13" t="e" vm="25">
        <f>_xlfn.XLOOKUP(B19,LocationsKey[Site Name], LocationsKey[Town])</f>
        <v>#VALUE!</v>
      </c>
      <c r="G19" s="28" t="str">
        <f>_xlfn.XLOOKUP(B19,LocationsKey[Site Name],LocationsKey[Waterway])</f>
        <v>Avon</v>
      </c>
      <c r="H19" s="29">
        <f>COUNTIF(AllData[Site Name], Tables!B19)</f>
        <v>1</v>
      </c>
      <c r="I19" s="30">
        <f t="shared" ref="I19:I21" si="16">AVERAGE(P19,U19,Z19,AE19,AJ19)</f>
        <v>10</v>
      </c>
      <c r="J19" s="31">
        <f t="shared" ref="J19:J21" si="17">AVERAGE(R19,W19,AB19,AG19, AM19)</f>
        <v>0.88</v>
      </c>
      <c r="K19" s="32" cm="1">
        <f t="array" ref="K19">SUM(COUNTIFS(AllData[Site Name], B19, AllData[Nitrate Pollution Category], {"High","Very high"}))/COUNTIFS(AllData[Site Name], B19, AllData[Nitrate (PPM)], "&lt;&gt;0")</f>
        <v>1</v>
      </c>
      <c r="L19" s="32" cm="1">
        <f t="array" ref="L19">SUM(COUNTIFS(AllData[Site Name], B19, AllData[Phosphate Pollution Category], {"High","Very high"}))/COUNTIFS(AllData[Site Name], B19, AllData[Phosphate (PPM)], "&lt;&gt;0")</f>
        <v>1</v>
      </c>
      <c r="M19" s="33">
        <f t="shared" si="0"/>
        <v>5</v>
      </c>
      <c r="N19" s="33">
        <f t="shared" si="1"/>
        <v>17</v>
      </c>
      <c r="O19" s="29">
        <f>COUNTIFS(AllData[Site Name], Tables!B19, AllData[Season], "Summer", AllData[Year], "2023")</f>
        <v>0</v>
      </c>
      <c r="P19" s="30"/>
      <c r="Q19" s="32"/>
      <c r="R19" s="31"/>
      <c r="S19" s="34"/>
      <c r="T19" s="33">
        <f>COUNTIFS(AllData[Site Name], Tables!B19, AllData[Season], "Autumn", AllData[Year], "2023")</f>
        <v>0</v>
      </c>
      <c r="U19" s="30"/>
      <c r="V19" s="32"/>
      <c r="W19" s="31"/>
      <c r="X19" s="34"/>
      <c r="Y19" s="33">
        <f>COUNTIFS(AllData[Site Name], Tables!B19, AllData[Season], "Winter", AllData[Year], "2023")</f>
        <v>0</v>
      </c>
      <c r="Z19" s="30"/>
      <c r="AA19" s="32"/>
      <c r="AB19" s="31"/>
      <c r="AC19" s="32"/>
      <c r="AD19" s="52">
        <f>COUNTIFS(AllData[Site Name], Tables!B19, AllData[Season], "Spring", AllData[Year], "2024")</f>
        <v>0</v>
      </c>
      <c r="AE19" s="30"/>
      <c r="AF19" s="32"/>
      <c r="AG19" s="31"/>
      <c r="AH19" s="34"/>
      <c r="AI19" s="33">
        <f>COUNTIFS(AllData[Site Name], Tables!B19, AllData[Season], "Summer", AllData[Year], "2024")</f>
        <v>1</v>
      </c>
      <c r="AJ19" s="30">
        <f>IFERROR(AVERAGEIFS(AllData[Nitrate (PPM)], AllData[Site Name], B19, AllData[Season], "Summer", AllData[Year], "2024"), "")</f>
        <v>10</v>
      </c>
      <c r="AK19" s="32">
        <f t="shared" si="12"/>
        <v>0</v>
      </c>
      <c r="AL19" s="32" t="str">
        <f t="shared" si="13"/>
        <v/>
      </c>
      <c r="AM19" s="31">
        <f>IFERROR(AVERAGEIFS(AllData[Phosphate (PPM)], AllData[Site Name], B19, AllData[Season], "Summer", AllData[Year], "2024"),"")</f>
        <v>0.88</v>
      </c>
      <c r="AN19" s="32">
        <f t="shared" si="14"/>
        <v>0</v>
      </c>
      <c r="AO19" s="61" t="str">
        <f t="shared" si="15"/>
        <v/>
      </c>
    </row>
    <row r="20" spans="1:42" x14ac:dyDescent="0.25">
      <c r="A20" s="42"/>
      <c r="B20" s="13" t="s">
        <v>1649</v>
      </c>
      <c r="C20" s="137">
        <f>IFERROR(AVERAGEIF(AllData[Site Name], Tables!B20, AllData[Latitude]), "Unknown")</f>
        <v>52.032660333333332</v>
      </c>
      <c r="D20" s="137">
        <f>IFERROR(AVERAGEIF(AllData[Site Name], Tables!B20, AllData[Longitude]), "Unknown")</f>
        <v>-2.1157033333333337</v>
      </c>
      <c r="E20" s="13" t="e" vm="1">
        <f>_xlfn.XLOOKUP(B20,LocationsKey[Site Name], LocationsKey[District])</f>
        <v>#VALUE!</v>
      </c>
      <c r="F20" s="13" t="e" vm="25">
        <f>_xlfn.XLOOKUP(B20,LocationsKey[Site Name], LocationsKey[Town])</f>
        <v>#VALUE!</v>
      </c>
      <c r="G20" s="28" t="str">
        <f>_xlfn.XLOOKUP(B20,LocationsKey[Site Name],LocationsKey[Waterway])</f>
        <v>Avon</v>
      </c>
      <c r="H20" s="29">
        <f>COUNTIF(AllData[Site Name], Tables!B20)</f>
        <v>7</v>
      </c>
      <c r="I20" s="30">
        <f t="shared" si="16"/>
        <v>8.1428571428571423</v>
      </c>
      <c r="J20" s="31">
        <f t="shared" si="17"/>
        <v>1.0514285714285714</v>
      </c>
      <c r="K20" s="32" cm="1">
        <f t="array" ref="K20">SUM(COUNTIFS(AllData[Site Name], B20, AllData[Nitrate Pollution Category], {"High","Very high"}))/COUNTIFS(AllData[Site Name], B20, AllData[Nitrate (PPM)], "&lt;&gt;0")</f>
        <v>0.8571428571428571</v>
      </c>
      <c r="L20" s="32" cm="1">
        <f t="array" ref="L20">SUM(COUNTIFS(AllData[Site Name], B20, AllData[Phosphate Pollution Category], {"High","Very high"}))/COUNTIFS(AllData[Site Name], B20, AllData[Phosphate (PPM)], "&lt;&gt;0")</f>
        <v>1</v>
      </c>
      <c r="M20" s="33">
        <f t="shared" si="0"/>
        <v>11</v>
      </c>
      <c r="N20" s="33">
        <f t="shared" si="1"/>
        <v>11</v>
      </c>
      <c r="O20" s="29">
        <f>COUNTIFS(AllData[Site Name], Tables!B20, AllData[Season], "Summer", AllData[Year], "2023")</f>
        <v>0</v>
      </c>
      <c r="P20" s="30"/>
      <c r="Q20" s="32"/>
      <c r="R20" s="31"/>
      <c r="S20" s="34"/>
      <c r="T20" s="33">
        <f>COUNTIFS(AllData[Site Name], Tables!B20, AllData[Season], "Autumn", AllData[Year], "2023")</f>
        <v>0</v>
      </c>
      <c r="U20" s="30"/>
      <c r="V20" s="32"/>
      <c r="W20" s="31"/>
      <c r="X20" s="34"/>
      <c r="Y20" s="33">
        <f>COUNTIFS(AllData[Site Name], Tables!B20, AllData[Season], "Winter", AllData[Year], "2023")</f>
        <v>0</v>
      </c>
      <c r="Z20" s="30"/>
      <c r="AA20" s="32"/>
      <c r="AB20" s="31"/>
      <c r="AC20" s="32"/>
      <c r="AD20" s="52">
        <f>COUNTIFS(AllData[Site Name], Tables!B20, AllData[Season], "Spring", AllData[Year], "2024")</f>
        <v>0</v>
      </c>
      <c r="AE20" s="30"/>
      <c r="AF20" s="32"/>
      <c r="AG20" s="31"/>
      <c r="AH20" s="34"/>
      <c r="AI20" s="33">
        <f>COUNTIFS(AllData[Site Name], Tables!B20, AllData[Season], "Summer", AllData[Year], "2024")</f>
        <v>7</v>
      </c>
      <c r="AJ20" s="30">
        <f>IFERROR(AVERAGEIFS(AllData[Nitrate (PPM)], AllData[Site Name], B20, AllData[Season], "Summer", AllData[Year], "2024"), "")</f>
        <v>8.1428571428571423</v>
      </c>
      <c r="AK20" s="32">
        <f t="shared" si="12"/>
        <v>0</v>
      </c>
      <c r="AL20" s="32"/>
      <c r="AM20" s="31">
        <f>IFERROR(AVERAGEIFS(AllData[Phosphate (PPM)], AllData[Site Name], B20, AllData[Season], "Summer", AllData[Year], "2024"),"")</f>
        <v>1.0514285714285714</v>
      </c>
      <c r="AN20" s="32">
        <f t="shared" si="14"/>
        <v>0</v>
      </c>
      <c r="AO20" s="61" t="str">
        <f t="shared" si="15"/>
        <v/>
      </c>
    </row>
    <row r="21" spans="1:42" x14ac:dyDescent="0.25">
      <c r="A21" s="42"/>
      <c r="B21" s="13" t="s">
        <v>1863</v>
      </c>
      <c r="C21" s="137" t="str">
        <f>IFERROR(AVERAGEIF(AllData[Site Name], Tables!B21, AllData[Latitude]), "Unknown")</f>
        <v>Unknown</v>
      </c>
      <c r="D21" s="137" t="str">
        <f>IFERROR(AVERAGEIF(AllData[Site Name], Tables!B21, AllData[Longitude]), "Unknown")</f>
        <v>Unknown</v>
      </c>
      <c r="E21" s="13" t="e" vm="1">
        <f>_xlfn.XLOOKUP(B21,LocationsKey[Site Name], LocationsKey[District])</f>
        <v>#VALUE!</v>
      </c>
      <c r="F21" s="13" t="str">
        <f>_xlfn.XLOOKUP(B21,LocationsKey[Site Name], LocationsKey[Town])</f>
        <v>Unknown</v>
      </c>
      <c r="G21" s="28" t="str">
        <f>_xlfn.XLOOKUP(B21,LocationsKey[Site Name],LocationsKey[Waterway])</f>
        <v>Carrant</v>
      </c>
      <c r="H21" s="29">
        <f>COUNTIF(AllData[Site Name], Tables!B21)</f>
        <v>1</v>
      </c>
      <c r="I21" s="30">
        <f t="shared" si="16"/>
        <v>5</v>
      </c>
      <c r="J21" s="31">
        <f t="shared" si="17"/>
        <v>0.8</v>
      </c>
      <c r="K21" s="32" cm="1">
        <f t="array" ref="K21">SUM(COUNTIFS(AllData[Site Name], B21, AllData[Nitrate Pollution Category], {"High","Very high"}))/COUNTIFS(AllData[Site Name], B21, AllData[Nitrate (PPM)], "&lt;&gt;0")</f>
        <v>1</v>
      </c>
      <c r="L21" s="32" cm="1">
        <f t="array" ref="L21">SUM(COUNTIFS(AllData[Site Name], B21, AllData[Phosphate Pollution Category], {"High","Very high"}))/COUNTIFS(AllData[Site Name], B21, AllData[Phosphate (PPM)], "&lt;&gt;0")</f>
        <v>1</v>
      </c>
      <c r="M21" s="33">
        <f t="shared" si="0"/>
        <v>44</v>
      </c>
      <c r="N21" s="33">
        <f t="shared" si="1"/>
        <v>21</v>
      </c>
      <c r="O21" s="29">
        <f>COUNTIFS(AllData[Site Name], Tables!B21, AllData[Season], "Summer", AllData[Year], "2023")</f>
        <v>0</v>
      </c>
      <c r="P21" s="30"/>
      <c r="Q21" s="32"/>
      <c r="R21" s="31"/>
      <c r="S21" s="34"/>
      <c r="T21" s="33">
        <f>COUNTIFS(AllData[Site Name], Tables!B21, AllData[Season], "Autumn", AllData[Year], "2023")</f>
        <v>0</v>
      </c>
      <c r="U21" s="30"/>
      <c r="V21" s="32"/>
      <c r="W21" s="31"/>
      <c r="X21" s="34"/>
      <c r="Y21" s="33">
        <f>COUNTIFS(AllData[Site Name], Tables!B21, AllData[Season], "Winter", AllData[Year], "2023")</f>
        <v>0</v>
      </c>
      <c r="Z21" s="30"/>
      <c r="AA21" s="32"/>
      <c r="AB21" s="31"/>
      <c r="AC21" s="32"/>
      <c r="AD21" s="52">
        <f>COUNTIFS(AllData[Site Name], Tables!B21, AllData[Season], "Spring", AllData[Year], "2024")</f>
        <v>0</v>
      </c>
      <c r="AE21" s="30"/>
      <c r="AF21" s="32"/>
      <c r="AG21" s="31"/>
      <c r="AH21" s="34"/>
      <c r="AI21" s="33">
        <f>COUNTIFS(AllData[Site Name], Tables!B21, AllData[Season], "Summer", AllData[Year], "2024")</f>
        <v>1</v>
      </c>
      <c r="AJ21" s="30">
        <f>IFERROR(AVERAGEIFS(AllData[Nitrate (PPM)], AllData[Site Name], B21, AllData[Season], "Summer", AllData[Year], "2024"), "")</f>
        <v>5</v>
      </c>
      <c r="AK21" s="32">
        <f t="shared" si="12"/>
        <v>0</v>
      </c>
      <c r="AL21" s="32"/>
      <c r="AM21" s="31">
        <f>IFERROR(AVERAGEIFS(AllData[Phosphate (PPM)], AllData[Site Name], B21, AllData[Season], "Summer", AllData[Year], "2024"),"")</f>
        <v>0.8</v>
      </c>
      <c r="AN21" s="32">
        <f t="shared" si="14"/>
        <v>0</v>
      </c>
      <c r="AO21" s="61" t="str">
        <f t="shared" si="15"/>
        <v/>
      </c>
    </row>
    <row r="22" spans="1:42" x14ac:dyDescent="0.25">
      <c r="A22" s="42"/>
      <c r="B22" s="13" t="s">
        <v>1572</v>
      </c>
      <c r="C22" s="137">
        <f>IFERROR(AVERAGEIF(AllData[Site Name], Tables!B22, AllData[Latitude]), "Unknown")</f>
        <v>52.017659444444448</v>
      </c>
      <c r="D22" s="137">
        <f>IFERROR(AVERAGEIF(AllData[Site Name], Tables!B22, AllData[Longitude]), "Unknown")</f>
        <v>-2.0390003333333335</v>
      </c>
      <c r="E22" s="13" t="e" vm="1">
        <f>_xlfn.XLOOKUP(B22,LocationsKey[Site Name], LocationsKey[District])</f>
        <v>#VALUE!</v>
      </c>
      <c r="F22" s="13" t="str">
        <f>_xlfn.XLOOKUP(B22,LocationsKey[Site Name], LocationsKey[Town])</f>
        <v>Beckford</v>
      </c>
      <c r="G22" s="28" t="str">
        <f>_xlfn.XLOOKUP(B22,LocationsKey[Site Name],LocationsKey[Waterway])</f>
        <v>Carrant</v>
      </c>
      <c r="H22" s="29">
        <f>COUNTIF(AllData[Site Name], Tables!B22)</f>
        <v>9</v>
      </c>
      <c r="I22" s="30">
        <f t="shared" si="2"/>
        <v>7.7777777777777777</v>
      </c>
      <c r="J22" s="31">
        <f t="shared" si="3"/>
        <v>0.58666666666666656</v>
      </c>
      <c r="K22" s="32" cm="1">
        <f t="array" ref="K22">SUM(COUNTIFS(AllData[Site Name], B22, AllData[Nitrate Pollution Category], {"High","Very high"}))/COUNTIFS(AllData[Site Name], B22, AllData[Nitrate (PPM)], "&lt;&gt;0")</f>
        <v>1</v>
      </c>
      <c r="L22" s="32" cm="1">
        <f t="array" ref="L22">SUM(COUNTIFS(AllData[Site Name], B22, AllData[Phosphate Pollution Category], {"High","Very high"}))/COUNTIFS(AllData[Site Name], B22, AllData[Phosphate (PPM)], "&lt;&gt;0")</f>
        <v>0.88888888888888884</v>
      </c>
      <c r="M22" s="33">
        <f t="shared" si="0"/>
        <v>17</v>
      </c>
      <c r="N22" s="33">
        <f t="shared" si="1"/>
        <v>32</v>
      </c>
      <c r="O22" s="29">
        <f>COUNTIFS(AllData[Site Name], Tables!B22, AllData[Season], "Summer", AllData[Year], "2023")</f>
        <v>0</v>
      </c>
      <c r="P22" s="30" t="str">
        <f>IFERROR(AVERAGEIFS(AllData[Nitrate (PPM)], AllData[Site Name], B22, AllData[Season], "Summer", AllData[Year], "2023"), "")</f>
        <v/>
      </c>
      <c r="Q22" s="32" t="str">
        <f t="shared" si="4"/>
        <v/>
      </c>
      <c r="R22" s="31" t="str">
        <f>IFERROR(AVERAGEIFS(AllData[Phosphate (PPM)], AllData[Site Name], B22, AllData[Season], "Summer", AllData[Year], "2023"),"")</f>
        <v/>
      </c>
      <c r="S22" s="34" t="str">
        <f t="shared" si="5"/>
        <v/>
      </c>
      <c r="T22" s="33">
        <f>COUNTIFS(AllData[Site Name], Tables!B22, AllData[Season], "Autumn", AllData[Year], "2023")</f>
        <v>0</v>
      </c>
      <c r="U22" s="30" t="str">
        <f>IFERROR(AVERAGEIFS(AllData[Nitrate (PPM)], AllData[Site Name], B22, AllData[Season], "Autumn", AllData[Year], "2023"), "")</f>
        <v/>
      </c>
      <c r="V22" s="32" t="str">
        <f t="shared" si="6"/>
        <v/>
      </c>
      <c r="W22" s="31" t="str">
        <f>IFERROR(AVERAGEIFS(AllData[Phosphate (PPM)], AllData[Site Name], B22, AllData[Season], "Autumn", AllData[Year], "2023"), "")</f>
        <v/>
      </c>
      <c r="X22" s="34" t="str">
        <f t="shared" si="7"/>
        <v/>
      </c>
      <c r="Y22" s="33">
        <f>COUNTIFS(AllData[Site Name], Tables!B22, AllData[Season], "Winter", AllData[Year], "2023")</f>
        <v>0</v>
      </c>
      <c r="Z22" s="30" t="str">
        <f>IFERROR(AVERAGEIFS(AllData[Nitrate (PPM)], AllData[Site Name], B22, AllData[Season], "Winter", AllData[Year], "2023"), "")</f>
        <v/>
      </c>
      <c r="AA22" s="32" t="str">
        <f t="shared" si="8"/>
        <v/>
      </c>
      <c r="AB22" s="31" t="str">
        <f>IFERROR(AVERAGEIFS(AllData[Phosphate (PPM)], AllData[Site Name], B22, AllData[Season], "Winter", AllData[Year], "2023"),"")</f>
        <v/>
      </c>
      <c r="AC22" s="32" t="str">
        <f t="shared" si="9"/>
        <v/>
      </c>
      <c r="AD22" s="52">
        <f>COUNTIFS(AllData[Site Name], Tables!B22, AllData[Season], "Spring", AllData[Year], "2024")</f>
        <v>0</v>
      </c>
      <c r="AE22" s="30" t="str">
        <f>IFERROR(AVERAGEIFS(AllData[Nitrate (PPM)], AllData[Site Name], B22, AllData[Season], "Spring", AllData[Year], "2024"), "")</f>
        <v/>
      </c>
      <c r="AF22" s="32" t="str">
        <f t="shared" si="10"/>
        <v/>
      </c>
      <c r="AG22" s="31" t="str">
        <f>IFERROR(AVERAGEIFS(AllData[Phosphate (PPM)], AllData[Site Name], B22, AllData[Season], "Spring", AllData[Year], "2024"),"")</f>
        <v/>
      </c>
      <c r="AH22" s="34"/>
      <c r="AI22" s="33">
        <f>COUNTIFS(AllData[Site Name], Tables!B22, AllData[Season], "Summer", AllData[Year], "2024")</f>
        <v>9</v>
      </c>
      <c r="AJ22" s="30">
        <f>IFERROR(AVERAGEIFS(AllData[Nitrate (PPM)], AllData[Site Name], B22, AllData[Season], "Summer", AllData[Year], "2024"), "")</f>
        <v>7.7777777777777777</v>
      </c>
      <c r="AK22" s="32">
        <f t="shared" si="12"/>
        <v>0</v>
      </c>
      <c r="AL22" s="32" t="str">
        <f t="shared" si="13"/>
        <v/>
      </c>
      <c r="AM22" s="31">
        <f>IFERROR(AVERAGEIFS(AllData[Phosphate (PPM)], AllData[Site Name], B22, AllData[Season], "Summer", AllData[Year], "2024"),"")</f>
        <v>0.58666666666666656</v>
      </c>
      <c r="AN22" s="32">
        <f t="shared" si="14"/>
        <v>0</v>
      </c>
      <c r="AO22" s="61" t="str">
        <f t="shared" si="15"/>
        <v/>
      </c>
    </row>
    <row r="23" spans="1:42" x14ac:dyDescent="0.25">
      <c r="A23" s="42"/>
      <c r="B23" s="13" t="s">
        <v>1574</v>
      </c>
      <c r="C23" s="137">
        <f>IFERROR(AVERAGEIF(AllData[Site Name], Tables!B23, AllData[Latitude]), "Unknown")</f>
        <v>52.015557999999999</v>
      </c>
      <c r="D23" s="137">
        <f>IFERROR(AVERAGEIF(AllData[Site Name], Tables!B23, AllData[Longitude]), "Unknown")</f>
        <v>-2.0442779999999998</v>
      </c>
      <c r="E23" s="13" t="e" vm="1">
        <f>_xlfn.XLOOKUP(B23,LocationsKey[Site Name], LocationsKey[District])</f>
        <v>#VALUE!</v>
      </c>
      <c r="F23" s="13" t="str">
        <f>_xlfn.XLOOKUP(B23,LocationsKey[Site Name], LocationsKey[Town])</f>
        <v>Beckford</v>
      </c>
      <c r="G23" s="28" t="str">
        <f>_xlfn.XLOOKUP(B23,LocationsKey[Site Name],LocationsKey[Waterway])</f>
        <v>Carrant</v>
      </c>
      <c r="H23" s="29">
        <f>COUNTIF(AllData[Site Name], Tables!B23)</f>
        <v>1</v>
      </c>
      <c r="I23" s="30">
        <f t="shared" si="2"/>
        <v>6</v>
      </c>
      <c r="J23" s="31">
        <f t="shared" si="3"/>
        <v>0.82</v>
      </c>
      <c r="K23" s="32" cm="1">
        <f t="array" ref="K23">SUM(COUNTIFS(AllData[Site Name], B23, AllData[Nitrate Pollution Category], {"High","Very high"}))/COUNTIFS(AllData[Site Name], B23, AllData[Nitrate (PPM)], "&lt;&gt;0")</f>
        <v>1</v>
      </c>
      <c r="L23" s="32" cm="1">
        <f t="array" ref="L23">SUM(COUNTIFS(AllData[Site Name], B23, AllData[Phosphate Pollution Category], {"High","Very high"}))/COUNTIFS(AllData[Site Name], B23, AllData[Phosphate (PPM)], "&lt;&gt;0")</f>
        <v>1</v>
      </c>
      <c r="M23" s="33">
        <f t="shared" si="0"/>
        <v>36</v>
      </c>
      <c r="N23" s="33">
        <f t="shared" si="1"/>
        <v>19</v>
      </c>
      <c r="O23" s="29">
        <f>COUNTIFS(AllData[Site Name], Tables!B23, AllData[Season], "Summer", AllData[Year], "2023")</f>
        <v>0</v>
      </c>
      <c r="P23" s="30" t="str">
        <f>IFERROR(AVERAGEIFS(AllData[Nitrate (PPM)], AllData[Site Name], B23, AllData[Season], "Summer", AllData[Year], "2023"), "")</f>
        <v/>
      </c>
      <c r="Q23" s="32" t="str">
        <f t="shared" si="4"/>
        <v/>
      </c>
      <c r="R23" s="31" t="str">
        <f>IFERROR(AVERAGEIFS(AllData[Phosphate (PPM)], AllData[Site Name], B23, AllData[Season], "Summer", AllData[Year], "2023"),"")</f>
        <v/>
      </c>
      <c r="S23" s="34" t="str">
        <f t="shared" si="5"/>
        <v/>
      </c>
      <c r="T23" s="33">
        <f>COUNTIFS(AllData[Site Name], Tables!B23, AllData[Season], "Autumn", AllData[Year], "2023")</f>
        <v>0</v>
      </c>
      <c r="U23" s="30" t="str">
        <f>IFERROR(AVERAGEIFS(AllData[Nitrate (PPM)], AllData[Site Name], B23, AllData[Season], "Autumn", AllData[Year], "2023"), "")</f>
        <v/>
      </c>
      <c r="V23" s="32" t="str">
        <f t="shared" si="6"/>
        <v/>
      </c>
      <c r="W23" s="31" t="str">
        <f>IFERROR(AVERAGEIFS(AllData[Phosphate (PPM)], AllData[Site Name], B23, AllData[Season], "Autumn", AllData[Year], "2023"), "")</f>
        <v/>
      </c>
      <c r="X23" s="34" t="str">
        <f t="shared" si="7"/>
        <v/>
      </c>
      <c r="Y23" s="33">
        <f>COUNTIFS(AllData[Site Name], Tables!B23, AllData[Season], "Winter", AllData[Year], "2023")</f>
        <v>0</v>
      </c>
      <c r="Z23" s="30" t="str">
        <f>IFERROR(AVERAGEIFS(AllData[Nitrate (PPM)], AllData[Site Name], B23, AllData[Season], "Winter", AllData[Year], "2023"), "")</f>
        <v/>
      </c>
      <c r="AA23" s="32" t="str">
        <f t="shared" si="8"/>
        <v/>
      </c>
      <c r="AB23" s="31" t="str">
        <f>IFERROR(AVERAGEIFS(AllData[Phosphate (PPM)], AllData[Site Name], B23, AllData[Season], "Winter", AllData[Year], "2023"),"")</f>
        <v/>
      </c>
      <c r="AC23" s="32" t="str">
        <f t="shared" si="9"/>
        <v/>
      </c>
      <c r="AD23" s="52">
        <f>COUNTIFS(AllData[Site Name], Tables!B23, AllData[Season], "Spring", AllData[Year], "2024")</f>
        <v>0</v>
      </c>
      <c r="AE23" s="30" t="str">
        <f>IFERROR(AVERAGEIFS(AllData[Nitrate (PPM)], AllData[Site Name], B23, AllData[Season], "Spring", AllData[Year], "2024"), "")</f>
        <v/>
      </c>
      <c r="AF23" s="32" t="str">
        <f t="shared" si="10"/>
        <v/>
      </c>
      <c r="AG23" s="31" t="str">
        <f>IFERROR(AVERAGEIFS(AllData[Phosphate (PPM)], AllData[Site Name], B23, AllData[Season], "Spring", AllData[Year], "2024"),"")</f>
        <v/>
      </c>
      <c r="AH23" s="34"/>
      <c r="AI23" s="33">
        <f>COUNTIFS(AllData[Site Name], Tables!B23, AllData[Season], "Summer", AllData[Year], "2024")</f>
        <v>1</v>
      </c>
      <c r="AJ23" s="30">
        <f>IFERROR(AVERAGEIFS(AllData[Nitrate (PPM)], AllData[Site Name], B23, AllData[Season], "Summer", AllData[Year], "2024"), "")</f>
        <v>6</v>
      </c>
      <c r="AK23" s="32">
        <f t="shared" si="12"/>
        <v>0</v>
      </c>
      <c r="AL23" s="32" t="str">
        <f t="shared" si="13"/>
        <v/>
      </c>
      <c r="AM23" s="31">
        <f>IFERROR(AVERAGEIFS(AllData[Phosphate (PPM)], AllData[Site Name], B23, AllData[Season], "Summer", AllData[Year], "2024"),"")</f>
        <v>0.82</v>
      </c>
      <c r="AN23" s="32">
        <f t="shared" si="14"/>
        <v>0</v>
      </c>
      <c r="AO23" s="61" t="str">
        <f t="shared" si="15"/>
        <v/>
      </c>
    </row>
    <row r="24" spans="1:42" x14ac:dyDescent="0.25">
      <c r="A24" s="42"/>
      <c r="B24" s="13" t="s">
        <v>600</v>
      </c>
      <c r="C24" s="137">
        <f>IFERROR(AVERAGEIF(AllData[Site Name], Tables!B24, AllData[Latitude]), "Unknown")</f>
        <v>51.996416567567572</v>
      </c>
      <c r="D24" s="137">
        <f>IFERROR(AVERAGEIF(AllData[Site Name], Tables!B24, AllData[Longitude]), "Unknown")</f>
        <v>-2.1556626756756749</v>
      </c>
      <c r="E24" s="13" t="e" vm="1">
        <f>_xlfn.XLOOKUP(B24,LocationsKey[Site Name], LocationsKey[District])</f>
        <v>#VALUE!</v>
      </c>
      <c r="F24" s="13" t="e" vm="1">
        <f>_xlfn.XLOOKUP(B24,LocationsKey[Site Name], LocationsKey[Town])</f>
        <v>#VALUE!</v>
      </c>
      <c r="G24" s="28" t="str">
        <f>_xlfn.XLOOKUP(B24,LocationsKey[Site Name],LocationsKey[Waterway])</f>
        <v>Carrant</v>
      </c>
      <c r="H24" s="29">
        <f>COUNTIF(AllData[Site Name], Tables!B24)</f>
        <v>51</v>
      </c>
      <c r="I24" s="30">
        <f t="shared" si="2"/>
        <v>5.6177045177045173</v>
      </c>
      <c r="J24" s="31">
        <f t="shared" si="3"/>
        <v>0.48653479853479864</v>
      </c>
      <c r="K24" s="32" cm="1">
        <f t="array" ref="K24">SUM(COUNTIFS(AllData[Site Name], B24, AllData[Nitrate Pollution Category], {"High","Very high"}))/COUNTIFS(AllData[Site Name], B24, AllData[Nitrate (PPM)], "&lt;&gt;0")</f>
        <v>1</v>
      </c>
      <c r="L24" s="32" cm="1">
        <f t="array" ref="L24">SUM(COUNTIFS(AllData[Site Name], B24, AllData[Phosphate Pollution Category], {"High","Very high"}))/COUNTIFS(AllData[Site Name], B24, AllData[Phosphate (PPM)], "&lt;&gt;0")</f>
        <v>1</v>
      </c>
      <c r="M24" s="33">
        <f t="shared" si="0"/>
        <v>41</v>
      </c>
      <c r="N24" s="33">
        <f t="shared" si="1"/>
        <v>49</v>
      </c>
      <c r="O24" s="29">
        <f>COUNTIFS(AllData[Site Name], Tables!B24, AllData[Season], "Summer", AllData[Year], "2023")</f>
        <v>2</v>
      </c>
      <c r="P24" s="30">
        <f>IFERROR(AVERAGEIFS(AllData[Nitrate (PPM)], AllData[Site Name], B24, AllData[Season], "Summer", AllData[Year], "2023"), "")</f>
        <v>6</v>
      </c>
      <c r="Q24" s="32">
        <f t="shared" si="4"/>
        <v>6.8051902888565358E-2</v>
      </c>
      <c r="R24" s="31">
        <f>IFERROR(AVERAGEIFS(AllData[Phosphate (PPM)], AllData[Site Name], B24, AllData[Season], "Summer", AllData[Year], "2023"),"")</f>
        <v>0.64</v>
      </c>
      <c r="S24" s="34">
        <f t="shared" si="5"/>
        <v>0.31542492320664917</v>
      </c>
      <c r="T24" s="33">
        <f>COUNTIFS(AllData[Site Name], Tables!B24, AllData[Season], "Autumn", AllData[Year], "2023")</f>
        <v>9</v>
      </c>
      <c r="U24" s="30">
        <f>IFERROR(AVERAGEIFS(AllData[Nitrate (PPM)], AllData[Site Name], B24, AllData[Season], "Autumn", AllData[Year], "2023"), "")</f>
        <v>6.5555555555555554</v>
      </c>
      <c r="V24" s="32">
        <f t="shared" si="6"/>
        <v>0.16694559760046954</v>
      </c>
      <c r="W24" s="31">
        <f>IFERROR(AVERAGEIFS(AllData[Phosphate (PPM)], AllData[Site Name], B24, AllData[Season], "Autumn", AllData[Year], "2023"), "")</f>
        <v>0.54333333333333345</v>
      </c>
      <c r="X24" s="34">
        <f t="shared" si="7"/>
        <v>0.11674095043064506</v>
      </c>
      <c r="Y24" s="33">
        <f>COUNTIFS(AllData[Site Name], Tables!B24, AllData[Season], "Winter", AllData[Year], "2023")</f>
        <v>13</v>
      </c>
      <c r="Z24" s="30">
        <f>IFERROR(AVERAGEIFS(AllData[Nitrate (PPM)], AllData[Site Name], B24, AllData[Season], "Winter", AllData[Year], "2023"), "")</f>
        <v>4.8461538461538458</v>
      </c>
      <c r="AA24" s="32">
        <f t="shared" si="8"/>
        <v>-0.13734269382077419</v>
      </c>
      <c r="AB24" s="31">
        <f>IFERROR(AVERAGEIFS(AllData[Phosphate (PPM)], AllData[Site Name], B24, AllData[Season], "Winter", AllData[Year], "2023"),"")</f>
        <v>0.40846153846153849</v>
      </c>
      <c r="AC24" s="32">
        <f t="shared" si="9"/>
        <v>-0.16046798771306403</v>
      </c>
      <c r="AD24" s="52">
        <f>COUNTIFS(AllData[Site Name], Tables!B24, AllData[Season], "Spring", AllData[Year], "2024")</f>
        <v>13</v>
      </c>
      <c r="AE24" s="30">
        <f>IFERROR(AVERAGEIFS(AllData[Nitrate (PPM)], AllData[Site Name], B24, AllData[Season], "Spring", AllData[Year], "2024"), "")</f>
        <v>5.615384615384615</v>
      </c>
      <c r="AF24" s="32">
        <f t="shared" si="10"/>
        <v>-4.1296268121454355E-4</v>
      </c>
      <c r="AG24" s="31">
        <f>IFERROR(AVERAGEIFS(AllData[Phosphate (PPM)], AllData[Site Name], B24, AllData[Season], "Spring", AllData[Year], "2024"),"")</f>
        <v>0.29230769230769232</v>
      </c>
      <c r="AH24" s="34">
        <f t="shared" si="11"/>
        <v>-0.39920496295850155</v>
      </c>
      <c r="AI24" s="33">
        <f>COUNTIFS(AllData[Site Name], Tables!B24, AllData[Season], "Summer", AllData[Year], "2024")</f>
        <v>14</v>
      </c>
      <c r="AJ24" s="30">
        <f>IFERROR(AVERAGEIFS(AllData[Nitrate (PPM)], AllData[Site Name], B24, AllData[Season], "Summer", AllData[Year], "2024"), "")</f>
        <v>5.0714285714285712</v>
      </c>
      <c r="AK24" s="32">
        <f t="shared" si="12"/>
        <v>-9.7241843987045995E-2</v>
      </c>
      <c r="AL24" s="32">
        <f t="shared" si="13"/>
        <v>-0.15476190476190479</v>
      </c>
      <c r="AM24" s="31">
        <f>IFERROR(AVERAGEIFS(AllData[Phosphate (PPM)], AllData[Site Name], B24, AllData[Season], "Summer", AllData[Year], "2024"),"")</f>
        <v>0.5485714285714286</v>
      </c>
      <c r="AN24" s="32">
        <f t="shared" si="14"/>
        <v>0.12750707703427072</v>
      </c>
      <c r="AO24" s="61">
        <f t="shared" si="15"/>
        <v>-0.14285714285714282</v>
      </c>
    </row>
    <row r="25" spans="1:42" x14ac:dyDescent="0.25">
      <c r="A25" s="42"/>
      <c r="B25" s="13" t="s">
        <v>1575</v>
      </c>
      <c r="C25" s="137">
        <v>52.011600000000001</v>
      </c>
      <c r="D25" s="137">
        <v>-2.1206</v>
      </c>
      <c r="E25" s="13" t="e" vm="1">
        <f>_xlfn.XLOOKUP(B25,LocationsKey[Site Name], LocationsKey[District])</f>
        <v>#VALUE!</v>
      </c>
      <c r="F25" s="13" t="e" vm="1">
        <f>_xlfn.XLOOKUP(B25,LocationsKey[Site Name], LocationsKey[Town])</f>
        <v>#VALUE!</v>
      </c>
      <c r="G25" s="28" t="str">
        <f>_xlfn.XLOOKUP(B25,LocationsKey[Site Name],LocationsKey[Waterway])</f>
        <v>Carrant</v>
      </c>
      <c r="H25" s="29">
        <f>COUNTIF(AllData[Site Name], Tables!B25)</f>
        <v>22</v>
      </c>
      <c r="I25" s="30">
        <f t="shared" si="2"/>
        <v>6.5714285714285712</v>
      </c>
      <c r="J25" s="31">
        <f t="shared" si="3"/>
        <v>0.55919642857142859</v>
      </c>
      <c r="K25" s="32" cm="1">
        <f t="array" ref="K25">SUM(COUNTIFS(AllData[Site Name], B25, AllData[Nitrate Pollution Category], {"High","Very high"}))/COUNTIFS(AllData[Site Name], B25, AllData[Nitrate (PPM)], "&lt;&gt;0")</f>
        <v>1</v>
      </c>
      <c r="L25" s="32" cm="1">
        <f t="array" ref="L25">SUM(COUNTIFS(AllData[Site Name], B25, AllData[Phosphate Pollution Category], {"High","Very high"}))/COUNTIFS(AllData[Site Name], B25, AllData[Phosphate (PPM)], "&lt;&gt;0")</f>
        <v>1</v>
      </c>
      <c r="M25" s="33">
        <f t="shared" si="0"/>
        <v>32</v>
      </c>
      <c r="N25" s="33">
        <f t="shared" si="1"/>
        <v>41</v>
      </c>
      <c r="O25" s="29">
        <f>COUNTIFS(AllData[Site Name], Tables!B25, AllData[Season], "Summer", AllData[Year], "2023")</f>
        <v>0</v>
      </c>
      <c r="P25" s="30" t="str">
        <f>IFERROR(AVERAGEIFS(AllData[Nitrate (PPM)], AllData[Site Name], B25, AllData[Season], "Summer", AllData[Year], "2023"), "")</f>
        <v/>
      </c>
      <c r="Q25" s="32" t="str">
        <f t="shared" si="4"/>
        <v/>
      </c>
      <c r="R25" s="31" t="str">
        <f>IFERROR(AVERAGEIFS(AllData[Phosphate (PPM)], AllData[Site Name], B25, AllData[Season], "Summer", AllData[Year], "2023"),"")</f>
        <v/>
      </c>
      <c r="S25" s="34" t="str">
        <f t="shared" si="5"/>
        <v/>
      </c>
      <c r="T25" s="33">
        <f>COUNTIFS(AllData[Site Name], Tables!B25, AllData[Season], "Autumn", AllData[Year], "2023")</f>
        <v>0</v>
      </c>
      <c r="U25" s="30" t="str">
        <f>IFERROR(AVERAGEIFS(AllData[Nitrate (PPM)], AllData[Site Name], B25, AllData[Season], "Autumn", AllData[Year], "2023"), "")</f>
        <v/>
      </c>
      <c r="V25" s="32" t="str">
        <f t="shared" si="6"/>
        <v/>
      </c>
      <c r="W25" s="31" t="str">
        <f>IFERROR(AVERAGEIFS(AllData[Phosphate (PPM)], AllData[Site Name], B25, AllData[Season], "Autumn", AllData[Year], "2023"), "")</f>
        <v/>
      </c>
      <c r="X25" s="34" t="str">
        <f t="shared" si="7"/>
        <v/>
      </c>
      <c r="Y25" s="33">
        <f>COUNTIFS(AllData[Site Name], Tables!B25, AllData[Season], "Winter", AllData[Year], "2023")</f>
        <v>0</v>
      </c>
      <c r="Z25" s="30" t="str">
        <f>IFERROR(AVERAGEIFS(AllData[Nitrate (PPM)], AllData[Site Name], B25, AllData[Season], "Winter", AllData[Year], "2023"), "")</f>
        <v/>
      </c>
      <c r="AA25" s="32" t="str">
        <f t="shared" si="8"/>
        <v/>
      </c>
      <c r="AB25" s="31" t="str">
        <f>IFERROR(AVERAGEIFS(AllData[Phosphate (PPM)], AllData[Site Name], B25, AllData[Season], "Winter", AllData[Year], "2023"),"")</f>
        <v/>
      </c>
      <c r="AC25" s="32" t="str">
        <f t="shared" si="9"/>
        <v/>
      </c>
      <c r="AD25" s="52">
        <f>COUNTIFS(AllData[Site Name], Tables!B25, AllData[Season], "Spring", AllData[Year], "2024")</f>
        <v>8</v>
      </c>
      <c r="AE25" s="30">
        <f>IFERROR(AVERAGEIFS(AllData[Nitrate (PPM)], AllData[Site Name], B25, AllData[Season], "Spring", AllData[Year], "2024"), "")</f>
        <v>7</v>
      </c>
      <c r="AF25" s="32">
        <f t="shared" si="10"/>
        <v>6.5217391304347866E-2</v>
      </c>
      <c r="AG25" s="31">
        <f>IFERROR(AVERAGEIFS(AllData[Phosphate (PPM)], AllData[Site Name], B25, AllData[Season], "Spring", AllData[Year], "2024"),"")</f>
        <v>0.34125</v>
      </c>
      <c r="AH25" s="34">
        <f t="shared" si="11"/>
        <v>-0.38974932141146418</v>
      </c>
      <c r="AI25" s="33">
        <f>COUNTIFS(AllData[Site Name], Tables!B25, AllData[Season], "Summer", AllData[Year], "2024")</f>
        <v>14</v>
      </c>
      <c r="AJ25" s="30">
        <f>IFERROR(AVERAGEIFS(AllData[Nitrate (PPM)], AllData[Site Name], B25, AllData[Season], "Summer", AllData[Year], "2024"), "")</f>
        <v>6.1428571428571432</v>
      </c>
      <c r="AK25" s="32">
        <f t="shared" si="12"/>
        <v>-6.5217391304347727E-2</v>
      </c>
      <c r="AL25" s="32" t="str">
        <f t="shared" si="13"/>
        <v/>
      </c>
      <c r="AM25" s="31">
        <f>IFERROR(AVERAGEIFS(AllData[Phosphate (PPM)], AllData[Site Name], B25, AllData[Season], "Summer", AllData[Year], "2024"),"")</f>
        <v>0.77714285714285725</v>
      </c>
      <c r="AN25" s="32">
        <f t="shared" si="14"/>
        <v>0.38974932141146429</v>
      </c>
      <c r="AO25" s="61" t="str">
        <f t="shared" si="15"/>
        <v/>
      </c>
    </row>
    <row r="26" spans="1:42" x14ac:dyDescent="0.25">
      <c r="A26" s="42"/>
      <c r="B26" s="13" t="s">
        <v>1577</v>
      </c>
      <c r="C26" s="137">
        <f>IFERROR(AVERAGEIF(AllData[Site Name], Tables!B26, AllData[Latitude]), "Unknown")</f>
        <v>51.999974666666674</v>
      </c>
      <c r="D26" s="137">
        <f>IFERROR(AVERAGEIF(AllData[Site Name], Tables!B26, AllData[Longitude]), "Unknown")</f>
        <v>-2.141273</v>
      </c>
      <c r="E26" s="13" t="e" vm="1">
        <f>_xlfn.XLOOKUP(B26,LocationsKey[Site Name], LocationsKey[District])</f>
        <v>#VALUE!</v>
      </c>
      <c r="F26" s="13" t="e" vm="1">
        <f>_xlfn.XLOOKUP(B26,LocationsKey[Site Name], LocationsKey[Town])</f>
        <v>#VALUE!</v>
      </c>
      <c r="G26" s="28" t="str">
        <f>_xlfn.XLOOKUP(B26,LocationsKey[Site Name],LocationsKey[Waterway])</f>
        <v>Carrant</v>
      </c>
      <c r="H26" s="29">
        <f>COUNTIF(AllData[Site Name], Tables!B26)</f>
        <v>3</v>
      </c>
      <c r="I26" s="30">
        <f t="shared" si="2"/>
        <v>6.666666666666667</v>
      </c>
      <c r="J26" s="31">
        <f t="shared" si="3"/>
        <v>0.50666666666666671</v>
      </c>
      <c r="K26" s="32" cm="1">
        <f t="array" ref="K26">SUM(COUNTIFS(AllData[Site Name], B26, AllData[Nitrate Pollution Category], {"High","Very high"}))/COUNTIFS(AllData[Site Name], B26, AllData[Nitrate (PPM)], "&lt;&gt;0")</f>
        <v>1</v>
      </c>
      <c r="L26" s="32" cm="1">
        <f t="array" ref="L26">SUM(COUNTIFS(AllData[Site Name], B26, AllData[Phosphate Pollution Category], {"High","Very high"}))/COUNTIFS(AllData[Site Name], B26, AllData[Phosphate (PPM)], "&lt;&gt;0")</f>
        <v>1</v>
      </c>
      <c r="M26" s="33">
        <f t="shared" si="0"/>
        <v>29</v>
      </c>
      <c r="N26" s="33">
        <f t="shared" si="1"/>
        <v>45</v>
      </c>
      <c r="O26" s="29">
        <f>COUNTIFS(AllData[Site Name], Tables!B26, AllData[Season], "Summer", AllData[Year], "2023")</f>
        <v>0</v>
      </c>
      <c r="P26" s="30"/>
      <c r="Q26" s="32"/>
      <c r="R26" s="31"/>
      <c r="S26" s="34"/>
      <c r="T26" s="33">
        <f>COUNTIFS(AllData[Site Name], Tables!B26, AllData[Season], "Autumn", AllData[Year], "2023")</f>
        <v>0</v>
      </c>
      <c r="U26" s="30"/>
      <c r="V26" s="32"/>
      <c r="W26" s="31"/>
      <c r="X26" s="34"/>
      <c r="Y26" s="33">
        <f>COUNTIFS(AllData[Site Name], Tables!B26, AllData[Season], "Winter", AllData[Year], "2023")</f>
        <v>0</v>
      </c>
      <c r="Z26" s="30"/>
      <c r="AA26" s="32"/>
      <c r="AB26" s="31"/>
      <c r="AC26" s="32"/>
      <c r="AD26" s="52">
        <f>COUNTIFS(AllData[Site Name], Tables!B26, AllData[Season], "Spring", AllData[Year], "2024")</f>
        <v>0</v>
      </c>
      <c r="AE26" s="30"/>
      <c r="AF26" s="32"/>
      <c r="AG26" s="31"/>
      <c r="AH26" s="34"/>
      <c r="AI26" s="33">
        <f>COUNTIFS(AllData[Site Name], Tables!B26, AllData[Season], "Summer", AllData[Year], "2024")</f>
        <v>3</v>
      </c>
      <c r="AJ26" s="30">
        <f>IFERROR(AVERAGEIFS(AllData[Nitrate (PPM)], AllData[Site Name], B26, AllData[Season], "Summer", AllData[Year], "2024"), "")</f>
        <v>6.666666666666667</v>
      </c>
      <c r="AK26" s="32">
        <f t="shared" si="12"/>
        <v>0</v>
      </c>
      <c r="AL26" s="32"/>
      <c r="AM26" s="31">
        <f>IFERROR(AVERAGEIFS(AllData[Phosphate (PPM)], AllData[Site Name], B26, AllData[Season], "Summer", AllData[Year], "2024"),"")</f>
        <v>0.50666666666666671</v>
      </c>
      <c r="AN26" s="32">
        <f t="shared" si="14"/>
        <v>0</v>
      </c>
      <c r="AO26" s="61" t="str">
        <f t="shared" si="15"/>
        <v/>
      </c>
    </row>
    <row r="27" spans="1:42" x14ac:dyDescent="0.25">
      <c r="A27" s="42"/>
      <c r="B27" s="13" t="s">
        <v>1097</v>
      </c>
      <c r="C27" s="137">
        <f>IFERROR(AVERAGEIF(AllData[Site Name], Tables!B27, AllData[Latitude]), "Unknown")</f>
        <v>51.999946066666674</v>
      </c>
      <c r="D27" s="137">
        <f>IFERROR(AVERAGEIF(AllData[Site Name], Tables!B27, AllData[Longitude]), "Unknown")</f>
        <v>-2.1414862000000006</v>
      </c>
      <c r="E27" s="13" t="e" vm="1">
        <f>_xlfn.XLOOKUP(B27,LocationsKey[Site Name], LocationsKey[District])</f>
        <v>#VALUE!</v>
      </c>
      <c r="F27" s="13" t="e" vm="1">
        <f>_xlfn.XLOOKUP(B27,LocationsKey[Site Name], LocationsKey[Town])</f>
        <v>#VALUE!</v>
      </c>
      <c r="G27" s="28" t="str">
        <f>_xlfn.XLOOKUP(B27,LocationsKey[Site Name],LocationsKey[Waterway])</f>
        <v>Carrant</v>
      </c>
      <c r="H27" s="29">
        <f>COUNTIF(AllData[Site Name], Tables!B27)</f>
        <v>16</v>
      </c>
      <c r="I27" s="30">
        <f t="shared" si="2"/>
        <v>6.375</v>
      </c>
      <c r="J27" s="31">
        <f t="shared" si="3"/>
        <v>0.44437500000000002</v>
      </c>
      <c r="K27" s="32" cm="1">
        <f t="array" ref="K27">SUM(COUNTIFS(AllData[Site Name], B27, AllData[Nitrate Pollution Category], {"High","Very high"}))/COUNTIFS(AllData[Site Name], B27, AllData[Nitrate (PPM)], "&lt;&gt;0")</f>
        <v>1</v>
      </c>
      <c r="L27" s="32" cm="1">
        <f t="array" ref="L27">SUM(COUNTIFS(AllData[Site Name], B27, AllData[Phosphate Pollution Category], {"High","Very high"}))/COUNTIFS(AllData[Site Name], B27, AllData[Phosphate (PPM)], "&lt;&gt;0")</f>
        <v>1</v>
      </c>
      <c r="M27" s="33">
        <f t="shared" si="0"/>
        <v>35</v>
      </c>
      <c r="N27" s="33">
        <f t="shared" si="1"/>
        <v>51</v>
      </c>
      <c r="O27" s="29">
        <f>COUNTIFS(AllData[Site Name], Tables!B27, AllData[Season], "Summer", AllData[Year], "2023")</f>
        <v>0</v>
      </c>
      <c r="P27" s="30" t="str">
        <f>IFERROR(AVERAGEIFS(AllData[Nitrate (PPM)], AllData[Site Name], B27, AllData[Season], "Summer", AllData[Year], "2023"), "")</f>
        <v/>
      </c>
      <c r="Q27" s="32" t="str">
        <f t="shared" si="4"/>
        <v/>
      </c>
      <c r="R27" s="31" t="str">
        <f>IFERROR(AVERAGEIFS(AllData[Phosphate (PPM)], AllData[Site Name], B27, AllData[Season], "Summer", AllData[Year], "2023"),"")</f>
        <v/>
      </c>
      <c r="S27" s="34" t="str">
        <f t="shared" si="5"/>
        <v/>
      </c>
      <c r="T27" s="33">
        <f>COUNTIFS(AllData[Site Name], Tables!B27, AllData[Season], "Autumn", AllData[Year], "2023")</f>
        <v>0</v>
      </c>
      <c r="U27" s="30" t="str">
        <f>IFERROR(AVERAGEIFS(AllData[Nitrate (PPM)], AllData[Site Name], B27, AllData[Season], "Autumn", AllData[Year], "2023"), "")</f>
        <v/>
      </c>
      <c r="V27" s="32" t="str">
        <f t="shared" si="6"/>
        <v/>
      </c>
      <c r="W27" s="31" t="str">
        <f>IFERROR(AVERAGEIFS(AllData[Phosphate (PPM)], AllData[Site Name], B27, AllData[Season], "Autumn", AllData[Year], "2023"), "")</f>
        <v/>
      </c>
      <c r="X27" s="34" t="str">
        <f t="shared" si="7"/>
        <v/>
      </c>
      <c r="Y27" s="33">
        <f>COUNTIFS(AllData[Site Name], Tables!B27, AllData[Season], "Winter", AllData[Year], "2023")</f>
        <v>0</v>
      </c>
      <c r="Z27" s="30" t="str">
        <f>IFERROR(AVERAGEIFS(AllData[Nitrate (PPM)], AllData[Site Name], B27, AllData[Season], "Winter", AllData[Year], "2023"), "")</f>
        <v/>
      </c>
      <c r="AA27" s="32" t="str">
        <f t="shared" si="8"/>
        <v/>
      </c>
      <c r="AB27" s="31" t="str">
        <f>IFERROR(AVERAGEIFS(AllData[Phosphate (PPM)], AllData[Site Name], B27, AllData[Season], "Winter", AllData[Year], "2023"),"")</f>
        <v/>
      </c>
      <c r="AC27" s="32" t="str">
        <f t="shared" si="9"/>
        <v/>
      </c>
      <c r="AD27" s="52">
        <f>COUNTIFS(AllData[Site Name], Tables!B27, AllData[Season], "Spring", AllData[Year], "2024")</f>
        <v>8</v>
      </c>
      <c r="AE27" s="30">
        <f>IFERROR(AVERAGEIFS(AllData[Nitrate (PPM)], AllData[Site Name], B27, AllData[Season], "Spring", AllData[Year], "2024"), "")</f>
        <v>7.25</v>
      </c>
      <c r="AF27" s="32">
        <f t="shared" si="10"/>
        <v>0.13725490196078433</v>
      </c>
      <c r="AG27" s="31">
        <f>IFERROR(AVERAGEIFS(AllData[Phosphate (PPM)], AllData[Site Name], B27, AllData[Season], "Spring", AllData[Year], "2024"),"")</f>
        <v>0.45375000000000004</v>
      </c>
      <c r="AH27" s="34">
        <f t="shared" si="11"/>
        <v>2.1097046413502157E-2</v>
      </c>
      <c r="AI27" s="33">
        <f>COUNTIFS(AllData[Site Name], Tables!B27, AllData[Season], "Summer", AllData[Year], "2024")</f>
        <v>8</v>
      </c>
      <c r="AJ27" s="30">
        <f>IFERROR(AVERAGEIFS(AllData[Nitrate (PPM)], AllData[Site Name], B27, AllData[Season], "Summer", AllData[Year], "2024"), "")</f>
        <v>5.5</v>
      </c>
      <c r="AK27" s="32">
        <f t="shared" si="12"/>
        <v>-0.13725490196078433</v>
      </c>
      <c r="AL27" s="32" t="str">
        <f t="shared" si="13"/>
        <v/>
      </c>
      <c r="AM27" s="31">
        <f>IFERROR(AVERAGEIFS(AllData[Phosphate (PPM)], AllData[Site Name], B27, AllData[Season], "Summer", AllData[Year], "2024"),"")</f>
        <v>0.435</v>
      </c>
      <c r="AN27" s="32">
        <f t="shared" si="14"/>
        <v>-2.1097046413502157E-2</v>
      </c>
      <c r="AO27" s="61" t="str">
        <f t="shared" si="15"/>
        <v/>
      </c>
    </row>
    <row r="28" spans="1:42" x14ac:dyDescent="0.25">
      <c r="A28" s="42"/>
      <c r="B28" s="13" t="s">
        <v>1938</v>
      </c>
      <c r="C28" s="137">
        <v>52.048665</v>
      </c>
      <c r="D28" s="137">
        <v>-1.7862663333333331</v>
      </c>
      <c r="E28" s="13" t="e" vm="23">
        <f>_xlfn.XLOOKUP(B28,LocationsKey[Site Name], LocationsKey[District])</f>
        <v>#VALUE!</v>
      </c>
      <c r="F28" s="13" t="e" vm="24">
        <f>_xlfn.XLOOKUP(B28,LocationsKey[Site Name], LocationsKey[Town])</f>
        <v>#VALUE!</v>
      </c>
      <c r="G28" s="28" t="str">
        <f>_xlfn.XLOOKUP(B28,LocationsKey[Site Name],LocationsKey[Waterway])</f>
        <v>Cam Brook</v>
      </c>
      <c r="H28" s="29">
        <f>COUNTIF(AllData[Site Name], Tables!B28)</f>
        <v>6</v>
      </c>
      <c r="I28" s="30">
        <f t="shared" si="2"/>
        <v>3.2</v>
      </c>
      <c r="J28" s="31">
        <f t="shared" si="3"/>
        <v>0.9</v>
      </c>
      <c r="K28" s="32" cm="1">
        <f t="array" ref="K28">SUM(COUNTIFS(AllData[Site Name], B28, AllData[Nitrate Pollution Category], {"High","Very high"}))/COUNTIFS(AllData[Site Name], B28, AllData[Nitrate (PPM)], "&lt;&gt;0")</f>
        <v>1</v>
      </c>
      <c r="L28" s="32" cm="1">
        <f t="array" ref="L28">SUM(COUNTIFS(AllData[Site Name], B28, AllData[Phosphate Pollution Category], {"High","Very high"}))/COUNTIFS(AllData[Site Name], B28, AllData[Phosphate (PPM)], "&lt;&gt;0")</f>
        <v>0.83333333333333337</v>
      </c>
      <c r="M28" s="33">
        <f t="shared" si="0"/>
        <v>54</v>
      </c>
      <c r="N28" s="33">
        <f t="shared" si="1"/>
        <v>15</v>
      </c>
      <c r="O28" s="29">
        <f>COUNTIFS(AllData[Site Name], Tables!B28, AllData[Season], "Summer", AllData[Year], "2023")</f>
        <v>0</v>
      </c>
      <c r="P28" s="30"/>
      <c r="Q28" s="32"/>
      <c r="R28" s="31"/>
      <c r="S28" s="34"/>
      <c r="T28" s="33">
        <f>COUNTIFS(AllData[Site Name], Tables!B28, AllData[Season], "Autumn", AllData[Year], "2023")</f>
        <v>0</v>
      </c>
      <c r="U28" s="30"/>
      <c r="V28" s="32"/>
      <c r="W28" s="31"/>
      <c r="X28" s="34"/>
      <c r="Y28" s="33">
        <f>COUNTIFS(AllData[Site Name], Tables!B28, AllData[Season], "Winter", AllData[Year], "2023")</f>
        <v>0</v>
      </c>
      <c r="Z28" s="30"/>
      <c r="AA28" s="32"/>
      <c r="AB28" s="31"/>
      <c r="AC28" s="32"/>
      <c r="AD28" s="52">
        <f>COUNTIFS(AllData[Site Name], Tables!B28, AllData[Season], "Spring", AllData[Year], "2024")</f>
        <v>0</v>
      </c>
      <c r="AE28" s="30"/>
      <c r="AF28" s="32"/>
      <c r="AG28" s="31"/>
      <c r="AH28" s="34"/>
      <c r="AI28" s="33">
        <f>COUNTIFS(AllData[Site Name], Tables!B28, AllData[Season], "Summer", AllData[Year], "2024")</f>
        <v>5</v>
      </c>
      <c r="AJ28" s="30">
        <f>IFERROR(AVERAGEIFS(AllData[Nitrate (PPM)], AllData[Site Name], B28, AllData[Season], "Summer", AllData[Year], "2024"), "")</f>
        <v>3.2</v>
      </c>
      <c r="AK28" s="32">
        <f t="shared" si="12"/>
        <v>0</v>
      </c>
      <c r="AL28" s="32"/>
      <c r="AM28" s="31">
        <f>IFERROR(AVERAGEIFS(AllData[Phosphate (PPM)], AllData[Site Name], B28, AllData[Season], "Summer", AllData[Year], "2024"),"")</f>
        <v>0.9</v>
      </c>
      <c r="AN28" s="32">
        <f t="shared" si="14"/>
        <v>0</v>
      </c>
      <c r="AO28" s="61" t="str">
        <f t="shared" si="15"/>
        <v/>
      </c>
      <c r="AP28" s="218"/>
    </row>
    <row r="29" spans="1:42" x14ac:dyDescent="0.25">
      <c r="A29" s="42"/>
      <c r="B29" s="13" t="s">
        <v>1650</v>
      </c>
      <c r="C29" s="137" t="str">
        <f>IFERROR(AVERAGEIF(AllData[Site Name], Tables!B29, AllData[Latitude]), "Unknown")</f>
        <v>Unknown</v>
      </c>
      <c r="D29" s="137" t="str">
        <f>IFERROR(AVERAGEIF(AllData[Site Name], Tables!B29, AllData[Longitude]), "Unknown")</f>
        <v>Unknown</v>
      </c>
      <c r="E29" s="13" t="e" vm="23">
        <f>_xlfn.XLOOKUP(B29,LocationsKey[Site Name], LocationsKey[District])</f>
        <v>#VALUE!</v>
      </c>
      <c r="F29" s="13" t="e" vm="24">
        <f>_xlfn.XLOOKUP(B29,LocationsKey[Site Name], LocationsKey[Town])</f>
        <v>#VALUE!</v>
      </c>
      <c r="G29" s="28" t="str">
        <f>_xlfn.XLOOKUP(B29,LocationsKey[Site Name],LocationsKey[Waterway])</f>
        <v>Cam Brook</v>
      </c>
      <c r="H29" s="29">
        <f>COUNTIF(AllData[Site Name], Tables!B29)</f>
        <v>10</v>
      </c>
      <c r="I29" s="30">
        <f t="shared" si="2"/>
        <v>5</v>
      </c>
      <c r="J29" s="31">
        <f t="shared" si="3"/>
        <v>0.11222222222222222</v>
      </c>
      <c r="K29" s="32" cm="1">
        <f t="array" ref="K29">SUM(COUNTIFS(AllData[Site Name], B29, AllData[Nitrate Pollution Category], {"High","Very high"}))/COUNTIFS(AllData[Site Name], B29, AllData[Nitrate (PPM)], "&lt;&gt;0")</f>
        <v>1</v>
      </c>
      <c r="L29" s="32" cm="1">
        <f t="array" ref="L29">SUM(COUNTIFS(AllData[Site Name], B29, AllData[Phosphate Pollution Category], {"High","Very high"}))/COUNTIFS(AllData[Site Name], B29, AllData[Phosphate (PPM)], "&lt;&gt;0")</f>
        <v>0.4</v>
      </c>
      <c r="M29" s="33">
        <f t="shared" si="0"/>
        <v>44</v>
      </c>
      <c r="N29" s="33">
        <f t="shared" si="1"/>
        <v>66</v>
      </c>
      <c r="O29" s="29">
        <f>COUNTIFS(AllData[Site Name], Tables!B29, AllData[Season], "Summer", AllData[Year], "2023")</f>
        <v>0</v>
      </c>
      <c r="P29" s="30"/>
      <c r="Q29" s="32"/>
      <c r="R29" s="31"/>
      <c r="S29" s="34"/>
      <c r="T29" s="33">
        <f>COUNTIFS(AllData[Site Name], Tables!B29, AllData[Season], "Autumn", AllData[Year], "2023")</f>
        <v>0</v>
      </c>
      <c r="U29" s="30"/>
      <c r="V29" s="32"/>
      <c r="W29" s="31"/>
      <c r="X29" s="34"/>
      <c r="Y29" s="33">
        <f>COUNTIFS(AllData[Site Name], Tables!B29, AllData[Season], "Winter", AllData[Year], "2023")</f>
        <v>0</v>
      </c>
      <c r="Z29" s="30"/>
      <c r="AA29" s="32"/>
      <c r="AB29" s="31"/>
      <c r="AC29" s="32"/>
      <c r="AD29" s="52">
        <f>COUNTIFS(AllData[Site Name], Tables!B29, AllData[Season], "Spring", AllData[Year], "2024")</f>
        <v>0</v>
      </c>
      <c r="AE29" s="30"/>
      <c r="AF29" s="32"/>
      <c r="AG29" s="31"/>
      <c r="AH29" s="34"/>
      <c r="AI29" s="33">
        <f>COUNTIFS(AllData[Site Name], Tables!B29, AllData[Season], "Summer", AllData[Year], "2024")</f>
        <v>9</v>
      </c>
      <c r="AJ29" s="30">
        <f>IFERROR(AVERAGEIFS(AllData[Nitrate (PPM)], AllData[Site Name], B29, AllData[Season], "Summer", AllData[Year], "2024"), "")</f>
        <v>5</v>
      </c>
      <c r="AK29" s="32">
        <f t="shared" si="12"/>
        <v>0</v>
      </c>
      <c r="AL29" s="32"/>
      <c r="AM29" s="31">
        <f>IFERROR(AVERAGEIFS(AllData[Phosphate (PPM)], AllData[Site Name], B29, AllData[Season], "Summer", AllData[Year], "2024"),"")</f>
        <v>0.11222222222222222</v>
      </c>
      <c r="AN29" s="32">
        <f t="shared" si="14"/>
        <v>0</v>
      </c>
      <c r="AO29" s="61" t="str">
        <f t="shared" si="15"/>
        <v/>
      </c>
      <c r="AP29" s="218"/>
    </row>
    <row r="30" spans="1:42" x14ac:dyDescent="0.25">
      <c r="A30" s="42"/>
      <c r="B30" s="13" t="s">
        <v>1651</v>
      </c>
      <c r="C30" s="137">
        <f>IFERROR(AVERAGEIF(AllData[Site Name], Tables!B30, AllData[Latitude]), "Unknown")</f>
        <v>52.052216999999999</v>
      </c>
      <c r="D30" s="137">
        <f>IFERROR(AVERAGEIF(AllData[Site Name], Tables!B30, AllData[Longitude]), "Unknown")</f>
        <v>-1.7616225000000001</v>
      </c>
      <c r="E30" s="13" t="e" vm="23">
        <f>_xlfn.XLOOKUP(B30,LocationsKey[Site Name], LocationsKey[District])</f>
        <v>#VALUE!</v>
      </c>
      <c r="F30" s="13" t="e" vm="24">
        <f>_xlfn.XLOOKUP(B30,LocationsKey[Site Name], LocationsKey[Town])</f>
        <v>#VALUE!</v>
      </c>
      <c r="G30" s="28" t="str">
        <f>_xlfn.XLOOKUP(B30,LocationsKey[Site Name],LocationsKey[Waterway])</f>
        <v>Cam Brook</v>
      </c>
      <c r="H30" s="29">
        <f>COUNTIF(AllData[Site Name], Tables!B30)</f>
        <v>10</v>
      </c>
      <c r="I30" s="30">
        <f t="shared" si="2"/>
        <v>4</v>
      </c>
      <c r="J30" s="31">
        <f t="shared" si="3"/>
        <v>0.37888888888888883</v>
      </c>
      <c r="K30" s="32" cm="1">
        <f t="array" ref="K30">SUM(COUNTIFS(AllData[Site Name], B30, AllData[Nitrate Pollution Category], {"High","Very high"}))/COUNTIFS(AllData[Site Name], B30, AllData[Nitrate (PPM)], "&lt;&gt;0")</f>
        <v>1</v>
      </c>
      <c r="L30" s="32" cm="1">
        <f t="array" ref="L30">SUM(COUNTIFS(AllData[Site Name], B30, AllData[Phosphate Pollution Category], {"High","Very high"}))/COUNTIFS(AllData[Site Name], B30, AllData[Phosphate (PPM)], "&lt;&gt;0")</f>
        <v>1</v>
      </c>
      <c r="M30" s="33">
        <f t="shared" si="0"/>
        <v>51</v>
      </c>
      <c r="N30" s="33">
        <f t="shared" si="1"/>
        <v>56</v>
      </c>
      <c r="O30" s="29">
        <f>COUNTIFS(AllData[Site Name], Tables!B30, AllData[Season], "Summer", AllData[Year], "2023")</f>
        <v>0</v>
      </c>
      <c r="P30" s="30"/>
      <c r="Q30" s="32"/>
      <c r="R30" s="31"/>
      <c r="S30" s="34"/>
      <c r="T30" s="33">
        <f>COUNTIFS(AllData[Site Name], Tables!B30, AllData[Season], "Autumn", AllData[Year], "2023")</f>
        <v>0</v>
      </c>
      <c r="U30" s="30"/>
      <c r="V30" s="32"/>
      <c r="W30" s="31"/>
      <c r="X30" s="34"/>
      <c r="Y30" s="33">
        <f>COUNTIFS(AllData[Site Name], Tables!B30, AllData[Season], "Winter", AllData[Year], "2023")</f>
        <v>0</v>
      </c>
      <c r="Z30" s="30"/>
      <c r="AA30" s="32"/>
      <c r="AB30" s="31"/>
      <c r="AC30" s="32"/>
      <c r="AD30" s="52">
        <f>COUNTIFS(AllData[Site Name], Tables!B30, AllData[Season], "Spring", AllData[Year], "2024")</f>
        <v>0</v>
      </c>
      <c r="AE30" s="30"/>
      <c r="AF30" s="32"/>
      <c r="AG30" s="31"/>
      <c r="AH30" s="34"/>
      <c r="AI30" s="33">
        <f>COUNTIFS(AllData[Site Name], Tables!B30, AllData[Season], "Summer", AllData[Year], "2024")</f>
        <v>9</v>
      </c>
      <c r="AJ30" s="30">
        <f>IFERROR(AVERAGEIFS(AllData[Nitrate (PPM)], AllData[Site Name], B30, AllData[Season], "Summer", AllData[Year], "2024"), "")</f>
        <v>4</v>
      </c>
      <c r="AK30" s="32">
        <f t="shared" si="12"/>
        <v>0</v>
      </c>
      <c r="AL30" s="32"/>
      <c r="AM30" s="31">
        <f>IFERROR(AVERAGEIFS(AllData[Phosphate (PPM)], AllData[Site Name], B30, AllData[Season], "Summer", AllData[Year], "2024"),"")</f>
        <v>0.37888888888888883</v>
      </c>
      <c r="AN30" s="32">
        <f t="shared" si="14"/>
        <v>0</v>
      </c>
      <c r="AO30" s="61" t="str">
        <f t="shared" si="15"/>
        <v/>
      </c>
      <c r="AP30" s="218"/>
    </row>
    <row r="31" spans="1:42" x14ac:dyDescent="0.25">
      <c r="A31" s="42"/>
      <c r="B31" s="13" t="s">
        <v>1578</v>
      </c>
      <c r="C31" s="137">
        <f>IFERROR(AVERAGEIF(AllData[Site Name], Tables!B31, AllData[Latitude]), "Unknown")</f>
        <v>52.166358517241363</v>
      </c>
      <c r="D31" s="137">
        <f>IFERROR(AVERAGEIF(AllData[Site Name], Tables!B31, AllData[Longitude]), "Unknown")</f>
        <v>-1.7080419310344837</v>
      </c>
      <c r="E31" s="13" t="e" vm="2">
        <f>_xlfn.XLOOKUP(B31,LocationsKey[Site Name], LocationsKey[District])</f>
        <v>#VALUE!</v>
      </c>
      <c r="F31" s="13" t="e" vm="12">
        <f>_xlfn.XLOOKUP(B31,LocationsKey[Site Name], LocationsKey[Town])</f>
        <v>#VALUE!</v>
      </c>
      <c r="G31" s="28" t="str">
        <f>_xlfn.XLOOKUP(B31,LocationsKey[Site Name],LocationsKey[Waterway])</f>
        <v>Stour</v>
      </c>
      <c r="H31" s="29">
        <f>COUNTIF(AllData[Site Name], Tables!B31)</f>
        <v>30</v>
      </c>
      <c r="I31" s="30">
        <f t="shared" si="2"/>
        <v>6.5346320346320352</v>
      </c>
      <c r="J31" s="31">
        <f t="shared" si="3"/>
        <v>0.29977633477633475</v>
      </c>
      <c r="K31" s="32" cm="1">
        <f t="array" ref="K31">SUM(COUNTIFS(AllData[Site Name], B31, AllData[Nitrate Pollution Category], {"High","Very high"}))/COUNTIFS(AllData[Site Name], B31, AllData[Nitrate (PPM)], "&lt;&gt;0")</f>
        <v>1</v>
      </c>
      <c r="L31" s="32" cm="1">
        <f t="array" ref="L31">SUM(COUNTIFS(AllData[Site Name], B31, AllData[Phosphate Pollution Category], {"High","Very high"}))/COUNTIFS(AllData[Site Name], B31, AllData[Phosphate (PPM)], "&lt;&gt;0")</f>
        <v>1</v>
      </c>
      <c r="M31" s="33">
        <f t="shared" si="0"/>
        <v>33</v>
      </c>
      <c r="N31" s="33">
        <f t="shared" si="1"/>
        <v>59</v>
      </c>
      <c r="O31" s="29">
        <f>COUNTIFS(AllData[Site Name], Tables!B31, AllData[Season], "Summer", AllData[Year], "2023")</f>
        <v>0</v>
      </c>
      <c r="P31" s="30" t="str">
        <f>IFERROR(AVERAGEIFS(AllData[Nitrate (PPM)], AllData[Site Name], B31, AllData[Season], "Summer", AllData[Year], "2023"), "")</f>
        <v/>
      </c>
      <c r="Q31" s="32" t="str">
        <f t="shared" si="4"/>
        <v/>
      </c>
      <c r="R31" s="31" t="str">
        <f>IFERROR(AVERAGEIFS(AllData[Phosphate (PPM)], AllData[Site Name], B31, AllData[Season], "Summer", AllData[Year], "2023"),"")</f>
        <v/>
      </c>
      <c r="S31" s="34" t="str">
        <f t="shared" si="5"/>
        <v/>
      </c>
      <c r="T31" s="33">
        <f>COUNTIFS(AllData[Site Name], Tables!B31, AllData[Season], "Autumn", AllData[Year], "2023")</f>
        <v>7</v>
      </c>
      <c r="U31" s="30">
        <f>IFERROR(AVERAGEIFS(AllData[Nitrate (PPM)], AllData[Site Name], B31, AllData[Season], "Autumn", AllData[Year], "2023"), "")</f>
        <v>6.2857142857142856</v>
      </c>
      <c r="V31" s="32">
        <f t="shared" si="6"/>
        <v>-3.8092083471348237E-2</v>
      </c>
      <c r="W31" s="31">
        <f>IFERROR(AVERAGEIFS(AllData[Phosphate (PPM)], AllData[Site Name], B31, AllData[Season], "Autumn", AllData[Year], "2023"), "")</f>
        <v>0.33857142857142852</v>
      </c>
      <c r="X31" s="34">
        <f t="shared" si="7"/>
        <v>0.12941346362126638</v>
      </c>
      <c r="Y31" s="33">
        <f>COUNTIFS(AllData[Site Name], Tables!B31, AllData[Season], "Winter", AllData[Year], "2023")</f>
        <v>12</v>
      </c>
      <c r="Z31" s="30">
        <f>IFERROR(AVERAGEIFS(AllData[Nitrate (PPM)], AllData[Site Name], B31, AllData[Season], "Winter", AllData[Year], "2023"), "")</f>
        <v>5.5</v>
      </c>
      <c r="AA31" s="32">
        <f t="shared" si="8"/>
        <v>-0.1583305730374297</v>
      </c>
      <c r="AB31" s="31">
        <f>IFERROR(AVERAGEIFS(AllData[Phosphate (PPM)], AllData[Site Name], B31, AllData[Season], "Winter", AllData[Year], "2023"),"")</f>
        <v>0.33166666666666667</v>
      </c>
      <c r="AC31" s="32">
        <f t="shared" si="9"/>
        <v>0.10638041830128291</v>
      </c>
      <c r="AD31" s="52">
        <f>COUNTIFS(AllData[Site Name], Tables!B31, AllData[Season], "Spring", AllData[Year], "2024")</f>
        <v>11</v>
      </c>
      <c r="AE31" s="30">
        <f>IFERROR(AVERAGEIFS(AllData[Nitrate (PPM)], AllData[Site Name], B31, AllData[Season], "Spring", AllData[Year], "2024"), "")</f>
        <v>7.8181818181818183</v>
      </c>
      <c r="AF31" s="32">
        <f t="shared" si="10"/>
        <v>0.19642265650877766</v>
      </c>
      <c r="AG31" s="31">
        <f>IFERROR(AVERAGEIFS(AllData[Phosphate (PPM)], AllData[Site Name], B31, AllData[Season], "Spring", AllData[Year], "2024"),"")</f>
        <v>0.2290909090909091</v>
      </c>
      <c r="AH31" s="34">
        <f t="shared" si="11"/>
        <v>-0.23579388192254921</v>
      </c>
      <c r="AI31" s="33">
        <f>COUNTIFS(AllData[Site Name], Tables!B31, AllData[Season], "Summer", AllData[Year], "2024")</f>
        <v>0</v>
      </c>
      <c r="AJ31" s="30" t="str">
        <f>IFERROR(AVERAGEIFS(AllData[Nitrate (PPM)], AllData[Site Name], B31, AllData[Season], "Summer", AllData[Year], "2024"), "")</f>
        <v/>
      </c>
      <c r="AK31" s="32" t="str">
        <f t="shared" si="12"/>
        <v/>
      </c>
      <c r="AL31" s="32" t="str">
        <f t="shared" si="13"/>
        <v/>
      </c>
      <c r="AM31" s="31" t="str">
        <f>IFERROR(AVERAGEIFS(AllData[Phosphate (PPM)], AllData[Site Name], B31, AllData[Season], "Summer", AllData[Year], "2024"),"")</f>
        <v/>
      </c>
      <c r="AN31" s="32" t="str">
        <f t="shared" si="14"/>
        <v/>
      </c>
      <c r="AO31" s="61" t="str">
        <f t="shared" si="15"/>
        <v/>
      </c>
    </row>
    <row r="32" spans="1:42" x14ac:dyDescent="0.25">
      <c r="A32" s="42"/>
      <c r="B32" s="13" t="s">
        <v>1580</v>
      </c>
      <c r="C32" s="137">
        <f>IFERROR(AVERAGEIF(AllData[Site Name], Tables!B32, AllData[Latitude]), "Unknown")</f>
        <v>52.172840000000001</v>
      </c>
      <c r="D32" s="137">
        <f>IFERROR(AVERAGEIF(AllData[Site Name], Tables!B32, AllData[Longitude]), "Unknown")</f>
        <v>-1.71377</v>
      </c>
      <c r="E32" s="13" t="e" vm="2">
        <f>_xlfn.XLOOKUP(B32,LocationsKey[Site Name], LocationsKey[District])</f>
        <v>#VALUE!</v>
      </c>
      <c r="F32" s="13" t="e" vm="12">
        <f>_xlfn.XLOOKUP(B32,LocationsKey[Site Name], LocationsKey[Town])</f>
        <v>#VALUE!</v>
      </c>
      <c r="G32" s="28" t="str">
        <f>_xlfn.XLOOKUP(B32,LocationsKey[Site Name],LocationsKey[Waterway])</f>
        <v>Stour</v>
      </c>
      <c r="H32" s="29">
        <f>COUNTIF(AllData[Site Name], Tables!B32)</f>
        <v>6</v>
      </c>
      <c r="I32" s="30">
        <f t="shared" si="2"/>
        <v>5.666666666666667</v>
      </c>
      <c r="J32" s="31">
        <f t="shared" si="3"/>
        <v>0.29000000000000004</v>
      </c>
      <c r="K32" s="32" cm="1">
        <f t="array" ref="K32">SUM(COUNTIFS(AllData[Site Name], B32, AllData[Nitrate Pollution Category], {"High","Very high"}))/COUNTIFS(AllData[Site Name], B32, AllData[Nitrate (PPM)], "&lt;&gt;0")</f>
        <v>1</v>
      </c>
      <c r="L32" s="32" cm="1">
        <f t="array" ref="L32">SUM(COUNTIFS(AllData[Site Name], B32, AllData[Phosphate Pollution Category], {"High","Very high"}))/COUNTIFS(AllData[Site Name], B32, AllData[Phosphate (PPM)], "&lt;&gt;0")</f>
        <v>1</v>
      </c>
      <c r="M32" s="33">
        <f t="shared" si="0"/>
        <v>40</v>
      </c>
      <c r="N32" s="33">
        <f t="shared" si="1"/>
        <v>62</v>
      </c>
      <c r="O32" s="29">
        <f>COUNTIFS(AllData[Site Name], Tables!B32, AllData[Season], "Summer", AllData[Year], "2023")</f>
        <v>0</v>
      </c>
      <c r="P32" s="30" t="str">
        <f>IFERROR(AVERAGEIFS(AllData[Nitrate (PPM)], AllData[Site Name], B32, AllData[Season], "Summer", AllData[Year], "2023"), "")</f>
        <v/>
      </c>
      <c r="Q32" s="32" t="str">
        <f t="shared" si="4"/>
        <v/>
      </c>
      <c r="R32" s="31" t="str">
        <f>IFERROR(AVERAGEIFS(AllData[Phosphate (PPM)], AllData[Site Name], B32, AllData[Season], "Summer", AllData[Year], "2023"),"")</f>
        <v/>
      </c>
      <c r="S32" s="34" t="str">
        <f t="shared" si="5"/>
        <v/>
      </c>
      <c r="T32" s="33">
        <f>COUNTIFS(AllData[Site Name], Tables!B32, AllData[Season], "Autumn", AllData[Year], "2023")</f>
        <v>0</v>
      </c>
      <c r="U32" s="30" t="str">
        <f>IFERROR(AVERAGEIFS(AllData[Nitrate (PPM)], AllData[Site Name], B32, AllData[Season], "Autumn", AllData[Year], "2023"), "")</f>
        <v/>
      </c>
      <c r="V32" s="32" t="str">
        <f t="shared" si="6"/>
        <v/>
      </c>
      <c r="W32" s="31" t="str">
        <f>IFERROR(AVERAGEIFS(AllData[Phosphate (PPM)], AllData[Site Name], B32, AllData[Season], "Autumn", AllData[Year], "2023"), "")</f>
        <v/>
      </c>
      <c r="X32" s="34" t="str">
        <f t="shared" si="7"/>
        <v/>
      </c>
      <c r="Y32" s="33">
        <f>COUNTIFS(AllData[Site Name], Tables!B32, AllData[Season], "Winter", AllData[Year], "2023")</f>
        <v>6</v>
      </c>
      <c r="Z32" s="30">
        <f>IFERROR(AVERAGEIFS(AllData[Nitrate (PPM)], AllData[Site Name], B32, AllData[Season], "Winter", AllData[Year], "2023"), "")</f>
        <v>5.666666666666667</v>
      </c>
      <c r="AA32" s="32">
        <f t="shared" si="8"/>
        <v>0</v>
      </c>
      <c r="AB32" s="31">
        <f>IFERROR(AVERAGEIFS(AllData[Phosphate (PPM)], AllData[Site Name], B32, AllData[Season], "Winter", AllData[Year], "2023"),"")</f>
        <v>0.29000000000000004</v>
      </c>
      <c r="AC32" s="32">
        <f t="shared" si="9"/>
        <v>0</v>
      </c>
      <c r="AD32" s="52">
        <f>COUNTIFS(AllData[Site Name], Tables!B32, AllData[Season], "Spring", AllData[Year], "2024")</f>
        <v>0</v>
      </c>
      <c r="AE32" s="30" t="str">
        <f>IFERROR(AVERAGEIFS(AllData[Nitrate (PPM)], AllData[Site Name], B32, AllData[Season], "Spring", AllData[Year], "2024"), "")</f>
        <v/>
      </c>
      <c r="AF32" s="32" t="str">
        <f t="shared" si="10"/>
        <v/>
      </c>
      <c r="AG32" s="31" t="str">
        <f>IFERROR(AVERAGEIFS(AllData[Phosphate (PPM)], AllData[Site Name], B32, AllData[Season], "Spring", AllData[Year], "2024"),"")</f>
        <v/>
      </c>
      <c r="AH32" s="34" t="str">
        <f t="shared" si="11"/>
        <v/>
      </c>
      <c r="AI32" s="33">
        <f>COUNTIFS(AllData[Site Name], Tables!B32, AllData[Season], "Summer", AllData[Year], "2024")</f>
        <v>0</v>
      </c>
      <c r="AJ32" s="30" t="str">
        <f>IFERROR(AVERAGEIFS(AllData[Nitrate (PPM)], AllData[Site Name], B32, AllData[Season], "Summer", AllData[Year], "2024"), "")</f>
        <v/>
      </c>
      <c r="AK32" s="32" t="str">
        <f t="shared" si="12"/>
        <v/>
      </c>
      <c r="AL32" s="32" t="str">
        <f t="shared" si="13"/>
        <v/>
      </c>
      <c r="AM32" s="31" t="str">
        <f>IFERROR(AVERAGEIFS(AllData[Phosphate (PPM)], AllData[Site Name], B32, AllData[Season], "Summer", AllData[Year], "2024"),"")</f>
        <v/>
      </c>
      <c r="AN32" s="32" t="str">
        <f t="shared" si="14"/>
        <v/>
      </c>
      <c r="AO32" s="61" t="str">
        <f t="shared" si="15"/>
        <v/>
      </c>
    </row>
    <row r="33" spans="1:42" x14ac:dyDescent="0.25">
      <c r="A33" s="42"/>
      <c r="B33" s="13" t="s">
        <v>818</v>
      </c>
      <c r="C33" s="137">
        <f>IFERROR(AVERAGEIF(AllData[Site Name], Tables!B33, AllData[Latitude]), "Unknown")</f>
        <v>52.067966827586183</v>
      </c>
      <c r="D33" s="137">
        <f>IFERROR(AVERAGEIF(AllData[Site Name], Tables!B33, AllData[Longitude]), "Unknown")</f>
        <v>-1.6118101379310343</v>
      </c>
      <c r="E33" s="13" t="e" vm="2">
        <f>_xlfn.XLOOKUP(B33,LocationsKey[Site Name], LocationsKey[District])</f>
        <v>#VALUE!</v>
      </c>
      <c r="F33" s="13" t="e" vm="10">
        <f>_xlfn.XLOOKUP(B33,LocationsKey[Site Name], LocationsKey[Town])</f>
        <v>#VALUE!</v>
      </c>
      <c r="G33" s="28" t="str">
        <f>_xlfn.XLOOKUP(B33,LocationsKey[Site Name],LocationsKey[Waterway])</f>
        <v>Stour</v>
      </c>
      <c r="H33" s="29">
        <f>COUNTIF(AllData[Site Name], Tables!B33)</f>
        <v>30</v>
      </c>
      <c r="I33" s="30">
        <f t="shared" si="2"/>
        <v>6.6196969696969701</v>
      </c>
      <c r="J33" s="31">
        <f t="shared" si="3"/>
        <v>0.41143939393939388</v>
      </c>
      <c r="K33" s="32" cm="1">
        <f t="array" ref="K33">SUM(COUNTIFS(AllData[Site Name], B33, AllData[Nitrate Pollution Category], {"High","Very high"}))/COUNTIFS(AllData[Site Name], B33, AllData[Nitrate (PPM)], "&lt;&gt;0")</f>
        <v>1</v>
      </c>
      <c r="L33" s="32" cm="1">
        <f t="array" ref="L33">SUM(COUNTIFS(AllData[Site Name], B33, AllData[Phosphate Pollution Category], {"High","Very high"}))/COUNTIFS(AllData[Site Name], B33, AllData[Phosphate (PPM)], "&lt;&gt;0")</f>
        <v>1</v>
      </c>
      <c r="M33" s="33">
        <f t="shared" si="0"/>
        <v>31</v>
      </c>
      <c r="N33" s="33">
        <f t="shared" si="1"/>
        <v>53</v>
      </c>
      <c r="O33" s="29">
        <f>COUNTIFS(AllData[Site Name], Tables!B33, AllData[Season], "Summer", AllData[Year], "2023")</f>
        <v>0</v>
      </c>
      <c r="P33" s="30" t="str">
        <f>IFERROR(AVERAGEIFS(AllData[Nitrate (PPM)], AllData[Site Name], B33, AllData[Season], "Summer", AllData[Year], "2023"), "")</f>
        <v/>
      </c>
      <c r="Q33" s="32" t="str">
        <f t="shared" si="4"/>
        <v/>
      </c>
      <c r="R33" s="31" t="str">
        <f>IFERROR(AVERAGEIFS(AllData[Phosphate (PPM)], AllData[Site Name], B33, AllData[Season], "Summer", AllData[Year], "2023"),"")</f>
        <v/>
      </c>
      <c r="S33" s="34" t="str">
        <f t="shared" si="5"/>
        <v/>
      </c>
      <c r="T33" s="33">
        <f>COUNTIFS(AllData[Site Name], Tables!B33, AllData[Season], "Autumn", AllData[Year], "2023")</f>
        <v>0</v>
      </c>
      <c r="U33" s="30" t="str">
        <f>IFERROR(AVERAGEIFS(AllData[Nitrate (PPM)], AllData[Site Name], B33, AllData[Season], "Autumn", AllData[Year], "2023"), "")</f>
        <v/>
      </c>
      <c r="V33" s="32" t="str">
        <f t="shared" si="6"/>
        <v/>
      </c>
      <c r="W33" s="31" t="str">
        <f>IFERROR(AVERAGEIFS(AllData[Phosphate (PPM)], AllData[Site Name], B33, AllData[Season], "Autumn", AllData[Year], "2023"), "")</f>
        <v/>
      </c>
      <c r="X33" s="34" t="str">
        <f t="shared" si="7"/>
        <v/>
      </c>
      <c r="Y33" s="33">
        <f>COUNTIFS(AllData[Site Name], Tables!B33, AllData[Season], "Winter", AllData[Year], "2023")</f>
        <v>8</v>
      </c>
      <c r="Z33" s="30">
        <f>IFERROR(AVERAGEIFS(AllData[Nitrate (PPM)], AllData[Site Name], B33, AllData[Season], "Winter", AllData[Year], "2023"), "")</f>
        <v>6.75</v>
      </c>
      <c r="AA33" s="32">
        <f t="shared" si="8"/>
        <v>1.9684138246738325E-2</v>
      </c>
      <c r="AB33" s="31">
        <f>IFERROR(AVERAGEIFS(AllData[Phosphate (PPM)], AllData[Site Name], B33, AllData[Season], "Winter", AllData[Year], "2023"),"")</f>
        <v>0.33249999999999996</v>
      </c>
      <c r="AC33" s="32">
        <f t="shared" si="9"/>
        <v>-0.19186153562879762</v>
      </c>
      <c r="AD33" s="52">
        <f>COUNTIFS(AllData[Site Name], Tables!B33, AllData[Season], "Spring", AllData[Year], "2024")</f>
        <v>10</v>
      </c>
      <c r="AE33" s="30">
        <f>IFERROR(AVERAGEIFS(AllData[Nitrate (PPM)], AllData[Site Name], B33, AllData[Season], "Spring", AllData[Year], "2024"), "")</f>
        <v>7.2</v>
      </c>
      <c r="AF33" s="32">
        <f t="shared" si="10"/>
        <v>8.7663080796520909E-2</v>
      </c>
      <c r="AG33" s="31">
        <f>IFERROR(AVERAGEIFS(AllData[Phosphate (PPM)], AllData[Site Name], B33, AllData[Season], "Spring", AllData[Year], "2024"),"")</f>
        <v>0.33999999999999997</v>
      </c>
      <c r="AH33" s="34">
        <f t="shared" si="11"/>
        <v>-0.17363284846252988</v>
      </c>
      <c r="AI33" s="33">
        <f>COUNTIFS(AllData[Site Name], Tables!B33, AllData[Season], "Summer", AllData[Year], "2024")</f>
        <v>11</v>
      </c>
      <c r="AJ33" s="30">
        <f>IFERROR(AVERAGEIFS(AllData[Nitrate (PPM)], AllData[Site Name], B33, AllData[Season], "Summer", AllData[Year], "2024"), "")</f>
        <v>5.9090909090909092</v>
      </c>
      <c r="AK33" s="32">
        <f t="shared" si="12"/>
        <v>-0.10734721904325936</v>
      </c>
      <c r="AL33" s="32" t="str">
        <f t="shared" si="13"/>
        <v/>
      </c>
      <c r="AM33" s="31">
        <f>IFERROR(AVERAGEIFS(AllData[Phosphate (PPM)], AllData[Site Name], B33, AllData[Season], "Summer", AllData[Year], "2024"),"")</f>
        <v>0.56181818181818177</v>
      </c>
      <c r="AN33" s="32">
        <f t="shared" si="14"/>
        <v>0.36549438409132762</v>
      </c>
      <c r="AO33" s="61" t="str">
        <f t="shared" si="15"/>
        <v/>
      </c>
      <c r="AP33" s="218"/>
    </row>
    <row r="34" spans="1:42" x14ac:dyDescent="0.25">
      <c r="A34" s="42"/>
      <c r="B34" s="13" t="s">
        <v>37</v>
      </c>
      <c r="C34" s="137">
        <f>IFERROR(AVERAGEIF(AllData[Site Name], Tables!B34, AllData[Latitude]), "Unknown")</f>
        <v>52.211679999999973</v>
      </c>
      <c r="D34" s="137">
        <f>IFERROR(AVERAGEIF(AllData[Site Name], Tables!B34, AllData[Longitude]), "Unknown")</f>
        <v>-1.6244400000000001</v>
      </c>
      <c r="E34" s="13" t="e" vm="2">
        <f>_xlfn.XLOOKUP(B34,LocationsKey[Site Name], LocationsKey[District])</f>
        <v>#VALUE!</v>
      </c>
      <c r="F34" s="13" t="e" vm="4">
        <f>_xlfn.XLOOKUP(B34,LocationsKey[Site Name], LocationsKey[Town])</f>
        <v>#VALUE!</v>
      </c>
      <c r="G34" s="28" t="str">
        <f>_xlfn.XLOOKUP(B34,LocationsKey[Site Name],LocationsKey[Waterway])</f>
        <v>Avon</v>
      </c>
      <c r="H34" s="29">
        <f>COUNTIF(AllData[Site Name], Tables!B34)</f>
        <v>26</v>
      </c>
      <c r="I34" s="30">
        <f t="shared" si="2"/>
        <v>7.4567099567099575</v>
      </c>
      <c r="J34" s="31">
        <f t="shared" si="3"/>
        <v>0.58903138528138532</v>
      </c>
      <c r="K34" s="32" cm="1">
        <f t="array" ref="K34">SUM(COUNTIFS(AllData[Site Name], B34, AllData[Nitrate Pollution Category], {"High","Very high"}))/COUNTIFS(AllData[Site Name], B34, AllData[Nitrate (PPM)], "&lt;&gt;0")</f>
        <v>1</v>
      </c>
      <c r="L34" s="32" cm="1">
        <f t="array" ref="L34">SUM(COUNTIFS(AllData[Site Name], B34, AllData[Phosphate Pollution Category], {"High","Very high"}))/COUNTIFS(AllData[Site Name], B34, AllData[Phosphate (PPM)], "&lt;&gt;0")</f>
        <v>1</v>
      </c>
      <c r="M34" s="33">
        <f t="shared" si="0"/>
        <v>23</v>
      </c>
      <c r="N34" s="33">
        <f t="shared" si="1"/>
        <v>30</v>
      </c>
      <c r="O34" s="29">
        <f>COUNTIFS(AllData[Site Name], Tables!B34, AllData[Season], "Summer", AllData[Year], "2023")</f>
        <v>7</v>
      </c>
      <c r="P34" s="30">
        <f>IFERROR(AVERAGEIFS(AllData[Nitrate (PPM)], AllData[Site Name], B34, AllData[Season], "Summer", AllData[Year], "2023"), "")</f>
        <v>6.1428571428571432</v>
      </c>
      <c r="Q34" s="32">
        <f t="shared" si="4"/>
        <v>-0.17619738751814226</v>
      </c>
      <c r="R34" s="31">
        <f>IFERROR(AVERAGEIFS(AllData[Phosphate (PPM)], AllData[Site Name], B34, AllData[Season], "Summer", AllData[Year], "2023"),"")</f>
        <v>0.59857142857142853</v>
      </c>
      <c r="S34" s="34">
        <f t="shared" si="5"/>
        <v>1.6196154446822642E-2</v>
      </c>
      <c r="T34" s="33">
        <f>COUNTIFS(AllData[Site Name], Tables!B34, AllData[Season], "Autumn", AllData[Year], "2023")</f>
        <v>11</v>
      </c>
      <c r="U34" s="30">
        <f>IFERROR(AVERAGEIFS(AllData[Nitrate (PPM)], AllData[Site Name], B34, AllData[Season], "Autumn", AllData[Year], "2023"), "")</f>
        <v>4.7272727272727275</v>
      </c>
      <c r="V34" s="32">
        <f t="shared" si="6"/>
        <v>-0.36603773584905663</v>
      </c>
      <c r="W34" s="31">
        <f>IFERROR(AVERAGEIFS(AllData[Phosphate (PPM)], AllData[Site Name], B34, AllData[Season], "Autumn", AllData[Year], "2023"), "")</f>
        <v>0.62727272727272743</v>
      </c>
      <c r="X34" s="34">
        <f t="shared" si="7"/>
        <v>6.4922418307258603E-2</v>
      </c>
      <c r="Y34" s="33">
        <f>COUNTIFS(AllData[Site Name], Tables!B34, AllData[Season], "Winter", AllData[Year], "2023")</f>
        <v>8</v>
      </c>
      <c r="Z34" s="30">
        <f>IFERROR(AVERAGEIFS(AllData[Nitrate (PPM)], AllData[Site Name], B34, AllData[Season], "Winter", AllData[Year], "2023"), "")</f>
        <v>11.5</v>
      </c>
      <c r="AA34" s="32">
        <f t="shared" si="8"/>
        <v>0.5422351233671987</v>
      </c>
      <c r="AB34" s="31">
        <f>IFERROR(AVERAGEIFS(AllData[Phosphate (PPM)], AllData[Site Name], B34, AllData[Season], "Winter", AllData[Year], "2023"),"")</f>
        <v>0.54125000000000001</v>
      </c>
      <c r="AC34" s="32">
        <f t="shared" si="9"/>
        <v>-8.1118572754081242E-2</v>
      </c>
      <c r="AD34" s="52">
        <f>COUNTIFS(AllData[Site Name], Tables!B34, AllData[Season], "Spring", AllData[Year], "2024")</f>
        <v>0</v>
      </c>
      <c r="AE34" s="30" t="str">
        <f>IFERROR(AVERAGEIFS(AllData[Nitrate (PPM)], AllData[Site Name], B34, AllData[Season], "Spring", AllData[Year], "2024"), "")</f>
        <v/>
      </c>
      <c r="AF34" s="32" t="str">
        <f t="shared" si="10"/>
        <v/>
      </c>
      <c r="AG34" s="31" t="str">
        <f>IFERROR(AVERAGEIFS(AllData[Phosphate (PPM)], AllData[Site Name], B34, AllData[Season], "Spring", AllData[Year], "2024"),"")</f>
        <v/>
      </c>
      <c r="AH34" s="34" t="str">
        <f t="shared" si="11"/>
        <v/>
      </c>
      <c r="AI34" s="33">
        <f>COUNTIFS(AllData[Site Name], Tables!B34, AllData[Season], "Summer", AllData[Year], "2024")</f>
        <v>0</v>
      </c>
      <c r="AJ34" s="30" t="str">
        <f>IFERROR(AVERAGEIFS(AllData[Nitrate (PPM)], AllData[Site Name], B34, AllData[Season], "Summer", AllData[Year], "2024"), "")</f>
        <v/>
      </c>
      <c r="AK34" s="32" t="str">
        <f t="shared" si="12"/>
        <v/>
      </c>
      <c r="AL34" s="32" t="str">
        <f t="shared" si="13"/>
        <v/>
      </c>
      <c r="AM34" s="31" t="str">
        <f>IFERROR(AVERAGEIFS(AllData[Phosphate (PPM)], AllData[Site Name], B34, AllData[Season], "Summer", AllData[Year], "2024"),"")</f>
        <v/>
      </c>
      <c r="AN34" s="32" t="str">
        <f t="shared" si="14"/>
        <v/>
      </c>
      <c r="AO34" s="61" t="str">
        <f t="shared" si="15"/>
        <v/>
      </c>
    </row>
    <row r="35" spans="1:42" x14ac:dyDescent="0.25">
      <c r="A35" s="42"/>
      <c r="B35" s="13" t="s">
        <v>34</v>
      </c>
      <c r="C35" s="137">
        <f>IFERROR(AVERAGEIF(AllData[Site Name], Tables!B35, AllData[Latitude]), "Unknown")</f>
        <v>52.23814999999999</v>
      </c>
      <c r="D35" s="137">
        <f>IFERROR(AVERAGEIF(AllData[Site Name], Tables!B35, AllData[Longitude]), "Unknown")</f>
        <v>-1.6245800000000008</v>
      </c>
      <c r="E35" s="13" t="e" vm="2">
        <f>_xlfn.XLOOKUP(B35,LocationsKey[Site Name], LocationsKey[District])</f>
        <v>#VALUE!</v>
      </c>
      <c r="F35" s="13" t="e" vm="3">
        <f>_xlfn.XLOOKUP(B35,LocationsKey[Site Name], LocationsKey[Town])</f>
        <v>#VALUE!</v>
      </c>
      <c r="G35" s="28" t="str">
        <f>_xlfn.XLOOKUP(B35,LocationsKey[Site Name],LocationsKey[Waterway])</f>
        <v>Avon</v>
      </c>
      <c r="H35" s="29">
        <f>COUNTIF(AllData[Site Name], Tables!B35)</f>
        <v>24</v>
      </c>
      <c r="I35" s="30">
        <f t="shared" si="2"/>
        <v>7.8088023088023091</v>
      </c>
      <c r="J35" s="31">
        <f t="shared" si="3"/>
        <v>0.57578643578643585</v>
      </c>
      <c r="K35" s="32" cm="1">
        <f t="array" ref="K35">SUM(COUNTIFS(AllData[Site Name], B35, AllData[Nitrate Pollution Category], {"High","Very high"}))/COUNTIFS(AllData[Site Name], B35, AllData[Nitrate (PPM)], "&lt;&gt;0")</f>
        <v>1</v>
      </c>
      <c r="L35" s="32" cm="1">
        <f t="array" ref="L35">SUM(COUNTIFS(AllData[Site Name], B35, AllData[Phosphate Pollution Category], {"High","Very high"}))/COUNTIFS(AllData[Site Name], B35, AllData[Phosphate (PPM)], "&lt;&gt;0")</f>
        <v>1</v>
      </c>
      <c r="M35" s="33">
        <f t="shared" si="0"/>
        <v>16</v>
      </c>
      <c r="N35" s="33">
        <f t="shared" si="1"/>
        <v>37</v>
      </c>
      <c r="O35" s="29">
        <f>COUNTIFS(AllData[Site Name], Tables!B35, AllData[Season], "Summer", AllData[Year], "2023")</f>
        <v>7</v>
      </c>
      <c r="P35" s="30">
        <f>IFERROR(AVERAGEIFS(AllData[Nitrate (PPM)], AllData[Site Name], B35, AllData[Season], "Summer", AllData[Year], "2023"), "")</f>
        <v>6.7142857142857144</v>
      </c>
      <c r="Q35" s="32">
        <f t="shared" si="4"/>
        <v>-0.14016446456620163</v>
      </c>
      <c r="R35" s="31">
        <f>IFERROR(AVERAGEIFS(AllData[Phosphate (PPM)], AllData[Site Name], B35, AllData[Season], "Summer", AllData[Year], "2023"),"")</f>
        <v>0.58857142857142863</v>
      </c>
      <c r="S35" s="34">
        <f t="shared" si="5"/>
        <v>2.2204400781915698E-2</v>
      </c>
      <c r="T35" s="33">
        <f>COUNTIFS(AllData[Site Name], Tables!B35, AllData[Season], "Autumn", AllData[Year], "2023")</f>
        <v>11</v>
      </c>
      <c r="U35" s="30">
        <f>IFERROR(AVERAGEIFS(AllData[Nitrate (PPM)], AllData[Site Name], B35, AllData[Season], "Autumn", AllData[Year], "2023"), "")</f>
        <v>5.5454545454545459</v>
      </c>
      <c r="V35" s="32">
        <f t="shared" si="6"/>
        <v>-0.28984569897440632</v>
      </c>
      <c r="W35" s="31">
        <f>IFERROR(AVERAGEIFS(AllData[Phosphate (PPM)], AllData[Site Name], B35, AllData[Season], "Autumn", AllData[Year], "2023"), "")</f>
        <v>0.61545454545454559</v>
      </c>
      <c r="X35" s="34">
        <f t="shared" si="7"/>
        <v>6.8893789784973306E-2</v>
      </c>
      <c r="Y35" s="33">
        <f>COUNTIFS(AllData[Site Name], Tables!B35, AllData[Season], "Winter", AllData[Year], "2023")</f>
        <v>6</v>
      </c>
      <c r="Z35" s="30">
        <f>IFERROR(AVERAGEIFS(AllData[Nitrate (PPM)], AllData[Site Name], B35, AllData[Season], "Winter", AllData[Year], "2023"), "")</f>
        <v>11.166666666666666</v>
      </c>
      <c r="AA35" s="32">
        <f t="shared" si="8"/>
        <v>0.43001016354060784</v>
      </c>
      <c r="AB35" s="31">
        <f>IFERROR(AVERAGEIFS(AllData[Phosphate (PPM)], AllData[Site Name], B35, AllData[Season], "Winter", AllData[Year], "2023"),"")</f>
        <v>0.52333333333333332</v>
      </c>
      <c r="AC35" s="32">
        <f t="shared" si="9"/>
        <v>-9.1098190566889004E-2</v>
      </c>
      <c r="AD35" s="52">
        <f>COUNTIFS(AllData[Site Name], Tables!B35, AllData[Season], "Spring", AllData[Year], "2024")</f>
        <v>0</v>
      </c>
      <c r="AE35" s="30" t="str">
        <f>IFERROR(AVERAGEIFS(AllData[Nitrate (PPM)], AllData[Site Name], B35, AllData[Season], "Spring", AllData[Year], "2024"), "")</f>
        <v/>
      </c>
      <c r="AF35" s="32" t="str">
        <f t="shared" si="10"/>
        <v/>
      </c>
      <c r="AG35" s="31" t="str">
        <f>IFERROR(AVERAGEIFS(AllData[Phosphate (PPM)], AllData[Site Name], B35, AllData[Season], "Spring", AllData[Year], "2024"),"")</f>
        <v/>
      </c>
      <c r="AH35" s="34" t="str">
        <f t="shared" si="11"/>
        <v/>
      </c>
      <c r="AI35" s="33">
        <f>COUNTIFS(AllData[Site Name], Tables!B35, AllData[Season], "Summer", AllData[Year], "2024")</f>
        <v>0</v>
      </c>
      <c r="AJ35" s="30" t="str">
        <f>IFERROR(AVERAGEIFS(AllData[Nitrate (PPM)], AllData[Site Name], B35, AllData[Season], "Summer", AllData[Year], "2024"), "")</f>
        <v/>
      </c>
      <c r="AK35" s="32" t="str">
        <f t="shared" si="12"/>
        <v/>
      </c>
      <c r="AL35" s="32" t="str">
        <f t="shared" si="13"/>
        <v/>
      </c>
      <c r="AM35" s="31" t="str">
        <f>IFERROR(AVERAGEIFS(AllData[Phosphate (PPM)], AllData[Site Name], B35, AllData[Season], "Summer", AllData[Year], "2024"),"")</f>
        <v/>
      </c>
      <c r="AN35" s="32" t="str">
        <f t="shared" si="14"/>
        <v/>
      </c>
      <c r="AO35" s="61" t="str">
        <f t="shared" si="15"/>
        <v/>
      </c>
    </row>
    <row r="36" spans="1:42" x14ac:dyDescent="0.25">
      <c r="A36" s="42"/>
      <c r="B36" s="13" t="s">
        <v>592</v>
      </c>
      <c r="C36" s="137">
        <f>IFERROR(AVERAGEIF(AllData[Site Name], Tables!B36, AllData[Latitude]), "Unknown")</f>
        <v>51.984954782608689</v>
      </c>
      <c r="D36" s="137">
        <f>IFERROR(AVERAGEIF(AllData[Site Name], Tables!B36, AllData[Longitude]), "Unknown")</f>
        <v>-2.1744283478260868</v>
      </c>
      <c r="E36" s="13" t="e" vm="1">
        <f>_xlfn.XLOOKUP(B36,LocationsKey[Site Name], LocationsKey[District])</f>
        <v>#VALUE!</v>
      </c>
      <c r="F36" s="13" t="e" vm="1">
        <f>_xlfn.XLOOKUP(B36,LocationsKey[Site Name], LocationsKey[Town])</f>
        <v>#VALUE!</v>
      </c>
      <c r="G36" s="28" t="str">
        <f>_xlfn.XLOOKUP(B36,LocationsKey[Site Name],LocationsKey[Waterway])</f>
        <v>Avon</v>
      </c>
      <c r="H36" s="29">
        <f>COUNTIF(AllData[Site Name], Tables!B36)</f>
        <v>24</v>
      </c>
      <c r="I36" s="30">
        <f t="shared" si="2"/>
        <v>10.333333333333334</v>
      </c>
      <c r="J36" s="31">
        <f t="shared" si="3"/>
        <v>0.58654545454545459</v>
      </c>
      <c r="K36" s="32" cm="1">
        <f t="array" ref="K36">SUM(COUNTIFS(AllData[Site Name], B36, AllData[Nitrate Pollution Category], {"High","Very high"}))/COUNTIFS(AllData[Site Name], B36, AllData[Nitrate (PPM)], "&lt;&gt;0")</f>
        <v>1</v>
      </c>
      <c r="L36" s="32" cm="1">
        <f t="array" ref="L36">SUM(COUNTIFS(AllData[Site Name], B36, AllData[Phosphate Pollution Category], {"High","Very high"}))/COUNTIFS(AllData[Site Name], B36, AllData[Phosphate (PPM)], "&lt;&gt;0")</f>
        <v>0.95833333333333337</v>
      </c>
      <c r="M36" s="33">
        <f t="shared" si="0"/>
        <v>3</v>
      </c>
      <c r="N36" s="33">
        <f t="shared" si="1"/>
        <v>33</v>
      </c>
      <c r="O36" s="29">
        <f>COUNTIFS(AllData[Site Name], Tables!B36, AllData[Season], "Summer", AllData[Year], "2023")</f>
        <v>0</v>
      </c>
      <c r="P36" s="30" t="str">
        <f>IFERROR(AVERAGEIFS(AllData[Nitrate (PPM)], AllData[Site Name], B36, AllData[Season], "Summer", AllData[Year], "2023"), "")</f>
        <v/>
      </c>
      <c r="Q36" s="32" t="str">
        <f t="shared" si="4"/>
        <v/>
      </c>
      <c r="R36" s="31" t="str">
        <f>IFERROR(AVERAGEIFS(AllData[Phosphate (PPM)], AllData[Site Name], B36, AllData[Season], "Summer", AllData[Year], "2023"),"")</f>
        <v/>
      </c>
      <c r="S36" s="34" t="str">
        <f t="shared" si="5"/>
        <v/>
      </c>
      <c r="T36" s="33">
        <f>COUNTIFS(AllData[Site Name], Tables!B36, AllData[Season], "Autumn", AllData[Year], "2023")</f>
        <v>0</v>
      </c>
      <c r="U36" s="30" t="str">
        <f>IFERROR(AVERAGEIFS(AllData[Nitrate (PPM)], AllData[Site Name], B36, AllData[Season], "Autumn", AllData[Year], "2023"), "")</f>
        <v/>
      </c>
      <c r="V36" s="32" t="str">
        <f t="shared" si="6"/>
        <v/>
      </c>
      <c r="W36" s="31" t="str">
        <f>IFERROR(AVERAGEIFS(AllData[Phosphate (PPM)], AllData[Site Name], B36, AllData[Season], "Autumn", AllData[Year], "2023"), "")</f>
        <v/>
      </c>
      <c r="X36" s="34" t="str">
        <f t="shared" si="7"/>
        <v/>
      </c>
      <c r="Y36" s="33">
        <f>COUNTIFS(AllData[Site Name], Tables!B36, AllData[Season], "Winter", AllData[Year], "2023")</f>
        <v>2</v>
      </c>
      <c r="Z36" s="30">
        <f>IFERROR(AVERAGEIFS(AllData[Nitrate (PPM)], AllData[Site Name], B36, AllData[Season], "Winter", AllData[Year], "2023"), "")</f>
        <v>10</v>
      </c>
      <c r="AA36" s="32">
        <f t="shared" si="8"/>
        <v>-3.2258064516129087E-2</v>
      </c>
      <c r="AB36" s="31">
        <f>IFERROR(AVERAGEIFS(AllData[Phosphate (PPM)], AllData[Site Name], B36, AllData[Season], "Winter", AllData[Year], "2023"),"")</f>
        <v>0.39500000000000002</v>
      </c>
      <c r="AC36" s="32">
        <f t="shared" si="9"/>
        <v>-0.3265654060756355</v>
      </c>
      <c r="AD36" s="52">
        <f>COUNTIFS(AllData[Site Name], Tables!B36, AllData[Season], "Spring", AllData[Year], "2024")</f>
        <v>10</v>
      </c>
      <c r="AE36" s="30">
        <f>IFERROR(AVERAGEIFS(AllData[Nitrate (PPM)], AllData[Site Name], B36, AllData[Season], "Spring", AllData[Year], "2024"), "")</f>
        <v>11</v>
      </c>
      <c r="AF36" s="32">
        <f t="shared" si="10"/>
        <v>6.4516129032258007E-2</v>
      </c>
      <c r="AG36" s="31">
        <f>IFERROR(AVERAGEIFS(AllData[Phosphate (PPM)], AllData[Site Name], B36, AllData[Season], "Spring", AllData[Year], "2024"),"")</f>
        <v>0.47099999999999992</v>
      </c>
      <c r="AH36" s="34">
        <f t="shared" si="11"/>
        <v>-0.19699318040917566</v>
      </c>
      <c r="AI36" s="33">
        <f>COUNTIFS(AllData[Site Name], Tables!B36, AllData[Season], "Summer", AllData[Year], "2024")</f>
        <v>11</v>
      </c>
      <c r="AJ36" s="30">
        <f>IFERROR(AVERAGEIFS(AllData[Nitrate (PPM)], AllData[Site Name], B36, AllData[Season], "Summer", AllData[Year], "2024"), "")</f>
        <v>10</v>
      </c>
      <c r="AK36" s="32">
        <f t="shared" si="12"/>
        <v>-3.2258064516129087E-2</v>
      </c>
      <c r="AL36" s="32" t="str">
        <f t="shared" si="13"/>
        <v/>
      </c>
      <c r="AM36" s="31">
        <f>IFERROR(AVERAGEIFS(AllData[Phosphate (PPM)], AllData[Site Name], B36, AllData[Season], "Summer", AllData[Year], "2024"),"")</f>
        <v>0.89363636363636378</v>
      </c>
      <c r="AN36" s="32">
        <f t="shared" si="14"/>
        <v>0.52355858648481102</v>
      </c>
      <c r="AO36" s="61" t="str">
        <f t="shared" si="15"/>
        <v/>
      </c>
      <c r="AP36" s="218"/>
    </row>
    <row r="37" spans="1:42" x14ac:dyDescent="0.25">
      <c r="A37" s="42"/>
      <c r="B37" s="13" t="s">
        <v>216</v>
      </c>
      <c r="C37" s="137">
        <f>IFERROR(AVERAGEIF(AllData[Site Name], Tables!B37, AllData[Latitude]), "Unknown")</f>
        <v>52.183699000000011</v>
      </c>
      <c r="D37" s="137">
        <f>IFERROR(AVERAGEIF(AllData[Site Name], Tables!B37, AllData[Longitude]), "Unknown")</f>
        <v>-1.7078160000000004</v>
      </c>
      <c r="E37" s="13" t="e" vm="2">
        <f>_xlfn.XLOOKUP(B37,LocationsKey[Site Name], LocationsKey[District])</f>
        <v>#VALUE!</v>
      </c>
      <c r="F37" s="13" t="e" vm="7">
        <f>_xlfn.XLOOKUP(B37,LocationsKey[Site Name], LocationsKey[Town])</f>
        <v>#VALUE!</v>
      </c>
      <c r="G37" s="28" t="str">
        <f>_xlfn.XLOOKUP(B37,LocationsKey[Site Name],LocationsKey[Waterway])</f>
        <v>Avon</v>
      </c>
      <c r="H37" s="29">
        <f>COUNTIF(AllData[Site Name], Tables!B37)</f>
        <v>23</v>
      </c>
      <c r="I37" s="30">
        <f t="shared" si="2"/>
        <v>8.0437499999999993</v>
      </c>
      <c r="J37" s="31">
        <f t="shared" si="3"/>
        <v>0.4336875</v>
      </c>
      <c r="K37" s="32" cm="1">
        <f t="array" ref="K37">SUM(COUNTIFS(AllData[Site Name], B37, AllData[Nitrate Pollution Category], {"High","Very high"}))/COUNTIFS(AllData[Site Name], B37, AllData[Nitrate (PPM)], "&lt;&gt;0")</f>
        <v>1</v>
      </c>
      <c r="L37" s="32" cm="1">
        <f t="array" ref="L37">SUM(COUNTIFS(AllData[Site Name], B37, AllData[Phosphate Pollution Category], {"High","Very high"}))/COUNTIFS(AllData[Site Name], B37, AllData[Phosphate (PPM)], "&lt;&gt;0")</f>
        <v>0.95652173913043481</v>
      </c>
      <c r="M37" s="33">
        <f t="shared" si="0"/>
        <v>13</v>
      </c>
      <c r="N37" s="33">
        <f t="shared" si="1"/>
        <v>52</v>
      </c>
      <c r="O37" s="29">
        <f>COUNTIFS(AllData[Site Name], Tables!B37, AllData[Season], "Summer", AllData[Year], "2023")</f>
        <v>0</v>
      </c>
      <c r="P37" s="30" t="str">
        <f>IFERROR(AVERAGEIFS(AllData[Nitrate (PPM)], AllData[Site Name], B37, AllData[Season], "Summer", AllData[Year], "2023"), "")</f>
        <v/>
      </c>
      <c r="Q37" s="32" t="str">
        <f t="shared" si="4"/>
        <v/>
      </c>
      <c r="R37" s="31" t="str">
        <f>IFERROR(AVERAGEIFS(AllData[Phosphate (PPM)], AllData[Site Name], B37, AllData[Season], "Summer", AllData[Year], "2023"),"")</f>
        <v/>
      </c>
      <c r="S37" s="34" t="str">
        <f t="shared" si="5"/>
        <v/>
      </c>
      <c r="T37" s="33">
        <f>COUNTIFS(AllData[Site Name], Tables!B37, AllData[Season], "Autumn", AllData[Year], "2023")</f>
        <v>8</v>
      </c>
      <c r="U37" s="30">
        <f>IFERROR(AVERAGEIFS(AllData[Nitrate (PPM)], AllData[Site Name], B37, AllData[Season], "Autumn", AllData[Year], "2023"), "")</f>
        <v>10.625</v>
      </c>
      <c r="V37" s="32">
        <f t="shared" si="6"/>
        <v>0.32090132090132101</v>
      </c>
      <c r="W37" s="31">
        <f>IFERROR(AVERAGEIFS(AllData[Phosphate (PPM)], AllData[Site Name], B37, AllData[Season], "Autumn", AllData[Year], "2023"), "")</f>
        <v>0.59375</v>
      </c>
      <c r="X37" s="34">
        <f t="shared" si="7"/>
        <v>0.36907335350915116</v>
      </c>
      <c r="Y37" s="33">
        <f>COUNTIFS(AllData[Site Name], Tables!B37, AllData[Season], "Winter", AllData[Year], "2023")</f>
        <v>4</v>
      </c>
      <c r="Z37" s="30">
        <f>IFERROR(AVERAGEIFS(AllData[Nitrate (PPM)], AllData[Site Name], B37, AllData[Season], "Winter", AllData[Year], "2023"), "")</f>
        <v>11.25</v>
      </c>
      <c r="AA37" s="32">
        <f t="shared" si="8"/>
        <v>0.3986013986013987</v>
      </c>
      <c r="AB37" s="31">
        <f>IFERROR(AVERAGEIFS(AllData[Phosphate (PPM)], AllData[Site Name], B37, AllData[Season], "Winter", AllData[Year], "2023"),"")</f>
        <v>0.375</v>
      </c>
      <c r="AC37" s="32">
        <f t="shared" si="9"/>
        <v>-0.13532209252053612</v>
      </c>
      <c r="AD37" s="52">
        <f>COUNTIFS(AllData[Site Name], Tables!B37, AllData[Season], "Spring", AllData[Year], "2024")</f>
        <v>10</v>
      </c>
      <c r="AE37" s="30">
        <f>IFERROR(AVERAGEIFS(AllData[Nitrate (PPM)], AllData[Site Name], B37, AllData[Season], "Spring", AllData[Year], "2024"), "")</f>
        <v>5.3</v>
      </c>
      <c r="AF37" s="32">
        <f t="shared" si="10"/>
        <v>-0.34110334110334106</v>
      </c>
      <c r="AG37" s="31">
        <f>IFERROR(AVERAGEIFS(AllData[Phosphate (PPM)], AllData[Site Name], B37, AllData[Season], "Spring", AllData[Year], "2024"),"")</f>
        <v>0.25600000000000006</v>
      </c>
      <c r="AH37" s="34"/>
      <c r="AI37" s="33">
        <f>COUNTIFS(AllData[Site Name], Tables!B37, AllData[Season], "Summer", AllData[Year], "2024")</f>
        <v>1</v>
      </c>
      <c r="AJ37" s="30">
        <f>IFERROR(AVERAGEIFS(AllData[Nitrate (PPM)], AllData[Site Name], B37, AllData[Season], "Summer", AllData[Year], "2024"), "")</f>
        <v>5</v>
      </c>
      <c r="AK37" s="32">
        <f t="shared" si="12"/>
        <v>-0.37839937839937837</v>
      </c>
      <c r="AL37" s="32" t="str">
        <f t="shared" si="13"/>
        <v/>
      </c>
      <c r="AM37" s="31">
        <f>IFERROR(AVERAGEIFS(AllData[Phosphate (PPM)], AllData[Site Name], B37, AllData[Season], "Summer", AllData[Year], "2024"),"")</f>
        <v>0.51</v>
      </c>
      <c r="AN37" s="32">
        <f t="shared" si="14"/>
        <v>0.17596195417207092</v>
      </c>
      <c r="AO37" s="61" t="str">
        <f t="shared" si="15"/>
        <v/>
      </c>
    </row>
    <row r="38" spans="1:42" x14ac:dyDescent="0.25">
      <c r="A38" s="42"/>
      <c r="B38" s="13" t="s">
        <v>845</v>
      </c>
      <c r="C38" s="137">
        <f>IFERROR(AVERAGEIF(AllData[Site Name], Tables!B38, AllData[Latitude]), "Unknown")</f>
        <v>52.15202992857143</v>
      </c>
      <c r="D38" s="137">
        <f>IFERROR(AVERAGEIF(AllData[Site Name], Tables!B38, AllData[Longitude]), "Unknown")</f>
        <v>-2.0954780000000004</v>
      </c>
      <c r="E38" s="13" t="e" vm="17">
        <f>_xlfn.XLOOKUP(B38,LocationsKey[Site Name], LocationsKey[District])</f>
        <v>#VALUE!</v>
      </c>
      <c r="F38" s="13" t="str">
        <f>_xlfn.XLOOKUP(B38,LocationsKey[Site Name], LocationsKey[Town])</f>
        <v>Peopleton</v>
      </c>
      <c r="G38" s="28" t="str">
        <f>_xlfn.XLOOKUP(B38,LocationsKey[Site Name],LocationsKey[Waterway])</f>
        <v>Bow Brook</v>
      </c>
      <c r="H38" s="29">
        <f>COUNTIF(AllData[Site Name], Tables!B38)</f>
        <v>14</v>
      </c>
      <c r="I38" s="30">
        <f t="shared" si="2"/>
        <v>4.9285714285714288</v>
      </c>
      <c r="J38" s="31">
        <f t="shared" si="3"/>
        <v>0.73642857142857154</v>
      </c>
      <c r="K38" s="32" cm="1">
        <f t="array" ref="K38">SUM(COUNTIFS(AllData[Site Name], B38, AllData[Nitrate Pollution Category], {"High","Very high"}))/COUNTIFS(AllData[Site Name], B38, AllData[Nitrate (PPM)], "&lt;&gt;0")</f>
        <v>0.9285714285714286</v>
      </c>
      <c r="L38" s="32" cm="1">
        <f t="array" ref="L38">SUM(COUNTIFS(AllData[Site Name], B38, AllData[Phosphate Pollution Category], {"High","Very high"}))/COUNTIFS(AllData[Site Name], B38, AllData[Phosphate (PPM)], "&lt;&gt;0")</f>
        <v>0.9285714285714286</v>
      </c>
      <c r="M38" s="33">
        <f t="shared" si="0"/>
        <v>49</v>
      </c>
      <c r="N38" s="33">
        <f t="shared" si="1"/>
        <v>22</v>
      </c>
      <c r="O38" s="29">
        <f>COUNTIFS(AllData[Site Name], Tables!B38, AllData[Season], "Summer", AllData[Year], "2023")</f>
        <v>0</v>
      </c>
      <c r="P38" s="30" t="str">
        <f>IFERROR(AVERAGEIFS(AllData[Nitrate (PPM)], AllData[Site Name], B38, AllData[Season], "Summer", AllData[Year], "2023"), "")</f>
        <v/>
      </c>
      <c r="Q38" s="32" t="str">
        <f t="shared" si="4"/>
        <v/>
      </c>
      <c r="R38" s="31" t="str">
        <f>IFERROR(AVERAGEIFS(AllData[Phosphate (PPM)], AllData[Site Name], B38, AllData[Season], "Summer", AllData[Year], "2023"),"")</f>
        <v/>
      </c>
      <c r="S38" s="34" t="str">
        <f t="shared" si="5"/>
        <v/>
      </c>
      <c r="T38" s="33">
        <f>COUNTIFS(AllData[Site Name], Tables!B38, AllData[Season], "Autumn", AllData[Year], "2023")</f>
        <v>0</v>
      </c>
      <c r="U38" s="30" t="str">
        <f>IFERROR(AVERAGEIFS(AllData[Nitrate (PPM)], AllData[Site Name], B38, AllData[Season], "Autumn", AllData[Year], "2023"), "")</f>
        <v/>
      </c>
      <c r="V38" s="32" t="str">
        <f t="shared" si="6"/>
        <v/>
      </c>
      <c r="W38" s="31" t="str">
        <f>IFERROR(AVERAGEIFS(AllData[Phosphate (PPM)], AllData[Site Name], B38, AllData[Season], "Autumn", AllData[Year], "2023"), "")</f>
        <v/>
      </c>
      <c r="X38" s="34" t="str">
        <f t="shared" si="7"/>
        <v/>
      </c>
      <c r="Y38" s="33">
        <f>COUNTIFS(AllData[Site Name], Tables!B38, AllData[Season], "Winter", AllData[Year], "2023")</f>
        <v>1</v>
      </c>
      <c r="Z38" s="30" t="str">
        <f>IFERROR(AVERAGEIFS(AllData[Nitrate (PPM)], AllData[Site Name], B38, AllData[Season], "Winter", AllData[Year], "2023"), "")</f>
        <v/>
      </c>
      <c r="AA38" s="32" t="str">
        <f t="shared" si="8"/>
        <v/>
      </c>
      <c r="AB38" s="31">
        <f>IFERROR(AVERAGEIFS(AllData[Phosphate (PPM)], AllData[Site Name], B38, AllData[Season], "Winter", AllData[Year], "2023"),"")</f>
        <v>0.21</v>
      </c>
      <c r="AC38" s="32">
        <f t="shared" si="9"/>
        <v>-0.71483996120271587</v>
      </c>
      <c r="AD38" s="52">
        <f>COUNTIFS(AllData[Site Name], Tables!B38, AllData[Season], "Spring", AllData[Year], "2024")</f>
        <v>7</v>
      </c>
      <c r="AE38" s="30">
        <f>IFERROR(AVERAGEIFS(AllData[Nitrate (PPM)], AllData[Site Name], B38, AllData[Season], "Spring", AllData[Year], "2024"), "")</f>
        <v>4.8571428571428568</v>
      </c>
      <c r="AF38" s="32">
        <f t="shared" si="10"/>
        <v>-1.4492753623188534E-2</v>
      </c>
      <c r="AG38" s="31">
        <f>IFERROR(AVERAGEIFS(AllData[Phosphate (PPM)], AllData[Site Name], B38, AllData[Season], "Spring", AllData[Year], "2024"),"")</f>
        <v>0.92428571428571427</v>
      </c>
      <c r="AH38" s="34">
        <f t="shared" si="11"/>
        <v>0.2550921435499513</v>
      </c>
      <c r="AI38" s="33">
        <f>COUNTIFS(AllData[Site Name], Tables!B38, AllData[Season], "Summer", AllData[Year], "2024")</f>
        <v>6</v>
      </c>
      <c r="AJ38" s="30">
        <f>IFERROR(AVERAGEIFS(AllData[Nitrate (PPM)], AllData[Site Name], B38, AllData[Season], "Summer", AllData[Year], "2024"), "")</f>
        <v>5</v>
      </c>
      <c r="AK38" s="32">
        <f t="shared" si="12"/>
        <v>1.4492753623188354E-2</v>
      </c>
      <c r="AL38" s="32" t="str">
        <f t="shared" si="13"/>
        <v/>
      </c>
      <c r="AM38" s="31">
        <f>IFERROR(AVERAGEIFS(AllData[Phosphate (PPM)], AllData[Site Name], B38, AllData[Season], "Summer", AllData[Year], "2024"),"")</f>
        <v>1.075</v>
      </c>
      <c r="AN38" s="32">
        <f t="shared" si="14"/>
        <v>0.45974781765276401</v>
      </c>
      <c r="AO38" s="61" t="str">
        <f t="shared" si="15"/>
        <v/>
      </c>
    </row>
    <row r="39" spans="1:42" x14ac:dyDescent="0.25">
      <c r="A39" s="42"/>
      <c r="B39" s="13" t="s">
        <v>865</v>
      </c>
      <c r="C39" s="137">
        <f>IFERROR(AVERAGEIF(AllData[Site Name], Tables!B39, AllData[Latitude]), "Unknown")</f>
        <v>52.104196285714281</v>
      </c>
      <c r="D39" s="137">
        <f>IFERROR(AVERAGEIF(AllData[Site Name], Tables!B39, AllData[Longitude]), "Unknown")</f>
        <v>-2.0709292857142856</v>
      </c>
      <c r="E39" s="13" t="e" vm="17">
        <f>_xlfn.XLOOKUP(B39,LocationsKey[Site Name], LocationsKey[District])</f>
        <v>#VALUE!</v>
      </c>
      <c r="F39" s="13" t="e" vm="18">
        <f>_xlfn.XLOOKUP(B39,LocationsKey[Site Name], LocationsKey[Town])</f>
        <v>#VALUE!</v>
      </c>
      <c r="G39" s="28" t="str">
        <f>_xlfn.XLOOKUP(B39,LocationsKey[Site Name],LocationsKey[Waterway])</f>
        <v>Avon</v>
      </c>
      <c r="H39" s="29">
        <f>COUNTIF(AllData[Site Name], Tables!B39)</f>
        <v>7</v>
      </c>
      <c r="I39" s="30">
        <f t="shared" si="2"/>
        <v>7.25</v>
      </c>
      <c r="J39" s="31">
        <f t="shared" si="3"/>
        <v>0.57150000000000001</v>
      </c>
      <c r="K39" s="32" cm="1">
        <f t="array" ref="K39">SUM(COUNTIFS(AllData[Site Name], B39, AllData[Nitrate Pollution Category], {"High","Very high"}))/COUNTIFS(AllData[Site Name], B39, AllData[Nitrate (PPM)], "&lt;&gt;0")</f>
        <v>1</v>
      </c>
      <c r="L39" s="32" cm="1">
        <f t="array" ref="L39">SUM(COUNTIFS(AllData[Site Name], B39, AllData[Phosphate Pollution Category], {"High","Very high"}))/COUNTIFS(AllData[Site Name], B39, AllData[Phosphate (PPM)], "&lt;&gt;0")</f>
        <v>1</v>
      </c>
      <c r="M39" s="33">
        <f t="shared" si="0"/>
        <v>26</v>
      </c>
      <c r="N39" s="33">
        <f t="shared" si="1"/>
        <v>38</v>
      </c>
      <c r="O39" s="29">
        <f>COUNTIFS(AllData[Site Name], Tables!B39, AllData[Season], "Summer", AllData[Year], "2023")</f>
        <v>0</v>
      </c>
      <c r="P39" s="30" t="str">
        <f>IFERROR(AVERAGEIFS(AllData[Nitrate (PPM)], AllData[Site Name], B39, AllData[Season], "Summer", AllData[Year], "2023"), "")</f>
        <v/>
      </c>
      <c r="Q39" s="32" t="str">
        <f t="shared" si="4"/>
        <v/>
      </c>
      <c r="R39" s="31" t="str">
        <f>IFERROR(AVERAGEIFS(AllData[Phosphate (PPM)], AllData[Site Name], B39, AllData[Season], "Summer", AllData[Year], "2023"),"")</f>
        <v/>
      </c>
      <c r="S39" s="34" t="str">
        <f t="shared" si="5"/>
        <v/>
      </c>
      <c r="T39" s="33">
        <f>COUNTIFS(AllData[Site Name], Tables!B39, AllData[Season], "Autumn", AllData[Year], "2023")</f>
        <v>0</v>
      </c>
      <c r="U39" s="30" t="str">
        <f>IFERROR(AVERAGEIFS(AllData[Nitrate (PPM)], AllData[Site Name], B39, AllData[Season], "Autumn", AllData[Year], "2023"), "")</f>
        <v/>
      </c>
      <c r="V39" s="32" t="str">
        <f t="shared" si="6"/>
        <v/>
      </c>
      <c r="W39" s="31" t="str">
        <f>IFERROR(AVERAGEIFS(AllData[Phosphate (PPM)], AllData[Site Name], B39, AllData[Season], "Autumn", AllData[Year], "2023"), "")</f>
        <v/>
      </c>
      <c r="X39" s="34" t="str">
        <f t="shared" si="7"/>
        <v/>
      </c>
      <c r="Y39" s="33">
        <f>COUNTIFS(AllData[Site Name], Tables!B39, AllData[Season], "Winter", AllData[Year], "2023")</f>
        <v>2</v>
      </c>
      <c r="Z39" s="30">
        <f>IFERROR(AVERAGEIFS(AllData[Nitrate (PPM)], AllData[Site Name], B39, AllData[Season], "Winter", AllData[Year], "2023"), "")</f>
        <v>7.5</v>
      </c>
      <c r="AA39" s="32">
        <f t="shared" si="8"/>
        <v>3.4482758620689655E-2</v>
      </c>
      <c r="AB39" s="31">
        <f>IFERROR(AVERAGEIFS(AllData[Phosphate (PPM)], AllData[Site Name], B39, AllData[Season], "Winter", AllData[Year], "2023"),"")</f>
        <v>0.60499999999999998</v>
      </c>
      <c r="AC39" s="32">
        <f t="shared" si="9"/>
        <v>5.861767279090109E-2</v>
      </c>
      <c r="AD39" s="52">
        <f>COUNTIFS(AllData[Site Name], Tables!B39, AllData[Season], "Spring", AllData[Year], "2024")</f>
        <v>5</v>
      </c>
      <c r="AE39" s="30">
        <f>IFERROR(AVERAGEIFS(AllData[Nitrate (PPM)], AllData[Site Name], B39, AllData[Season], "Spring", AllData[Year], "2024"), "")</f>
        <v>7</v>
      </c>
      <c r="AF39" s="32">
        <f t="shared" si="10"/>
        <v>-3.4482758620689655E-2</v>
      </c>
      <c r="AG39" s="31">
        <f>IFERROR(AVERAGEIFS(AllData[Phosphate (PPM)], AllData[Site Name], B39, AllData[Season], "Spring", AllData[Year], "2024"),"")</f>
        <v>0.53800000000000003</v>
      </c>
      <c r="AH39" s="34">
        <f t="shared" si="11"/>
        <v>-5.861767279090109E-2</v>
      </c>
      <c r="AI39" s="33">
        <f>COUNTIFS(AllData[Site Name], Tables!B39, AllData[Season], "Summer", AllData[Year], "2024")</f>
        <v>0</v>
      </c>
      <c r="AJ39" s="30" t="str">
        <f>IFERROR(AVERAGEIFS(AllData[Nitrate (PPM)], AllData[Site Name], B39, AllData[Season], "Summer", AllData[Year], "2024"), "")</f>
        <v/>
      </c>
      <c r="AK39" s="32" t="str">
        <f t="shared" si="12"/>
        <v/>
      </c>
      <c r="AL39" s="32" t="str">
        <f t="shared" si="13"/>
        <v/>
      </c>
      <c r="AM39" s="31" t="str">
        <f>IFERROR(AVERAGEIFS(AllData[Phosphate (PPM)], AllData[Site Name], B39, AllData[Season], "Summer", AllData[Year], "2024"),"")</f>
        <v/>
      </c>
      <c r="AN39" s="32" t="str">
        <f t="shared" si="14"/>
        <v/>
      </c>
      <c r="AO39" s="61" t="str">
        <f t="shared" si="15"/>
        <v/>
      </c>
    </row>
    <row r="40" spans="1:42" x14ac:dyDescent="0.25">
      <c r="A40" s="42"/>
      <c r="B40" s="13" t="s">
        <v>1585</v>
      </c>
      <c r="C40" s="137">
        <f>IFERROR(AVERAGEIF(AllData[Site Name], Tables!B40, AllData[Latitude]), "Unknown")</f>
        <v>52.108220000000003</v>
      </c>
      <c r="D40" s="137">
        <f>IFERROR(AVERAGEIF(AllData[Site Name], Tables!B40, AllData[Longitude]), "Unknown")</f>
        <v>-2.0715195</v>
      </c>
      <c r="E40" s="13" t="e" vm="17">
        <f>_xlfn.XLOOKUP(B40,LocationsKey[Site Name], LocationsKey[District])</f>
        <v>#VALUE!</v>
      </c>
      <c r="F40" s="13" t="e" vm="18">
        <f>_xlfn.XLOOKUP(B40,LocationsKey[Site Name], LocationsKey[Town])</f>
        <v>#VALUE!</v>
      </c>
      <c r="G40" s="28" t="str">
        <f>_xlfn.XLOOKUP(B40,LocationsKey[Site Name],LocationsKey[Waterway])</f>
        <v>Avon</v>
      </c>
      <c r="H40" s="29">
        <f>COUNTIF(AllData[Site Name], Tables!B40)</f>
        <v>2</v>
      </c>
      <c r="I40" s="30">
        <f t="shared" si="2"/>
        <v>7.5</v>
      </c>
      <c r="J40" s="31">
        <f t="shared" si="3"/>
        <v>0.58000000000000007</v>
      </c>
      <c r="K40" s="32" cm="1">
        <f t="array" ref="K40">SUM(COUNTIFS(AllData[Site Name], B40, AllData[Nitrate Pollution Category], {"High","Very high"}))/COUNTIFS(AllData[Site Name], B40, AllData[Nitrate (PPM)], "&lt;&gt;0")</f>
        <v>1</v>
      </c>
      <c r="L40" s="32" cm="1">
        <f t="array" ref="L40">SUM(COUNTIFS(AllData[Site Name], B40, AllData[Phosphate Pollution Category], {"High","Very high"}))/COUNTIFS(AllData[Site Name], B40, AllData[Phosphate (PPM)], "&lt;&gt;0")</f>
        <v>1</v>
      </c>
      <c r="M40" s="33">
        <f t="shared" si="0"/>
        <v>21</v>
      </c>
      <c r="N40" s="33">
        <f t="shared" si="1"/>
        <v>35</v>
      </c>
      <c r="O40" s="29">
        <f>COUNTIFS(AllData[Site Name], Tables!B40, AllData[Season], "Summer", AllData[Year], "2023")</f>
        <v>0</v>
      </c>
      <c r="P40" s="30" t="str">
        <f>IFERROR(AVERAGEIFS(AllData[Nitrate (PPM)], AllData[Site Name], B40, AllData[Season], "Summer", AllData[Year], "2023"), "")</f>
        <v/>
      </c>
      <c r="Q40" s="32" t="str">
        <f t="shared" si="4"/>
        <v/>
      </c>
      <c r="R40" s="31" t="str">
        <f>IFERROR(AVERAGEIFS(AllData[Phosphate (PPM)], AllData[Site Name], B40, AllData[Season], "Summer", AllData[Year], "2023"),"")</f>
        <v/>
      </c>
      <c r="S40" s="34" t="str">
        <f t="shared" si="5"/>
        <v/>
      </c>
      <c r="T40" s="33">
        <f>COUNTIFS(AllData[Site Name], Tables!B40, AllData[Season], "Autumn", AllData[Year], "2023")</f>
        <v>0</v>
      </c>
      <c r="U40" s="30" t="str">
        <f>IFERROR(AVERAGEIFS(AllData[Nitrate (PPM)], AllData[Site Name], B40, AllData[Season], "Autumn", AllData[Year], "2023"), "")</f>
        <v/>
      </c>
      <c r="V40" s="32" t="str">
        <f t="shared" si="6"/>
        <v/>
      </c>
      <c r="W40" s="31" t="str">
        <f>IFERROR(AVERAGEIFS(AllData[Phosphate (PPM)], AllData[Site Name], B40, AllData[Season], "Autumn", AllData[Year], "2023"), "")</f>
        <v/>
      </c>
      <c r="X40" s="34" t="str">
        <f t="shared" si="7"/>
        <v/>
      </c>
      <c r="Y40" s="33">
        <f>COUNTIFS(AllData[Site Name], Tables!B40, AllData[Season], "Winter", AllData[Year], "2023")</f>
        <v>2</v>
      </c>
      <c r="Z40" s="30">
        <f>IFERROR(AVERAGEIFS(AllData[Nitrate (PPM)], AllData[Site Name], B40, AllData[Season], "Winter", AllData[Year], "2023"), "")</f>
        <v>7.5</v>
      </c>
      <c r="AA40" s="32">
        <f t="shared" si="8"/>
        <v>0</v>
      </c>
      <c r="AB40" s="31">
        <f>IFERROR(AVERAGEIFS(AllData[Phosphate (PPM)], AllData[Site Name], B40, AllData[Season], "Winter", AllData[Year], "2023"),"")</f>
        <v>0.58000000000000007</v>
      </c>
      <c r="AC40" s="32">
        <f t="shared" si="9"/>
        <v>0</v>
      </c>
      <c r="AD40" s="52">
        <f>COUNTIFS(AllData[Site Name], Tables!B40, AllData[Season], "Spring", AllData[Year], "2024")</f>
        <v>0</v>
      </c>
      <c r="AE40" s="30" t="str">
        <f>IFERROR(AVERAGEIFS(AllData[Nitrate (PPM)], AllData[Site Name], B40, AllData[Season], "Spring", AllData[Year], "2024"), "")</f>
        <v/>
      </c>
      <c r="AF40" s="32" t="str">
        <f t="shared" si="10"/>
        <v/>
      </c>
      <c r="AG40" s="31" t="str">
        <f>IFERROR(AVERAGEIFS(AllData[Phosphate (PPM)], AllData[Site Name], B40, AllData[Season], "Spring", AllData[Year], "2024"),"")</f>
        <v/>
      </c>
      <c r="AH40" s="34" t="str">
        <f t="shared" si="11"/>
        <v/>
      </c>
      <c r="AI40" s="33">
        <f>COUNTIFS(AllData[Site Name], Tables!B40, AllData[Season], "Summer", AllData[Year], "2024")</f>
        <v>0</v>
      </c>
      <c r="AJ40" s="30" t="str">
        <f>IFERROR(AVERAGEIFS(AllData[Nitrate (PPM)], AllData[Site Name], B40, AllData[Season], "Summer", AllData[Year], "2024"), "")</f>
        <v/>
      </c>
      <c r="AK40" s="32" t="str">
        <f t="shared" si="12"/>
        <v/>
      </c>
      <c r="AL40" s="32" t="str">
        <f t="shared" si="13"/>
        <v/>
      </c>
      <c r="AM40" s="31" t="str">
        <f>IFERROR(AVERAGEIFS(AllData[Phosphate (PPM)], AllData[Site Name], B40, AllData[Season], "Summer", AllData[Year], "2024"),"")</f>
        <v/>
      </c>
      <c r="AN40" s="32" t="str">
        <f t="shared" si="14"/>
        <v/>
      </c>
      <c r="AO40" s="61" t="str">
        <f t="shared" si="15"/>
        <v/>
      </c>
    </row>
    <row r="41" spans="1:42" x14ac:dyDescent="0.25">
      <c r="A41" s="42"/>
      <c r="B41" s="13" t="s">
        <v>1541</v>
      </c>
      <c r="C41" s="137">
        <f>IFERROR(AVERAGEIF(AllData[Site Name], Tables!B41, AllData[Latitude]), "Unknown")</f>
        <v>52.148406999999999</v>
      </c>
      <c r="D41" s="137">
        <f>IFERROR(AVERAGEIF(AllData[Site Name], Tables!B41, AllData[Longitude]), "Unknown")</f>
        <v>-2.055247</v>
      </c>
      <c r="E41" s="13" t="e" vm="17">
        <f>_xlfn.XLOOKUP(B41,LocationsKey[Site Name], LocationsKey[District])</f>
        <v>#VALUE!</v>
      </c>
      <c r="F41" s="13" t="str">
        <f>_xlfn.XLOOKUP(B41,LocationsKey[Site Name], LocationsKey[Town])</f>
        <v>Tilesford</v>
      </c>
      <c r="G41" s="28" t="str">
        <f>_xlfn.XLOOKUP(B41,LocationsKey[Site Name],LocationsKey[Waterway])</f>
        <v>Piddle Brook</v>
      </c>
      <c r="H41" s="29">
        <f>COUNTIF(AllData[Site Name], Tables!B41)</f>
        <v>1</v>
      </c>
      <c r="I41" s="30">
        <f t="shared" ref="I41:I43" si="18">AVERAGE(P41,U41,Z41,AE41,AJ41)</f>
        <v>8</v>
      </c>
      <c r="J41" s="31">
        <f t="shared" ref="J41:J43" si="19">AVERAGE(R41,W41,AB41,AG41, AM41)</f>
        <v>1.32</v>
      </c>
      <c r="K41" s="32" cm="1">
        <f t="array" ref="K41">SUM(COUNTIFS(AllData[Site Name], B41, AllData[Nitrate Pollution Category], {"High","Very high"}))/COUNTIFS(AllData[Site Name], B41, AllData[Nitrate (PPM)], "&lt;&gt;0")</f>
        <v>1</v>
      </c>
      <c r="L41" s="32" cm="1">
        <f t="array" ref="L41">SUM(COUNTIFS(AllData[Site Name], B41, AllData[Phosphate Pollution Category], {"High","Very high"}))/COUNTIFS(AllData[Site Name], B41, AllData[Phosphate (PPM)], "&lt;&gt;0")</f>
        <v>1</v>
      </c>
      <c r="M41" s="33">
        <f t="shared" si="0"/>
        <v>14</v>
      </c>
      <c r="N41" s="33">
        <f t="shared" si="1"/>
        <v>9</v>
      </c>
      <c r="O41" s="29">
        <f>COUNTIFS(AllData[Site Name], Tables!B41, AllData[Season], "Summer", AllData[Year], "2023")</f>
        <v>0</v>
      </c>
      <c r="P41" s="30"/>
      <c r="Q41" s="32"/>
      <c r="R41" s="31"/>
      <c r="S41" s="34"/>
      <c r="T41" s="33">
        <f>COUNTIFS(AllData[Site Name], Tables!B41, AllData[Season], "Autumn", AllData[Year], "2023")</f>
        <v>0</v>
      </c>
      <c r="U41" s="30"/>
      <c r="V41" s="32"/>
      <c r="W41" s="31"/>
      <c r="X41" s="34"/>
      <c r="Y41" s="33">
        <f>COUNTIFS(AllData[Site Name], Tables!B41, AllData[Season], "Winter", AllData[Year], "2023")</f>
        <v>0</v>
      </c>
      <c r="Z41" s="30"/>
      <c r="AA41" s="32"/>
      <c r="AB41" s="31"/>
      <c r="AC41" s="32"/>
      <c r="AD41" s="52">
        <f>COUNTIFS(AllData[Site Name], Tables!B41, AllData[Season], "Spring", AllData[Year], "2024")</f>
        <v>0</v>
      </c>
      <c r="AE41" s="30"/>
      <c r="AF41" s="32"/>
      <c r="AG41" s="31"/>
      <c r="AH41" s="34"/>
      <c r="AI41" s="33">
        <f>COUNTIFS(AllData[Site Name], Tables!B41, AllData[Season], "Summer", AllData[Year], "2024")</f>
        <v>1</v>
      </c>
      <c r="AJ41" s="30">
        <f>IFERROR(AVERAGEIFS(AllData[Nitrate (PPM)], AllData[Site Name], B41, AllData[Season], "Summer", AllData[Year], "2024"), "")</f>
        <v>8</v>
      </c>
      <c r="AK41" s="32">
        <f t="shared" si="12"/>
        <v>0</v>
      </c>
      <c r="AL41" s="32"/>
      <c r="AM41" s="31">
        <f>IFERROR(AVERAGEIFS(AllData[Phosphate (PPM)], AllData[Site Name], B41, AllData[Season], "Summer", AllData[Year], "2024"),"")</f>
        <v>1.32</v>
      </c>
      <c r="AN41" s="32">
        <f t="shared" si="14"/>
        <v>0</v>
      </c>
      <c r="AO41" s="61" t="str">
        <f t="shared" si="15"/>
        <v/>
      </c>
    </row>
    <row r="42" spans="1:42" x14ac:dyDescent="0.25">
      <c r="A42" s="42"/>
      <c r="B42" s="13" t="s">
        <v>1537</v>
      </c>
      <c r="C42" s="137">
        <f>IFERROR(AVERAGEIF(AllData[Site Name], Tables!B42, AllData[Latitude]), "Unknown")</f>
        <v>52.196624999999997</v>
      </c>
      <c r="D42" s="137">
        <f>IFERROR(AVERAGEIF(AllData[Site Name], Tables!B42, AllData[Longitude]), "Unknown")</f>
        <v>-1.9924109999999999</v>
      </c>
      <c r="E42" s="13" t="e" vm="17">
        <f>_xlfn.XLOOKUP(B42,LocationsKey[Site Name], LocationsKey[District])</f>
        <v>#VALUE!</v>
      </c>
      <c r="F42" s="13" t="str">
        <f>_xlfn.XLOOKUP(B42,LocationsKey[Site Name], LocationsKey[Town])</f>
        <v>Radford</v>
      </c>
      <c r="G42" s="28" t="str">
        <f>_xlfn.XLOOKUP(B42,LocationsKey[Site Name],LocationsKey[Waterway])</f>
        <v>Piddle Brook</v>
      </c>
      <c r="H42" s="29">
        <f>COUNTIF(AllData[Site Name], Tables!B42)</f>
        <v>1</v>
      </c>
      <c r="I42" s="30">
        <f t="shared" si="18"/>
        <v>10</v>
      </c>
      <c r="J42" s="31">
        <f t="shared" si="19"/>
        <v>1.04</v>
      </c>
      <c r="K42" s="32" cm="1">
        <f t="array" ref="K42">SUM(COUNTIFS(AllData[Site Name], B42, AllData[Nitrate Pollution Category], {"High","Very high"}))/COUNTIFS(AllData[Site Name], B42, AllData[Nitrate (PPM)], "&lt;&gt;0")</f>
        <v>1</v>
      </c>
      <c r="L42" s="32" cm="1">
        <f t="array" ref="L42">SUM(COUNTIFS(AllData[Site Name], B42, AllData[Phosphate Pollution Category], {"High","Very high"}))/COUNTIFS(AllData[Site Name], B42, AllData[Phosphate (PPM)], "&lt;&gt;0")</f>
        <v>1</v>
      </c>
      <c r="M42" s="33">
        <f t="shared" si="0"/>
        <v>5</v>
      </c>
      <c r="N42" s="33">
        <f t="shared" si="1"/>
        <v>12</v>
      </c>
      <c r="O42" s="29">
        <f>COUNTIFS(AllData[Site Name], Tables!B42, AllData[Season], "Summer", AllData[Year], "2023")</f>
        <v>0</v>
      </c>
      <c r="P42" s="30"/>
      <c r="Q42" s="32"/>
      <c r="R42" s="31"/>
      <c r="S42" s="34"/>
      <c r="T42" s="33">
        <f>COUNTIFS(AllData[Site Name], Tables!B42, AllData[Season], "Autumn", AllData[Year], "2023")</f>
        <v>0</v>
      </c>
      <c r="U42" s="30"/>
      <c r="V42" s="32"/>
      <c r="W42" s="31"/>
      <c r="X42" s="34"/>
      <c r="Y42" s="33">
        <f>COUNTIFS(AllData[Site Name], Tables!B42, AllData[Season], "Winter", AllData[Year], "2023")</f>
        <v>0</v>
      </c>
      <c r="Z42" s="30"/>
      <c r="AA42" s="32"/>
      <c r="AB42" s="31"/>
      <c r="AC42" s="32"/>
      <c r="AD42" s="52">
        <f>COUNTIFS(AllData[Site Name], Tables!B42, AllData[Season], "Spring", AllData[Year], "2024")</f>
        <v>0</v>
      </c>
      <c r="AE42" s="30"/>
      <c r="AF42" s="32"/>
      <c r="AG42" s="31"/>
      <c r="AH42" s="34"/>
      <c r="AI42" s="33">
        <f>COUNTIFS(AllData[Site Name], Tables!B42, AllData[Season], "Summer", AllData[Year], "2024")</f>
        <v>1</v>
      </c>
      <c r="AJ42" s="30">
        <f>IFERROR(AVERAGEIFS(AllData[Nitrate (PPM)], AllData[Site Name], B42, AllData[Season], "Summer", AllData[Year], "2024"), "")</f>
        <v>10</v>
      </c>
      <c r="AK42" s="32">
        <f t="shared" si="12"/>
        <v>0</v>
      </c>
      <c r="AL42" s="32"/>
      <c r="AM42" s="31">
        <f>IFERROR(AVERAGEIFS(AllData[Phosphate (PPM)], AllData[Site Name], B42, AllData[Season], "Summer", AllData[Year], "2024"),"")</f>
        <v>1.04</v>
      </c>
      <c r="AN42" s="32">
        <f t="shared" si="14"/>
        <v>0</v>
      </c>
      <c r="AO42" s="61" t="str">
        <f t="shared" si="15"/>
        <v/>
      </c>
    </row>
    <row r="43" spans="1:42" x14ac:dyDescent="0.25">
      <c r="A43" s="42"/>
      <c r="B43" s="13" t="s">
        <v>1539</v>
      </c>
      <c r="C43" s="137">
        <f>IFERROR(AVERAGEIF(AllData[Site Name], Tables!B43, AllData[Latitude]), "Unknown")</f>
        <v>52.169983999999999</v>
      </c>
      <c r="D43" s="137">
        <f>IFERROR(AVERAGEIF(AllData[Site Name], Tables!B43, AllData[Longitude]), "Unknown")</f>
        <v>-2.058351</v>
      </c>
      <c r="E43" s="13" t="e" vm="17">
        <f>_xlfn.XLOOKUP(B43,LocationsKey[Site Name], LocationsKey[District])</f>
        <v>#VALUE!</v>
      </c>
      <c r="F43" s="13" t="str">
        <f>_xlfn.XLOOKUP(B43,LocationsKey[Site Name], LocationsKey[Town])</f>
        <v>Norton Beauchamp</v>
      </c>
      <c r="G43" s="28" t="str">
        <f>_xlfn.XLOOKUP(B43,LocationsKey[Site Name],LocationsKey[Waterway])</f>
        <v>Piddle Brook</v>
      </c>
      <c r="H43" s="29">
        <f>COUNTIF(AllData[Site Name], Tables!B43)</f>
        <v>1</v>
      </c>
      <c r="I43" s="30">
        <f t="shared" si="18"/>
        <v>5</v>
      </c>
      <c r="J43" s="31">
        <f t="shared" si="19"/>
        <v>1.45</v>
      </c>
      <c r="K43" s="32" cm="1">
        <f t="array" ref="K43">SUM(COUNTIFS(AllData[Site Name], B43, AllData[Nitrate Pollution Category], {"High","Very high"}))/COUNTIFS(AllData[Site Name], B43, AllData[Nitrate (PPM)], "&lt;&gt;0")</f>
        <v>1</v>
      </c>
      <c r="L43" s="32" cm="1">
        <f t="array" ref="L43">SUM(COUNTIFS(AllData[Site Name], B43, AllData[Phosphate Pollution Category], {"High","Very high"}))/COUNTIFS(AllData[Site Name], B43, AllData[Phosphate (PPM)], "&lt;&gt;0")</f>
        <v>1</v>
      </c>
      <c r="M43" s="33">
        <f t="shared" si="0"/>
        <v>44</v>
      </c>
      <c r="N43" s="33">
        <f t="shared" si="1"/>
        <v>6</v>
      </c>
      <c r="O43" s="29">
        <f>COUNTIFS(AllData[Site Name], Tables!B43, AllData[Season], "Summer", AllData[Year], "2023")</f>
        <v>0</v>
      </c>
      <c r="P43" s="30"/>
      <c r="Q43" s="32"/>
      <c r="R43" s="31"/>
      <c r="S43" s="34"/>
      <c r="T43" s="33">
        <f>COUNTIFS(AllData[Site Name], Tables!B43, AllData[Season], "Autumn", AllData[Year], "2023")</f>
        <v>0</v>
      </c>
      <c r="U43" s="30"/>
      <c r="V43" s="32"/>
      <c r="W43" s="31"/>
      <c r="X43" s="34"/>
      <c r="Y43" s="33">
        <f>COUNTIFS(AllData[Site Name], Tables!B43, AllData[Season], "Winter", AllData[Year], "2023")</f>
        <v>0</v>
      </c>
      <c r="Z43" s="30"/>
      <c r="AA43" s="32"/>
      <c r="AB43" s="31"/>
      <c r="AC43" s="32"/>
      <c r="AD43" s="52">
        <f>COUNTIFS(AllData[Site Name], Tables!B43, AllData[Season], "Spring", AllData[Year], "2024")</f>
        <v>0</v>
      </c>
      <c r="AE43" s="30"/>
      <c r="AF43" s="32"/>
      <c r="AG43" s="31"/>
      <c r="AH43" s="34"/>
      <c r="AI43" s="33">
        <f>COUNTIFS(AllData[Site Name], Tables!B43, AllData[Season], "Summer", AllData[Year], "2024")</f>
        <v>1</v>
      </c>
      <c r="AJ43" s="30">
        <f>IFERROR(AVERAGEIFS(AllData[Nitrate (PPM)], AllData[Site Name], B43, AllData[Season], "Summer", AllData[Year], "2024"), "")</f>
        <v>5</v>
      </c>
      <c r="AK43" s="32">
        <f t="shared" si="12"/>
        <v>0</v>
      </c>
      <c r="AL43" s="32"/>
      <c r="AM43" s="31">
        <f>IFERROR(AVERAGEIFS(AllData[Phosphate (PPM)], AllData[Site Name], B43, AllData[Season], "Summer", AllData[Year], "2024"),"")</f>
        <v>1.45</v>
      </c>
      <c r="AN43" s="32">
        <f t="shared" si="14"/>
        <v>0</v>
      </c>
      <c r="AO43" s="61" t="str">
        <f t="shared" si="15"/>
        <v/>
      </c>
    </row>
    <row r="44" spans="1:42" x14ac:dyDescent="0.25">
      <c r="A44" s="42"/>
      <c r="B44" s="13" t="s">
        <v>744</v>
      </c>
      <c r="C44" s="137">
        <f>IFERROR(AVERAGEIF(AllData[Site Name], Tables!B44, AllData[Latitude]), "Unknown")</f>
        <v>52.126401720000004</v>
      </c>
      <c r="D44" s="137">
        <f>IFERROR(AVERAGEIF(AllData[Site Name], Tables!B44, AllData[Longitude]), "Unknown")</f>
        <v>-2.0565162000000003</v>
      </c>
      <c r="E44" s="13" t="e" vm="17">
        <f>_xlfn.XLOOKUP(B44,LocationsKey[Site Name], LocationsKey[District])</f>
        <v>#VALUE!</v>
      </c>
      <c r="F44" s="13" t="e" vm="20">
        <f>_xlfn.XLOOKUP(B44,LocationsKey[Site Name], LocationsKey[Town])</f>
        <v>#VALUE!</v>
      </c>
      <c r="G44" s="28" t="str">
        <f>_xlfn.XLOOKUP(B44,LocationsKey[Site Name],LocationsKey[Waterway])</f>
        <v>Piddle Brook</v>
      </c>
      <c r="H44" s="29">
        <f>COUNTIF(AllData[Site Name], Tables!B44)</f>
        <v>26</v>
      </c>
      <c r="I44" s="30">
        <f t="shared" si="2"/>
        <v>6.9615384615384617</v>
      </c>
      <c r="J44" s="31">
        <f t="shared" si="3"/>
        <v>0.89192307692307704</v>
      </c>
      <c r="K44" s="32" cm="1">
        <f t="array" ref="K44">SUM(COUNTIFS(AllData[Site Name], B44, AllData[Nitrate Pollution Category], {"High","Very high"}))/COUNTIFS(AllData[Site Name], B44, AllData[Nitrate (PPM)], "&lt;&gt;0")</f>
        <v>1</v>
      </c>
      <c r="L44" s="32" cm="1">
        <f t="array" ref="L44">SUM(COUNTIFS(AllData[Site Name], B44, AllData[Phosphate Pollution Category], {"High","Very high"}))/COUNTIFS(AllData[Site Name], B44, AllData[Phosphate (PPM)], "&lt;&gt;0")</f>
        <v>1</v>
      </c>
      <c r="M44" s="33">
        <f t="shared" ref="M44:M77" si="20">RANK(I44,$I$12:$I$77)</f>
        <v>28</v>
      </c>
      <c r="N44" s="33">
        <f t="shared" ref="N44:N77" si="21">RANK(J44,$J$12:$J$77)</f>
        <v>16</v>
      </c>
      <c r="O44" s="29">
        <f>COUNTIFS(AllData[Site Name], Tables!B44, AllData[Season], "Summer", AllData[Year], "2023")</f>
        <v>0</v>
      </c>
      <c r="P44" s="30" t="str">
        <f>IFERROR(AVERAGEIFS(AllData[Nitrate (PPM)], AllData[Site Name], B44, AllData[Season], "Summer", AllData[Year], "2023"), "")</f>
        <v/>
      </c>
      <c r="Q44" s="32" t="str">
        <f t="shared" si="4"/>
        <v/>
      </c>
      <c r="R44" s="31" t="str">
        <f>IFERROR(AVERAGEIFS(AllData[Phosphate (PPM)], AllData[Site Name], B44, AllData[Season], "Summer", AllData[Year], "2023"),"")</f>
        <v/>
      </c>
      <c r="S44" s="34" t="str">
        <f t="shared" si="5"/>
        <v/>
      </c>
      <c r="T44" s="33">
        <f>COUNTIFS(AllData[Site Name], Tables!B44, AllData[Season], "Autumn", AllData[Year], "2023")</f>
        <v>0</v>
      </c>
      <c r="U44" s="30" t="str">
        <f>IFERROR(AVERAGEIFS(AllData[Nitrate (PPM)], AllData[Site Name], B44, AllData[Season], "Autumn", AllData[Year], "2023"), "")</f>
        <v/>
      </c>
      <c r="V44" s="32" t="str">
        <f t="shared" si="6"/>
        <v/>
      </c>
      <c r="W44" s="31" t="str">
        <f>IFERROR(AVERAGEIFS(AllData[Phosphate (PPM)], AllData[Site Name], B44, AllData[Season], "Autumn", AllData[Year], "2023"), "")</f>
        <v/>
      </c>
      <c r="X44" s="34" t="str">
        <f t="shared" si="7"/>
        <v/>
      </c>
      <c r="Y44" s="33">
        <f>COUNTIFS(AllData[Site Name], Tables!B44, AllData[Season], "Winter", AllData[Year], "2023")</f>
        <v>0</v>
      </c>
      <c r="Z44" s="30" t="str">
        <f>IFERROR(AVERAGEIFS(AllData[Nitrate (PPM)], AllData[Site Name], B44, AllData[Season], "Winter", AllData[Year], "2023"), "")</f>
        <v/>
      </c>
      <c r="AA44" s="32" t="str">
        <f t="shared" si="8"/>
        <v/>
      </c>
      <c r="AB44" s="31" t="str">
        <f>IFERROR(AVERAGEIFS(AllData[Phosphate (PPM)], AllData[Site Name], B44, AllData[Season], "Winter", AllData[Year], "2023"),"")</f>
        <v/>
      </c>
      <c r="AC44" s="32" t="str">
        <f t="shared" si="9"/>
        <v/>
      </c>
      <c r="AD44" s="52">
        <f>COUNTIFS(AllData[Site Name], Tables!B44, AllData[Season], "Spring", AllData[Year], "2024")</f>
        <v>13</v>
      </c>
      <c r="AE44" s="30">
        <f>IFERROR(AVERAGEIFS(AllData[Nitrate (PPM)], AllData[Site Name], B44, AllData[Season], "Spring", AllData[Year], "2024"), "")</f>
        <v>5.6923076923076925</v>
      </c>
      <c r="AF44" s="32">
        <f t="shared" si="10"/>
        <v>-0.18232044198895025</v>
      </c>
      <c r="AG44" s="31">
        <f>IFERROR(AVERAGEIFS(AllData[Phosphate (PPM)], AllData[Site Name], B44, AllData[Season], "Spring", AllData[Year], "2024"),"")</f>
        <v>0.64461538461538459</v>
      </c>
      <c r="AH44" s="34">
        <f t="shared" si="11"/>
        <v>-0.27727468736524374</v>
      </c>
      <c r="AI44" s="33">
        <f>COUNTIFS(AllData[Site Name], Tables!B44, AllData[Season], "Summer", AllData[Year], "2024")</f>
        <v>13</v>
      </c>
      <c r="AJ44" s="30">
        <f>IFERROR(AVERAGEIFS(AllData[Nitrate (PPM)], AllData[Site Name], B44, AllData[Season], "Summer", AllData[Year], "2024"), "")</f>
        <v>8.2307692307692299</v>
      </c>
      <c r="AK44" s="32">
        <f t="shared" si="12"/>
        <v>0.18232044198895014</v>
      </c>
      <c r="AL44" s="32" t="str">
        <f t="shared" si="13"/>
        <v/>
      </c>
      <c r="AM44" s="31">
        <f>IFERROR(AVERAGEIFS(AllData[Phosphate (PPM)], AllData[Site Name], B44, AllData[Season], "Summer", AllData[Year], "2024"),"")</f>
        <v>1.1392307692307695</v>
      </c>
      <c r="AN44" s="32">
        <f t="shared" si="14"/>
        <v>0.27727468736524374</v>
      </c>
      <c r="AO44" s="61" t="str">
        <f t="shared" si="15"/>
        <v/>
      </c>
    </row>
    <row r="45" spans="1:42" x14ac:dyDescent="0.25">
      <c r="A45" s="42"/>
      <c r="B45" s="13" t="s">
        <v>69</v>
      </c>
      <c r="C45" s="137">
        <f>IFERROR(AVERAGEIF(AllData[Site Name], Tables!B45, AllData[Latitude]), "Unknown")</f>
        <v>52.17355294117646</v>
      </c>
      <c r="D45" s="137">
        <f>IFERROR(AVERAGEIF(AllData[Site Name], Tables!B45, AllData[Longitude]), "Unknown")</f>
        <v>-1.7433199411764708</v>
      </c>
      <c r="E45" s="13" t="e" vm="2">
        <f>_xlfn.XLOOKUP(B45,LocationsKey[Site Name], LocationsKey[District])</f>
        <v>#VALUE!</v>
      </c>
      <c r="F45" s="13" t="e" vm="7">
        <f>_xlfn.XLOOKUP(B45,LocationsKey[Site Name], LocationsKey[Town])</f>
        <v>#VALUE!</v>
      </c>
      <c r="G45" s="28" t="str">
        <f>_xlfn.XLOOKUP(B45,LocationsKey[Site Name],LocationsKey[Waterway])</f>
        <v>Avon</v>
      </c>
      <c r="H45" s="29">
        <f>COUNTIF(AllData[Site Name], Tables!B45)</f>
        <v>37</v>
      </c>
      <c r="I45" s="30">
        <f t="shared" si="2"/>
        <v>7.472500000000001</v>
      </c>
      <c r="J45" s="31">
        <f t="shared" si="3"/>
        <v>0.58401111111111104</v>
      </c>
      <c r="K45" s="32" cm="1">
        <f t="array" ref="K45">SUM(COUNTIFS(AllData[Site Name], B45, AllData[Nitrate Pollution Category], {"High","Very high"}))/COUNTIFS(AllData[Site Name], B45, AllData[Nitrate (PPM)], "&lt;&gt;0")</f>
        <v>0.97297297297297303</v>
      </c>
      <c r="L45" s="32" cm="1">
        <f t="array" ref="L45">SUM(COUNTIFS(AllData[Site Name], B45, AllData[Phosphate Pollution Category], {"High","Very high"}))/COUNTIFS(AllData[Site Name], B45, AllData[Phosphate (PPM)], "&lt;&gt;0")</f>
        <v>1</v>
      </c>
      <c r="M45" s="33">
        <f t="shared" si="20"/>
        <v>22</v>
      </c>
      <c r="N45" s="33">
        <f t="shared" si="21"/>
        <v>34</v>
      </c>
      <c r="O45" s="29">
        <f>COUNTIFS(AllData[Site Name], Tables!B45, AllData[Season], "Summer", AllData[Year], "2023")</f>
        <v>5</v>
      </c>
      <c r="P45" s="30">
        <f>IFERROR(AVERAGEIFS(AllData[Nitrate (PPM)], AllData[Site Name], B45, AllData[Season], "Summer", AllData[Year], "2023"), "")</f>
        <v>10</v>
      </c>
      <c r="Q45" s="32">
        <f t="shared" si="4"/>
        <v>0.33824021411843408</v>
      </c>
      <c r="R45" s="31">
        <f>IFERROR(AVERAGEIFS(AllData[Phosphate (PPM)], AllData[Site Name], B45, AllData[Season], "Summer", AllData[Year], "2023"),"")</f>
        <v>0.622</v>
      </c>
      <c r="S45" s="34">
        <f t="shared" si="5"/>
        <v>6.5048229675995647E-2</v>
      </c>
      <c r="T45" s="33">
        <f>COUNTIFS(AllData[Site Name], Tables!B45, AllData[Season], "Autumn", AllData[Year], "2023")</f>
        <v>12</v>
      </c>
      <c r="U45" s="30">
        <f>IFERROR(AVERAGEIFS(AllData[Nitrate (PPM)], AllData[Site Name], B45, AllData[Season], "Autumn", AllData[Year], "2023"), "")</f>
        <v>8.7625000000000011</v>
      </c>
      <c r="V45" s="32">
        <f t="shared" si="6"/>
        <v>0.17263298762127799</v>
      </c>
      <c r="W45" s="31">
        <f>IFERROR(AVERAGEIFS(AllData[Phosphate (PPM)], AllData[Site Name], B45, AllData[Season], "Autumn", AllData[Year], "2023"), "")</f>
        <v>0.71250000000000002</v>
      </c>
      <c r="X45" s="34">
        <f t="shared" si="7"/>
        <v>0.22001103479766387</v>
      </c>
      <c r="Y45" s="33">
        <f>COUNTIFS(AllData[Site Name], Tables!B45, AllData[Season], "Winter", AllData[Year], "2023")</f>
        <v>5</v>
      </c>
      <c r="Z45" s="30">
        <f>IFERROR(AVERAGEIFS(AllData[Nitrate (PPM)], AllData[Site Name], B45, AllData[Season], "Winter", AllData[Year], "2023"), "")</f>
        <v>4.5999999999999996</v>
      </c>
      <c r="AA45" s="32">
        <f t="shared" si="8"/>
        <v>-0.38440950150552039</v>
      </c>
      <c r="AB45" s="31">
        <f>IFERROR(AVERAGEIFS(AllData[Phosphate (PPM)], AllData[Site Name], B45, AllData[Season], "Winter", AllData[Year], "2023"),"")</f>
        <v>0.58000000000000007</v>
      </c>
      <c r="AC45" s="32">
        <f t="shared" si="9"/>
        <v>-6.8682102699717841E-3</v>
      </c>
      <c r="AD45" s="52">
        <f>COUNTIFS(AllData[Site Name], Tables!B45, AllData[Season], "Spring", AllData[Year], "2024")</f>
        <v>9</v>
      </c>
      <c r="AE45" s="30">
        <f>IFERROR(AVERAGEIFS(AllData[Nitrate (PPM)], AllData[Site Name], B45, AllData[Season], "Spring", AllData[Year], "2024"), "")</f>
        <v>7</v>
      </c>
      <c r="AF45" s="32">
        <f t="shared" si="10"/>
        <v>-6.3231850117096144E-2</v>
      </c>
      <c r="AG45" s="31">
        <f>IFERROR(AVERAGEIFS(AllData[Phosphate (PPM)], AllData[Site Name], B45, AllData[Season], "Spring", AllData[Year], "2024"),"")</f>
        <v>0.41555555555555557</v>
      </c>
      <c r="AH45" s="34">
        <f t="shared" si="11"/>
        <v>-0.28844580582561202</v>
      </c>
      <c r="AI45" s="33">
        <f>COUNTIFS(AllData[Site Name], Tables!B45, AllData[Season], "Summer", AllData[Year], "2024")</f>
        <v>6</v>
      </c>
      <c r="AJ45" s="30">
        <f>IFERROR(AVERAGEIFS(AllData[Nitrate (PPM)], AllData[Site Name], B45, AllData[Season], "Summer", AllData[Year], "2024"), "")</f>
        <v>7</v>
      </c>
      <c r="AK45" s="32">
        <f t="shared" si="12"/>
        <v>-6.3231850117096144E-2</v>
      </c>
      <c r="AL45" s="32">
        <f t="shared" si="13"/>
        <v>-0.3</v>
      </c>
      <c r="AM45" s="31">
        <f>IFERROR(AVERAGEIFS(AllData[Phosphate (PPM)], AllData[Site Name], B45, AllData[Season], "Summer", AllData[Year], "2024"),"")</f>
        <v>0.59</v>
      </c>
      <c r="AN45" s="32">
        <f t="shared" si="14"/>
        <v>1.0254751621925077E-2</v>
      </c>
      <c r="AO45" s="61">
        <f t="shared" si="15"/>
        <v>-5.1446945337620627E-2</v>
      </c>
    </row>
    <row r="46" spans="1:42" x14ac:dyDescent="0.25">
      <c r="A46" s="42"/>
      <c r="B46" s="13" t="s">
        <v>618</v>
      </c>
      <c r="C46" s="137">
        <f>IFERROR(AVERAGEIF(AllData[Site Name], Tables!B46, AllData[Latitude]), "Unknown")</f>
        <v>52.286200000000001</v>
      </c>
      <c r="D46" s="137">
        <f>IFERROR(AVERAGEIF(AllData[Site Name], Tables!B46, AllData[Longitude]), "Unknown")</f>
        <v>-1.7478</v>
      </c>
      <c r="E46" s="13" t="e" vm="2">
        <f>_xlfn.XLOOKUP(B46,LocationsKey[Site Name], LocationsKey[District])</f>
        <v>#VALUE!</v>
      </c>
      <c r="F46" s="13" t="e" vm="19">
        <f>_xlfn.XLOOKUP(B46,LocationsKey[Site Name], LocationsKey[Town])</f>
        <v>#VALUE!</v>
      </c>
      <c r="G46" s="28" t="str">
        <f>_xlfn.XLOOKUP(B46,LocationsKey[Site Name],LocationsKey[Waterway])</f>
        <v>Preston Bagot Brook</v>
      </c>
      <c r="H46" s="29">
        <f>COUNTIF(AllData[Site Name], Tables!B46)</f>
        <v>7</v>
      </c>
      <c r="I46" s="30">
        <f t="shared" si="2"/>
        <v>2.229166666666667</v>
      </c>
      <c r="J46" s="31">
        <f t="shared" si="3"/>
        <v>0.65</v>
      </c>
      <c r="K46" s="32" cm="1">
        <f t="array" ref="K46">SUM(COUNTIFS(AllData[Site Name], B46, AllData[Nitrate Pollution Category], {"High","Very high"}))/COUNTIFS(AllData[Site Name], B46, AllData[Nitrate (PPM)], "&lt;&gt;0")</f>
        <v>1</v>
      </c>
      <c r="L46" s="32" cm="1">
        <f t="array" ref="L46">SUM(COUNTIFS(AllData[Site Name], B46, AllData[Phosphate Pollution Category], {"High","Very high"}))/COUNTIFS(AllData[Site Name], B46, AllData[Phosphate (PPM)], "&lt;&gt;0")</f>
        <v>1</v>
      </c>
      <c r="M46" s="33">
        <f t="shared" si="20"/>
        <v>58</v>
      </c>
      <c r="N46" s="33">
        <f t="shared" si="21"/>
        <v>26</v>
      </c>
      <c r="O46" s="29">
        <f>COUNTIFS(AllData[Site Name], Tables!B46, AllData[Season], "Summer", AllData[Year], "2023")</f>
        <v>0</v>
      </c>
      <c r="P46" s="30" t="str">
        <f>IFERROR(AVERAGEIFS(AllData[Nitrate (PPM)], AllData[Site Name], B46, AllData[Season], "Summer", AllData[Year], "2023"), "")</f>
        <v/>
      </c>
      <c r="Q46" s="32" t="str">
        <f t="shared" si="4"/>
        <v/>
      </c>
      <c r="R46" s="31" t="str">
        <f>IFERROR(AVERAGEIFS(AllData[Phosphate (PPM)], AllData[Site Name], B46, AllData[Season], "Summer", AllData[Year], "2023"),"")</f>
        <v/>
      </c>
      <c r="S46" s="34" t="str">
        <f t="shared" si="5"/>
        <v/>
      </c>
      <c r="T46" s="33">
        <f>COUNTIFS(AllData[Site Name], Tables!B46, AllData[Season], "Autumn", AllData[Year], "2023")</f>
        <v>0</v>
      </c>
      <c r="U46" s="30" t="str">
        <f>IFERROR(AVERAGEIFS(AllData[Nitrate (PPM)], AllData[Site Name], B46, AllData[Season], "Autumn", AllData[Year], "2023"), "")</f>
        <v/>
      </c>
      <c r="V46" s="32" t="str">
        <f t="shared" si="6"/>
        <v/>
      </c>
      <c r="W46" s="31" t="str">
        <f>IFERROR(AVERAGEIFS(AllData[Phosphate (PPM)], AllData[Site Name], B46, AllData[Season], "Autumn", AllData[Year], "2023"), "")</f>
        <v/>
      </c>
      <c r="X46" s="34" t="str">
        <f t="shared" si="7"/>
        <v/>
      </c>
      <c r="Y46" s="33">
        <f>COUNTIFS(AllData[Site Name], Tables!B46, AllData[Season], "Winter", AllData[Year], "2023")</f>
        <v>4</v>
      </c>
      <c r="Z46" s="30">
        <f>IFERROR(AVERAGEIFS(AllData[Nitrate (PPM)], AllData[Site Name], B46, AllData[Season], "Winter", AllData[Year], "2023"), "")</f>
        <v>2.125</v>
      </c>
      <c r="AA46" s="32">
        <f t="shared" si="8"/>
        <v>-4.6728971962616946E-2</v>
      </c>
      <c r="AB46" s="31">
        <f>IFERROR(AVERAGEIFS(AllData[Phosphate (PPM)], AllData[Site Name], B46, AllData[Season], "Winter", AllData[Year], "2023"),"")</f>
        <v>0.57000000000000006</v>
      </c>
      <c r="AC46" s="32">
        <f t="shared" si="9"/>
        <v>-0.12307692307692301</v>
      </c>
      <c r="AD46" s="52">
        <f>COUNTIFS(AllData[Site Name], Tables!B46, AllData[Season], "Spring", AllData[Year], "2024")</f>
        <v>3</v>
      </c>
      <c r="AE46" s="30">
        <f>IFERROR(AVERAGEIFS(AllData[Nitrate (PPM)], AllData[Site Name], B46, AllData[Season], "Spring", AllData[Year], "2024"), "")</f>
        <v>2.3333333333333335</v>
      </c>
      <c r="AF46" s="32">
        <f t="shared" si="10"/>
        <v>4.6728971962616751E-2</v>
      </c>
      <c r="AG46" s="31">
        <f>IFERROR(AVERAGEIFS(AllData[Phosphate (PPM)], AllData[Site Name], B46, AllData[Season], "Spring", AllData[Year], "2024"),"")</f>
        <v>0.73</v>
      </c>
      <c r="AH46" s="34">
        <f t="shared" si="11"/>
        <v>0.12307692307692301</v>
      </c>
      <c r="AI46" s="33">
        <f>COUNTIFS(AllData[Site Name], Tables!B46, AllData[Season], "Summer", AllData[Year], "2024")</f>
        <v>0</v>
      </c>
      <c r="AJ46" s="30" t="str">
        <f>IFERROR(AVERAGEIFS(AllData[Nitrate (PPM)], AllData[Site Name], B46, AllData[Season], "Summer", AllData[Year], "2024"), "")</f>
        <v/>
      </c>
      <c r="AK46" s="32" t="str">
        <f t="shared" si="12"/>
        <v/>
      </c>
      <c r="AL46" s="32" t="str">
        <f t="shared" si="13"/>
        <v/>
      </c>
      <c r="AM46" s="31" t="str">
        <f>IFERROR(AVERAGEIFS(AllData[Phosphate (PPM)], AllData[Site Name], B46, AllData[Season], "Summer", AllData[Year], "2024"),"")</f>
        <v/>
      </c>
      <c r="AN46" s="32" t="str">
        <f t="shared" si="14"/>
        <v/>
      </c>
      <c r="AO46" s="61" t="str">
        <f t="shared" si="15"/>
        <v/>
      </c>
    </row>
    <row r="47" spans="1:42" x14ac:dyDescent="0.25">
      <c r="A47" s="42"/>
      <c r="B47" s="13" t="s">
        <v>615</v>
      </c>
      <c r="C47" s="137">
        <f>IFERROR(AVERAGEIF(AllData[Site Name], Tables!B47, AllData[Latitude]), "Unknown")</f>
        <v>52.286540000000002</v>
      </c>
      <c r="D47" s="137">
        <f>IFERROR(AVERAGEIF(AllData[Site Name], Tables!B47, AllData[Longitude]), "Unknown")</f>
        <v>-1.74576</v>
      </c>
      <c r="E47" s="13" t="e" vm="2">
        <f>_xlfn.XLOOKUP(B47,LocationsKey[Site Name], LocationsKey[District])</f>
        <v>#VALUE!</v>
      </c>
      <c r="F47" s="13" t="e" vm="19">
        <f>_xlfn.XLOOKUP(B47,LocationsKey[Site Name], LocationsKey[Town])</f>
        <v>#VALUE!</v>
      </c>
      <c r="G47" s="28" t="str">
        <f>_xlfn.XLOOKUP(B47,LocationsKey[Site Name],LocationsKey[Waterway])</f>
        <v>Preston Bagot Canal</v>
      </c>
      <c r="H47" s="29">
        <f>COUNTIF(AllData[Site Name], Tables!B47)</f>
        <v>8</v>
      </c>
      <c r="I47" s="30">
        <f t="shared" si="2"/>
        <v>2.0625</v>
      </c>
      <c r="J47" s="31">
        <f t="shared" si="3"/>
        <v>0.29749999999999999</v>
      </c>
      <c r="K47" s="32" cm="1">
        <f t="array" ref="K47">SUM(COUNTIFS(AllData[Site Name], B47, AllData[Nitrate Pollution Category], {"High","Very high"}))/COUNTIFS(AllData[Site Name], B47, AllData[Nitrate (PPM)], "&lt;&gt;0")</f>
        <v>1</v>
      </c>
      <c r="L47" s="32" cm="1">
        <f t="array" ref="L47">SUM(COUNTIFS(AllData[Site Name], B47, AllData[Phosphate Pollution Category], {"High","Very high"}))/COUNTIFS(AllData[Site Name], B47, AllData[Phosphate (PPM)], "&lt;&gt;0")</f>
        <v>1</v>
      </c>
      <c r="M47" s="33">
        <f t="shared" si="20"/>
        <v>60</v>
      </c>
      <c r="N47" s="33">
        <f t="shared" si="21"/>
        <v>60</v>
      </c>
      <c r="O47" s="29">
        <f>COUNTIFS(AllData[Site Name], Tables!B47, AllData[Season], "Summer", AllData[Year], "2023")</f>
        <v>0</v>
      </c>
      <c r="P47" s="30" t="str">
        <f>IFERROR(AVERAGEIFS(AllData[Nitrate (PPM)], AllData[Site Name], B47, AllData[Season], "Summer", AllData[Year], "2023"), "")</f>
        <v/>
      </c>
      <c r="Q47" s="32" t="str">
        <f t="shared" si="4"/>
        <v/>
      </c>
      <c r="R47" s="31" t="str">
        <f>IFERROR(AVERAGEIFS(AllData[Phosphate (PPM)], AllData[Site Name], B47, AllData[Season], "Summer", AllData[Year], "2023"),"")</f>
        <v/>
      </c>
      <c r="S47" s="34" t="str">
        <f t="shared" si="5"/>
        <v/>
      </c>
      <c r="T47" s="33">
        <f>COUNTIFS(AllData[Site Name], Tables!B47, AllData[Season], "Autumn", AllData[Year], "2023")</f>
        <v>0</v>
      </c>
      <c r="U47" s="30" t="str">
        <f>IFERROR(AVERAGEIFS(AllData[Nitrate (PPM)], AllData[Site Name], B47, AllData[Season], "Autumn", AllData[Year], "2023"), "")</f>
        <v/>
      </c>
      <c r="V47" s="32" t="str">
        <f t="shared" si="6"/>
        <v/>
      </c>
      <c r="W47" s="31" t="str">
        <f>IFERROR(AVERAGEIFS(AllData[Phosphate (PPM)], AllData[Site Name], B47, AllData[Season], "Autumn", AllData[Year], "2023"), "")</f>
        <v/>
      </c>
      <c r="X47" s="34" t="str">
        <f t="shared" si="7"/>
        <v/>
      </c>
      <c r="Y47" s="33">
        <f>COUNTIFS(AllData[Site Name], Tables!B47, AllData[Season], "Winter", AllData[Year], "2023")</f>
        <v>4</v>
      </c>
      <c r="Z47" s="30">
        <f>IFERROR(AVERAGEIFS(AllData[Nitrate (PPM)], AllData[Site Name], B47, AllData[Season], "Winter", AllData[Year], "2023"), "")</f>
        <v>2.125</v>
      </c>
      <c r="AA47" s="32">
        <f t="shared" si="8"/>
        <v>3.0303030303030304E-2</v>
      </c>
      <c r="AB47" s="31">
        <f>IFERROR(AVERAGEIFS(AllData[Phosphate (PPM)], AllData[Site Name], B47, AllData[Season], "Winter", AllData[Year], "2023"),"")</f>
        <v>0.28499999999999998</v>
      </c>
      <c r="AC47" s="32">
        <f t="shared" si="9"/>
        <v>-4.2016806722689114E-2</v>
      </c>
      <c r="AD47" s="52">
        <f>COUNTIFS(AllData[Site Name], Tables!B47, AllData[Season], "Spring", AllData[Year], "2024")</f>
        <v>4</v>
      </c>
      <c r="AE47" s="30">
        <f>IFERROR(AVERAGEIFS(AllData[Nitrate (PPM)], AllData[Site Name], B47, AllData[Season], "Spring", AllData[Year], "2024"), "")</f>
        <v>2</v>
      </c>
      <c r="AF47" s="32">
        <f t="shared" si="10"/>
        <v>-3.0303030303030304E-2</v>
      </c>
      <c r="AG47" s="31">
        <f>IFERROR(AVERAGEIFS(AllData[Phosphate (PPM)], AllData[Site Name], B47, AllData[Season], "Spring", AllData[Year], "2024"),"")</f>
        <v>0.31000000000000005</v>
      </c>
      <c r="AH47" s="34">
        <f t="shared" si="11"/>
        <v>4.2016806722689301E-2</v>
      </c>
      <c r="AI47" s="33">
        <f>COUNTIFS(AllData[Site Name], Tables!B47, AllData[Season], "Summer", AllData[Year], "2024")</f>
        <v>0</v>
      </c>
      <c r="AJ47" s="30" t="str">
        <f>IFERROR(AVERAGEIFS(AllData[Nitrate (PPM)], AllData[Site Name], B47, AllData[Season], "Summer", AllData[Year], "2024"), "")</f>
        <v/>
      </c>
      <c r="AK47" s="32" t="str">
        <f t="shared" si="12"/>
        <v/>
      </c>
      <c r="AL47" s="32" t="str">
        <f t="shared" si="13"/>
        <v/>
      </c>
      <c r="AM47" s="31" t="str">
        <f>IFERROR(AVERAGEIFS(AllData[Phosphate (PPM)], AllData[Site Name], B47, AllData[Season], "Summer", AllData[Year], "2024"),"")</f>
        <v/>
      </c>
      <c r="AN47" s="32" t="str">
        <f t="shared" si="14"/>
        <v/>
      </c>
      <c r="AO47" s="61" t="str">
        <f t="shared" si="15"/>
        <v/>
      </c>
    </row>
    <row r="48" spans="1:42" x14ac:dyDescent="0.25">
      <c r="A48" s="42"/>
      <c r="B48" s="13" t="s">
        <v>1587</v>
      </c>
      <c r="C48" s="137">
        <f>IFERROR(AVERAGEIF(AllData[Site Name], Tables!B48, AllData[Latitude]), "Unknown")</f>
        <v>52.146529500000007</v>
      </c>
      <c r="D48" s="137">
        <f>IFERROR(AVERAGEIF(AllData[Site Name], Tables!B48, AllData[Longitude]), "Unknown")</f>
        <v>-1.6996899999999999</v>
      </c>
      <c r="E48" s="13" t="e" vm="2">
        <f>_xlfn.XLOOKUP(B48,LocationsKey[Site Name], LocationsKey[District])</f>
        <v>#VALUE!</v>
      </c>
      <c r="F48" s="13" t="e" vm="9">
        <f>_xlfn.XLOOKUP(B48,LocationsKey[Site Name], LocationsKey[Town])</f>
        <v>#VALUE!</v>
      </c>
      <c r="G48" s="28" t="str">
        <f>_xlfn.XLOOKUP(B48,LocationsKey[Site Name],LocationsKey[Waterway])</f>
        <v>Stour</v>
      </c>
      <c r="H48" s="29">
        <f>COUNTIF(AllData[Site Name], Tables!B48)</f>
        <v>41</v>
      </c>
      <c r="I48" s="30">
        <f t="shared" si="2"/>
        <v>5.4</v>
      </c>
      <c r="J48" s="31">
        <f t="shared" si="3"/>
        <v>0.40878571428571425</v>
      </c>
      <c r="K48" s="32" cm="1">
        <f t="array" ref="K48">SUM(COUNTIFS(AllData[Site Name], B48, AllData[Nitrate Pollution Category], {"High","Very high"}))/COUNTIFS(AllData[Site Name], B48, AllData[Nitrate (PPM)], "&lt;&gt;0")</f>
        <v>1</v>
      </c>
      <c r="L48" s="32" cm="1">
        <f t="array" ref="L48">SUM(COUNTIFS(AllData[Site Name], B48, AllData[Phosphate Pollution Category], {"High","Very high"}))/COUNTIFS(AllData[Site Name], B48, AllData[Phosphate (PPM)], "&lt;&gt;0")</f>
        <v>1</v>
      </c>
      <c r="M48" s="33">
        <f t="shared" si="20"/>
        <v>42</v>
      </c>
      <c r="N48" s="33">
        <f t="shared" si="21"/>
        <v>54</v>
      </c>
      <c r="O48" s="29">
        <f>COUNTIFS(AllData[Site Name], Tables!B48, AllData[Season], "Summer", AllData[Year], "2023")</f>
        <v>1</v>
      </c>
      <c r="P48" s="30">
        <f>IFERROR(AVERAGEIFS(AllData[Nitrate (PPM)], AllData[Site Name], B48, AllData[Season], "Summer", AllData[Year], "2023"), "")</f>
        <v>5</v>
      </c>
      <c r="Q48" s="32">
        <f t="shared" si="4"/>
        <v>-7.4074074074074139E-2</v>
      </c>
      <c r="R48" s="31">
        <f>IFERROR(AVERAGEIFS(AllData[Phosphate (PPM)], AllData[Site Name], B48, AllData[Season], "Summer", AllData[Year], "2023"),"")</f>
        <v>0.55000000000000004</v>
      </c>
      <c r="S48" s="34">
        <f t="shared" si="5"/>
        <v>0.34544819150795059</v>
      </c>
      <c r="T48" s="33">
        <f>COUNTIFS(AllData[Site Name], Tables!B48, AllData[Season], "Autumn", AllData[Year], "2023")</f>
        <v>12</v>
      </c>
      <c r="U48" s="30">
        <f>IFERROR(AVERAGEIFS(AllData[Nitrate (PPM)], AllData[Site Name], B48, AllData[Season], "Autumn", AllData[Year], "2023"), "")</f>
        <v>5</v>
      </c>
      <c r="V48" s="32">
        <f t="shared" si="6"/>
        <v>-7.4074074074074139E-2</v>
      </c>
      <c r="W48" s="31">
        <f>IFERROR(AVERAGEIFS(AllData[Phosphate (PPM)], AllData[Site Name], B48, AllData[Season], "Autumn", AllData[Year], "2023"), "")</f>
        <v>0.47749999999999998</v>
      </c>
      <c r="X48" s="34">
        <f t="shared" si="7"/>
        <v>0.16809365717281152</v>
      </c>
      <c r="Y48" s="33">
        <f>COUNTIFS(AllData[Site Name], Tables!B48, AllData[Season], "Winter", AllData[Year], "2023")</f>
        <v>7</v>
      </c>
      <c r="Z48" s="30">
        <f>IFERROR(AVERAGEIFS(AllData[Nitrate (PPM)], AllData[Site Name], B48, AllData[Season], "Winter", AllData[Year], "2023"), "")</f>
        <v>5.4285714285714288</v>
      </c>
      <c r="AA48" s="32">
        <f t="shared" si="8"/>
        <v>5.2910052910052716E-3</v>
      </c>
      <c r="AB48" s="31">
        <f>IFERROR(AVERAGEIFS(AllData[Phosphate (PPM)], AllData[Site Name], B48, AllData[Season], "Winter", AllData[Year], "2023"),"")</f>
        <v>0.2442857142857143</v>
      </c>
      <c r="AC48" s="32">
        <f t="shared" si="9"/>
        <v>-0.40241132273283237</v>
      </c>
      <c r="AD48" s="52">
        <f>COUNTIFS(AllData[Site Name], Tables!B48, AllData[Season], "Spring", AllData[Year], "2024")</f>
        <v>14</v>
      </c>
      <c r="AE48" s="30">
        <f>IFERROR(AVERAGEIFS(AllData[Nitrate (PPM)], AllData[Site Name], B48, AllData[Season], "Spring", AllData[Year], "2024"), "")</f>
        <v>5.8571428571428568</v>
      </c>
      <c r="AF48" s="32">
        <f t="shared" si="10"/>
        <v>8.4656084656084513E-2</v>
      </c>
      <c r="AG48" s="31">
        <f>IFERROR(AVERAGEIFS(AllData[Phosphate (PPM)], AllData[Site Name], B48, AllData[Season], "Spring", AllData[Year], "2024"),"")</f>
        <v>0.26214285714285718</v>
      </c>
      <c r="AH48" s="34">
        <f t="shared" si="11"/>
        <v>-0.35872793989166507</v>
      </c>
      <c r="AI48" s="33">
        <f>COUNTIFS(AllData[Site Name], Tables!B48, AllData[Season], "Summer", AllData[Year], "2024")</f>
        <v>7</v>
      </c>
      <c r="AJ48" s="30">
        <f>IFERROR(AVERAGEIFS(AllData[Nitrate (PPM)], AllData[Site Name], B48, AllData[Season], "Summer", AllData[Year], "2024"), "")</f>
        <v>5.7142857142857144</v>
      </c>
      <c r="AK48" s="32">
        <f t="shared" si="12"/>
        <v>5.8201058201058156E-2</v>
      </c>
      <c r="AL48" s="32">
        <f t="shared" si="13"/>
        <v>0.14285714285714288</v>
      </c>
      <c r="AM48" s="31">
        <f>IFERROR(AVERAGEIFS(AllData[Phosphate (PPM)], AllData[Site Name], B48, AllData[Season], "Summer", AllData[Year], "2024"),"")</f>
        <v>0.51</v>
      </c>
      <c r="AN48" s="32">
        <f t="shared" si="14"/>
        <v>0.24759741394373594</v>
      </c>
      <c r="AO48" s="61">
        <f t="shared" si="15"/>
        <v>-7.2727272727272779E-2</v>
      </c>
    </row>
    <row r="49" spans="1:41" x14ac:dyDescent="0.25">
      <c r="A49" s="42"/>
      <c r="B49" s="13" t="s">
        <v>570</v>
      </c>
      <c r="C49" s="137">
        <f>IFERROR(AVERAGEIF(AllData[Site Name], Tables!B49, AllData[Latitude]), "Unknown")</f>
        <v>52.252500000000033</v>
      </c>
      <c r="D49" s="137">
        <f>IFERROR(AVERAGEIF(AllData[Site Name], Tables!B49, AllData[Longitude]), "Unknown")</f>
        <v>-1.6685000000000012</v>
      </c>
      <c r="E49" s="13" t="e" vm="2">
        <f>_xlfn.XLOOKUP(B49,LocationsKey[Site Name], LocationsKey[District])</f>
        <v>#VALUE!</v>
      </c>
      <c r="F49" s="13" t="e" vm="16">
        <f>_xlfn.XLOOKUP(B49,LocationsKey[Site Name], LocationsKey[Town])</f>
        <v>#VALUE!</v>
      </c>
      <c r="G49" s="28" t="str">
        <f>_xlfn.XLOOKUP(B49,LocationsKey[Site Name],LocationsKey[Waterway])</f>
        <v>Sherbourne Brook</v>
      </c>
      <c r="H49" s="29">
        <f>COUNTIF(AllData[Site Name], Tables!B49)</f>
        <v>32</v>
      </c>
      <c r="I49" s="30">
        <f t="shared" si="2"/>
        <v>8.1211843711843716</v>
      </c>
      <c r="J49" s="31">
        <f t="shared" si="3"/>
        <v>0.49724358974358968</v>
      </c>
      <c r="K49" s="32" cm="1">
        <f t="array" ref="K49">SUM(COUNTIFS(AllData[Site Name], B49, AllData[Nitrate Pollution Category], {"High","Very high"}))/COUNTIFS(AllData[Site Name], B49, AllData[Nitrate (PPM)], "&lt;&gt;0")</f>
        <v>1</v>
      </c>
      <c r="L49" s="32" cm="1">
        <f t="array" ref="L49">SUM(COUNTIFS(AllData[Site Name], B49, AllData[Phosphate Pollution Category], {"High","Very high"}))/COUNTIFS(AllData[Site Name], B49, AllData[Phosphate (PPM)], "&lt;&gt;0")</f>
        <v>1</v>
      </c>
      <c r="M49" s="33">
        <f t="shared" si="20"/>
        <v>12</v>
      </c>
      <c r="N49" s="33">
        <f t="shared" si="21"/>
        <v>47</v>
      </c>
      <c r="O49" s="29">
        <f>COUNTIFS(AllData[Site Name], Tables!B49, AllData[Season], "Summer", AllData[Year], "2023")</f>
        <v>0</v>
      </c>
      <c r="P49" s="30" t="str">
        <f>IFERROR(AVERAGEIFS(AllData[Nitrate (PPM)], AllData[Site Name], B49, AllData[Season], "Summer", AllData[Year], "2023"), "")</f>
        <v/>
      </c>
      <c r="Q49" s="32" t="str">
        <f t="shared" si="4"/>
        <v/>
      </c>
      <c r="R49" s="31" t="str">
        <f>IFERROR(AVERAGEIFS(AllData[Phosphate (PPM)], AllData[Site Name], B49, AllData[Season], "Summer", AllData[Year], "2023"),"")</f>
        <v/>
      </c>
      <c r="S49" s="34" t="str">
        <f t="shared" si="5"/>
        <v/>
      </c>
      <c r="T49" s="33">
        <f>COUNTIFS(AllData[Site Name], Tables!B49, AllData[Season], "Autumn", AllData[Year], "2023")</f>
        <v>0</v>
      </c>
      <c r="U49" s="30" t="str">
        <f>IFERROR(AVERAGEIFS(AllData[Nitrate (PPM)], AllData[Site Name], B49, AllData[Season], "Autumn", AllData[Year], "2023"), "")</f>
        <v/>
      </c>
      <c r="V49" s="32" t="str">
        <f t="shared" si="6"/>
        <v/>
      </c>
      <c r="W49" s="31" t="str">
        <f>IFERROR(AVERAGEIFS(AllData[Phosphate (PPM)], AllData[Site Name], B49, AllData[Season], "Autumn", AllData[Year], "2023"), "")</f>
        <v/>
      </c>
      <c r="X49" s="34" t="str">
        <f t="shared" si="7"/>
        <v/>
      </c>
      <c r="Y49" s="33">
        <f>COUNTIFS(AllData[Site Name], Tables!B49, AllData[Season], "Winter", AllData[Year], "2023")</f>
        <v>7</v>
      </c>
      <c r="Z49" s="30">
        <f>IFERROR(AVERAGEIFS(AllData[Nitrate (PPM)], AllData[Site Name], B49, AllData[Season], "Winter", AllData[Year], "2023"), "")</f>
        <v>7.8571428571428568</v>
      </c>
      <c r="AA49" s="32">
        <f t="shared" si="8"/>
        <v>-3.2512685585416375E-2</v>
      </c>
      <c r="AB49" s="31">
        <f>IFERROR(AVERAGEIFS(AllData[Phosphate (PPM)], AllData[Site Name], B49, AllData[Season], "Winter", AllData[Year], "2023"),"")</f>
        <v>0.55999999999999994</v>
      </c>
      <c r="AC49" s="32">
        <f t="shared" si="9"/>
        <v>0.12620858579347691</v>
      </c>
      <c r="AD49" s="52">
        <f>COUNTIFS(AllData[Site Name], Tables!B49, AllData[Season], "Spring", AllData[Year], "2024")</f>
        <v>12</v>
      </c>
      <c r="AE49" s="30">
        <f>IFERROR(AVERAGEIFS(AllData[Nitrate (PPM)], AllData[Site Name], B49, AllData[Season], "Spring", AllData[Year], "2024"), "")</f>
        <v>6.583333333333333</v>
      </c>
      <c r="AF49" s="32">
        <f t="shared" si="10"/>
        <v>-0.18936290171020492</v>
      </c>
      <c r="AG49" s="31">
        <f>IFERROR(AVERAGEIFS(AllData[Phosphate (PPM)], AllData[Site Name], B49, AllData[Season], "Spring", AllData[Year], "2024"),"")</f>
        <v>0.58249999999999991</v>
      </c>
      <c r="AH49" s="34">
        <f t="shared" si="11"/>
        <v>0.17145803790125044</v>
      </c>
      <c r="AI49" s="33">
        <f>COUNTIFS(AllData[Site Name], Tables!B49, AllData[Season], "Summer", AllData[Year], "2024")</f>
        <v>13</v>
      </c>
      <c r="AJ49" s="30">
        <f>IFERROR(AVERAGEIFS(AllData[Nitrate (PPM)], AllData[Site Name], B49, AllData[Season], "Summer", AllData[Year], "2024"), "")</f>
        <v>9.9230769230769234</v>
      </c>
      <c r="AK49" s="32">
        <f t="shared" si="12"/>
        <v>0.2218755872956211</v>
      </c>
      <c r="AL49" s="32" t="str">
        <f t="shared" si="13"/>
        <v/>
      </c>
      <c r="AM49" s="31">
        <f>IFERROR(AVERAGEIFS(AllData[Phosphate (PPM)], AllData[Site Name], B49, AllData[Season], "Summer", AllData[Year], "2024"),"")</f>
        <v>0.34923076923076923</v>
      </c>
      <c r="AN49" s="32">
        <f t="shared" si="14"/>
        <v>-0.29766662369472724</v>
      </c>
      <c r="AO49" s="61" t="str">
        <f t="shared" si="15"/>
        <v/>
      </c>
    </row>
    <row r="50" spans="1:41" x14ac:dyDescent="0.25">
      <c r="A50" s="42"/>
      <c r="B50" s="13" t="s">
        <v>868</v>
      </c>
      <c r="C50" s="137" t="str">
        <f>IFERROR(AVERAGEIF(AllData[Site Name], Tables!B50, AllData[Latitude]), "Unknown")</f>
        <v>Unknown</v>
      </c>
      <c r="D50" s="137" t="str">
        <f>IFERROR(AVERAGEIF(AllData[Site Name], Tables!B50, AllData[Longitude]), "Unknown")</f>
        <v>Unknown</v>
      </c>
      <c r="E50" s="13" t="e" vm="2">
        <f>_xlfn.XLOOKUP(B50,LocationsKey[Site Name], LocationsKey[District])</f>
        <v>#VALUE!</v>
      </c>
      <c r="F50" s="13" t="str">
        <f>_xlfn.XLOOKUP(B50,LocationsKey[Site Name], LocationsKey[Town])</f>
        <v>Unknown</v>
      </c>
      <c r="G50" s="28" t="str">
        <f>_xlfn.XLOOKUP(B50,LocationsKey[Site Name],LocationsKey[Waterway])</f>
        <v>Sherbourne Brook</v>
      </c>
      <c r="H50" s="29">
        <f>COUNTIF(AllData[Site Name], Tables!B50)</f>
        <v>1</v>
      </c>
      <c r="I50" s="30">
        <f t="shared" si="2"/>
        <v>4</v>
      </c>
      <c r="J50" s="31">
        <f t="shared" si="3"/>
        <v>0.57999999999999996</v>
      </c>
      <c r="K50" s="32" cm="1">
        <f t="array" ref="K50">SUM(COUNTIFS(AllData[Site Name], B50, AllData[Nitrate Pollution Category], {"High","Very high"}))/COUNTIFS(AllData[Site Name], B50, AllData[Nitrate (PPM)], "&lt;&gt;0")</f>
        <v>1</v>
      </c>
      <c r="L50" s="32" cm="1">
        <f t="array" ref="L50">SUM(COUNTIFS(AllData[Site Name], B50, AllData[Phosphate Pollution Category], {"High","Very high"}))/COUNTIFS(AllData[Site Name], B50, AllData[Phosphate (PPM)], "&lt;&gt;0")</f>
        <v>1</v>
      </c>
      <c r="M50" s="33">
        <f t="shared" si="20"/>
        <v>51</v>
      </c>
      <c r="N50" s="33">
        <f t="shared" si="21"/>
        <v>36</v>
      </c>
      <c r="O50" s="29">
        <f>COUNTIFS(AllData[Site Name], Tables!B50, AllData[Season], "Summer", AllData[Year], "2023")</f>
        <v>0</v>
      </c>
      <c r="P50" s="30" t="str">
        <f>IFERROR(AVERAGEIFS(AllData[Nitrate (PPM)], AllData[Site Name], B50, AllData[Season], "Summer", AllData[Year], "2023"), "")</f>
        <v/>
      </c>
      <c r="Q50" s="32" t="str">
        <f t="shared" si="4"/>
        <v/>
      </c>
      <c r="R50" s="31" t="str">
        <f>IFERROR(AVERAGEIFS(AllData[Phosphate (PPM)], AllData[Site Name], B50, AllData[Season], "Summer", AllData[Year], "2023"),"")</f>
        <v/>
      </c>
      <c r="S50" s="34" t="str">
        <f t="shared" si="5"/>
        <v/>
      </c>
      <c r="T50" s="33">
        <f>COUNTIFS(AllData[Site Name], Tables!B50, AllData[Season], "Autumn", AllData[Year], "2023")</f>
        <v>0</v>
      </c>
      <c r="U50" s="30" t="str">
        <f>IFERROR(AVERAGEIFS(AllData[Nitrate (PPM)], AllData[Site Name], B50, AllData[Season], "Autumn", AllData[Year], "2023"), "")</f>
        <v/>
      </c>
      <c r="V50" s="32" t="str">
        <f t="shared" si="6"/>
        <v/>
      </c>
      <c r="W50" s="31" t="str">
        <f>IFERROR(AVERAGEIFS(AllData[Phosphate (PPM)], AllData[Site Name], B50, AllData[Season], "Autumn", AllData[Year], "2023"), "")</f>
        <v/>
      </c>
      <c r="X50" s="34" t="str">
        <f t="shared" si="7"/>
        <v/>
      </c>
      <c r="Y50" s="33">
        <f>COUNTIFS(AllData[Site Name], Tables!B50, AllData[Season], "Winter", AllData[Year], "2023")</f>
        <v>0</v>
      </c>
      <c r="Z50" s="30" t="str">
        <f>IFERROR(AVERAGEIFS(AllData[Nitrate (PPM)], AllData[Site Name], B50, AllData[Season], "Winter", AllData[Year], "2023"), "")</f>
        <v/>
      </c>
      <c r="AA50" s="32" t="str">
        <f t="shared" si="8"/>
        <v/>
      </c>
      <c r="AB50" s="31" t="str">
        <f>IFERROR(AVERAGEIFS(AllData[Phosphate (PPM)], AllData[Site Name], B50, AllData[Season], "Winter", AllData[Year], "2023"),"")</f>
        <v/>
      </c>
      <c r="AC50" s="32" t="str">
        <f t="shared" si="9"/>
        <v/>
      </c>
      <c r="AD50" s="52">
        <f>COUNTIFS(AllData[Site Name], Tables!B50, AllData[Season], "Spring", AllData[Year], "2024")</f>
        <v>1</v>
      </c>
      <c r="AE50" s="30">
        <f>IFERROR(AVERAGEIFS(AllData[Nitrate (PPM)], AllData[Site Name], B50, AllData[Season], "Spring", AllData[Year], "2024"), "")</f>
        <v>4</v>
      </c>
      <c r="AF50" s="32">
        <f t="shared" si="10"/>
        <v>0</v>
      </c>
      <c r="AG50" s="31">
        <f>IFERROR(AVERAGEIFS(AllData[Phosphate (PPM)], AllData[Site Name], B50, AllData[Season], "Spring", AllData[Year], "2024"),"")</f>
        <v>0.57999999999999996</v>
      </c>
      <c r="AH50" s="34">
        <f t="shared" si="11"/>
        <v>0</v>
      </c>
      <c r="AI50" s="33">
        <f>COUNTIFS(AllData[Site Name], Tables!B50, AllData[Season], "Summer", AllData[Year], "2024")</f>
        <v>0</v>
      </c>
      <c r="AJ50" s="30" t="str">
        <f>IFERROR(AVERAGEIFS(AllData[Nitrate (PPM)], AllData[Site Name], B50, AllData[Season], "Summer", AllData[Year], "2024"), "")</f>
        <v/>
      </c>
      <c r="AK50" s="32" t="str">
        <f t="shared" si="12"/>
        <v/>
      </c>
      <c r="AL50" s="32" t="str">
        <f t="shared" si="13"/>
        <v/>
      </c>
      <c r="AM50" s="31" t="str">
        <f>IFERROR(AVERAGEIFS(AllData[Phosphate (PPM)], AllData[Site Name], B50, AllData[Season], "Summer", AllData[Year], "2024"),"")</f>
        <v/>
      </c>
      <c r="AN50" s="32" t="str">
        <f t="shared" si="14"/>
        <v/>
      </c>
      <c r="AO50" s="61" t="str">
        <f t="shared" si="15"/>
        <v/>
      </c>
    </row>
    <row r="51" spans="1:41" x14ac:dyDescent="0.25">
      <c r="A51" s="42"/>
      <c r="B51" s="13" t="s">
        <v>1859</v>
      </c>
      <c r="C51" s="137">
        <f>IFERROR(AVERAGEIF(AllData[Site Name], Tables!B51, AllData[Latitude]), "Unknown")</f>
        <v>52.090077380952394</v>
      </c>
      <c r="D51" s="137">
        <f>IFERROR(AVERAGEIF(AllData[Site Name], Tables!B51, AllData[Longitude]), "Unknown")</f>
        <v>-1.6926051666666673</v>
      </c>
      <c r="E51" s="13" t="e" vm="2">
        <f>_xlfn.XLOOKUP(B51,LocationsKey[Site Name], LocationsKey[District])</f>
        <v>#VALUE!</v>
      </c>
      <c r="F51" s="13" t="e" vm="11">
        <f>_xlfn.XLOOKUP(B51,LocationsKey[Site Name], LocationsKey[Town])</f>
        <v>#VALUE!</v>
      </c>
      <c r="G51" s="28" t="str">
        <f>_xlfn.XLOOKUP(B51,LocationsKey[Site Name],LocationsKey[Waterway])</f>
        <v>Fosseway Brook</v>
      </c>
      <c r="H51" s="29">
        <f>COUNTIF(AllData[Site Name], Tables!B51)</f>
        <v>52</v>
      </c>
      <c r="I51" s="30">
        <f t="shared" ref="I51:I53" si="22">AVERAGE(P51,U51,Z51,AE51,AJ51)</f>
        <v>2.1774628879892042</v>
      </c>
      <c r="J51" s="31">
        <f t="shared" ref="J51:J53" si="23">AVERAGE(R51,W51,AB51,AG51, AM51)</f>
        <v>0.24246963562753041</v>
      </c>
      <c r="K51" s="32" cm="1">
        <f t="array" ref="K51">SUM(COUNTIFS(AllData[Site Name], B51, AllData[Nitrate Pollution Category], {"High","Very high"}))/COUNTIFS(AllData[Site Name], B51, AllData[Nitrate (PPM)], "&lt;&gt;0")</f>
        <v>0.94</v>
      </c>
      <c r="L51" s="32" cm="1">
        <f t="array" ref="L51">SUM(COUNTIFS(AllData[Site Name], B51, AllData[Phosphate Pollution Category], {"High","Very high"}))/COUNTIFS(AllData[Site Name], B51, AllData[Phosphate (PPM)], "&lt;&gt;0")</f>
        <v>0.66666666666666663</v>
      </c>
      <c r="M51" s="33">
        <f t="shared" si="20"/>
        <v>59</v>
      </c>
      <c r="N51" s="33">
        <f t="shared" si="21"/>
        <v>65</v>
      </c>
      <c r="O51" s="29">
        <f>COUNTIFS(AllData[Site Name], Tables!B51, AllData[Season], "Summer", AllData[Year], "2023")</f>
        <v>0</v>
      </c>
      <c r="P51" s="30"/>
      <c r="Q51" s="32"/>
      <c r="R51" s="31"/>
      <c r="S51" s="34"/>
      <c r="T51" s="33">
        <f>COUNTIFS(AllData[Site Name], Tables!B51, AllData[Season], "Autumn", AllData[Year], "2023")</f>
        <v>1</v>
      </c>
      <c r="U51" s="30">
        <f>IFERROR(AVERAGEIFS(AllData[Nitrate (PPM)], AllData[Site Name], B51, AllData[Season], "Autumn", AllData[Year], "2023"), "")</f>
        <v>1</v>
      </c>
      <c r="V51" s="32">
        <f t="shared" si="6"/>
        <v>-0.5407499225286645</v>
      </c>
      <c r="W51" s="31">
        <f>IFERROR(AVERAGEIFS(AllData[Phosphate (PPM)], AllData[Site Name], B51, AllData[Season], "Autumn", AllData[Year], "2023"), "")</f>
        <v>0.18</v>
      </c>
      <c r="X51" s="34">
        <f t="shared" si="7"/>
        <v>-0.25763900484221086</v>
      </c>
      <c r="Y51" s="33">
        <f>COUNTIFS(AllData[Site Name], Tables!B51, AllData[Season], "Winter", AllData[Year], "2023")</f>
        <v>6</v>
      </c>
      <c r="Z51" s="30">
        <f>IFERROR(AVERAGEIFS(AllData[Nitrate (PPM)], AllData[Site Name], B51, AllData[Season], "Winter", AllData[Year], "2023"), "")</f>
        <v>3.3333333333333335</v>
      </c>
      <c r="AA51" s="32">
        <f t="shared" si="8"/>
        <v>0.53083359157111842</v>
      </c>
      <c r="AB51" s="31">
        <f>IFERROR(AVERAGEIFS(AllData[Phosphate (PPM)], AllData[Site Name], B51, AllData[Season], "Winter", AllData[Year], "2023"),"")</f>
        <v>0.27</v>
      </c>
      <c r="AC51" s="32">
        <f t="shared" si="9"/>
        <v>0.11354149273668381</v>
      </c>
      <c r="AD51" s="52">
        <f>COUNTIFS(AllData[Site Name], Tables!B51, AllData[Season], "Spring", AllData[Year], "2024")</f>
        <v>26</v>
      </c>
      <c r="AE51" s="30">
        <f>IFERROR(AVERAGEIFS(AllData[Nitrate (PPM)], AllData[Site Name], B51, AllData[Season], "Spring", AllData[Year], "2024"), "")</f>
        <v>2.6923076923076925</v>
      </c>
      <c r="AF51" s="32">
        <f t="shared" si="10"/>
        <v>0.23644251626898036</v>
      </c>
      <c r="AG51" s="31">
        <f>IFERROR(AVERAGEIFS(AllData[Phosphate (PPM)], AllData[Site Name], B51, AllData[Season], "Spring", AllData[Year], "2024"),"")</f>
        <v>0.12461538461538463</v>
      </c>
      <c r="AH51" s="34">
        <f t="shared" si="11"/>
        <v>-0.48605777258306898</v>
      </c>
      <c r="AI51" s="33">
        <f>COUNTIFS(AllData[Site Name], Tables!B51, AllData[Season], "Summer", AllData[Year], "2024")</f>
        <v>19</v>
      </c>
      <c r="AJ51" s="30">
        <f>IFERROR(AVERAGEIFS(AllData[Nitrate (PPM)], AllData[Site Name], B51, AllData[Season], "Summer", AllData[Year], "2024"), "")</f>
        <v>1.6842105263157894</v>
      </c>
      <c r="AK51" s="32">
        <f t="shared" si="12"/>
        <v>-0.22652618531143495</v>
      </c>
      <c r="AL51" s="32" t="str">
        <f t="shared" si="13"/>
        <v/>
      </c>
      <c r="AM51" s="31">
        <f>IFERROR(AVERAGEIFS(AllData[Phosphate (PPM)], AllData[Site Name], B51, AllData[Season], "Summer", AllData[Year], "2024"),"")</f>
        <v>0.39526315789473698</v>
      </c>
      <c r="AN51" s="32">
        <f t="shared" si="14"/>
        <v>0.63015528468859605</v>
      </c>
      <c r="AO51" s="61" t="str">
        <f t="shared" si="15"/>
        <v/>
      </c>
    </row>
    <row r="52" spans="1:41" x14ac:dyDescent="0.25">
      <c r="A52" s="42"/>
      <c r="B52" s="13" t="s">
        <v>1860</v>
      </c>
      <c r="C52" s="137">
        <f>IFERROR(AVERAGEIF(AllData[Site Name], Tables!B52, AllData[Latitude]), "Unknown")</f>
        <v>52.092990199999988</v>
      </c>
      <c r="D52" s="137">
        <f>IFERROR(AVERAGEIF(AllData[Site Name], Tables!B52, AllData[Longitude]), "Unknown")</f>
        <v>-1.6862810999999998</v>
      </c>
      <c r="E52" s="13" t="e" vm="2">
        <f>_xlfn.XLOOKUP(B52,LocationsKey[Site Name], LocationsKey[District])</f>
        <v>#VALUE!</v>
      </c>
      <c r="F52" s="13" t="e" vm="11">
        <f>_xlfn.XLOOKUP(B52,LocationsKey[Site Name], LocationsKey[Town])</f>
        <v>#VALUE!</v>
      </c>
      <c r="G52" s="28" t="str">
        <f>_xlfn.XLOOKUP(B52,LocationsKey[Site Name],LocationsKey[Waterway])</f>
        <v>Fosseway Brook</v>
      </c>
      <c r="H52" s="29">
        <f>COUNTIF(AllData[Site Name], Tables!B52)</f>
        <v>50</v>
      </c>
      <c r="I52" s="30">
        <f t="shared" si="22"/>
        <v>1.9309116809116809</v>
      </c>
      <c r="J52" s="31">
        <f t="shared" si="23"/>
        <v>0.55346153846153845</v>
      </c>
      <c r="K52" s="32" cm="1">
        <f t="array" ref="K52">SUM(COUNTIFS(AllData[Site Name], B52, AllData[Nitrate Pollution Category], {"High","Very high"}))/COUNTIFS(AllData[Site Name], B52, AllData[Nitrate (PPM)], "&lt;&gt;0")</f>
        <v>0.93181818181818177</v>
      </c>
      <c r="L52" s="32" cm="1">
        <f t="array" ref="L52">SUM(COUNTIFS(AllData[Site Name], B52, AllData[Phosphate Pollution Category], {"High","Very high"}))/COUNTIFS(AllData[Site Name], B52, AllData[Phosphate (PPM)], "&lt;&gt;0")</f>
        <v>1</v>
      </c>
      <c r="M52" s="33">
        <f t="shared" si="20"/>
        <v>62</v>
      </c>
      <c r="N52" s="33">
        <f t="shared" si="21"/>
        <v>42</v>
      </c>
      <c r="O52" s="29">
        <f>COUNTIFS(AllData[Site Name], Tables!B52, AllData[Season], "Summer", AllData[Year], "2023")</f>
        <v>0</v>
      </c>
      <c r="P52" s="30"/>
      <c r="Q52" s="32"/>
      <c r="R52" s="31"/>
      <c r="S52" s="34"/>
      <c r="T52" s="33">
        <f>COUNTIFS(AllData[Site Name], Tables!B52, AllData[Season], "Autumn", AllData[Year], "2023")</f>
        <v>0</v>
      </c>
      <c r="U52" s="30"/>
      <c r="V52" s="32"/>
      <c r="W52" s="31"/>
      <c r="X52" s="34"/>
      <c r="Y52" s="33">
        <f>COUNTIFS(AllData[Site Name], Tables!B52, AllData[Season], "Winter", AllData[Year], "2023")</f>
        <v>6</v>
      </c>
      <c r="Z52" s="30">
        <f>IFERROR(AVERAGEIFS(AllData[Nitrate (PPM)], AllData[Site Name], B52, AllData[Season], "Winter", AllData[Year], "2023"), "")</f>
        <v>2</v>
      </c>
      <c r="AA52" s="32">
        <f t="shared" si="8"/>
        <v>3.5780154924382176E-2</v>
      </c>
      <c r="AB52" s="31">
        <f>IFERROR(AVERAGEIFS(AllData[Phosphate (PPM)], AllData[Site Name], B52, AllData[Season], "Winter", AllData[Year], "2023"),"")</f>
        <v>0.35666666666666669</v>
      </c>
      <c r="AC52" s="32">
        <f t="shared" si="9"/>
        <v>-0.35557099837850353</v>
      </c>
      <c r="AD52" s="52">
        <f>COUNTIFS(AllData[Site Name], Tables!B52, AllData[Season], "Spring", AllData[Year], "2024")</f>
        <v>26</v>
      </c>
      <c r="AE52" s="30">
        <f>IFERROR(AVERAGEIFS(AllData[Nitrate (PPM)], AllData[Site Name], B52, AllData[Season], "Spring", AllData[Year], "2024"), "")</f>
        <v>2.6538461538461537</v>
      </c>
      <c r="AF52" s="32">
        <f t="shared" si="10"/>
        <v>0.37440059018812244</v>
      </c>
      <c r="AG52" s="31">
        <f>IFERROR(AVERAGEIFS(AllData[Phosphate (PPM)], AllData[Site Name], B52, AllData[Season], "Spring", AllData[Year], "2024"),"")</f>
        <v>0.36538461538461536</v>
      </c>
      <c r="AH52" s="34">
        <f t="shared" si="11"/>
        <v>-0.33981931897150802</v>
      </c>
      <c r="AI52" s="33">
        <f>COUNTIFS(AllData[Site Name], Tables!B52, AllData[Season], "Summer", AllData[Year], "2024")</f>
        <v>18</v>
      </c>
      <c r="AJ52" s="30">
        <f>IFERROR(AVERAGEIFS(AllData[Nitrate (PPM)], AllData[Site Name], B52, AllData[Season], "Summer", AllData[Year], "2024"), "")</f>
        <v>1.1388888888888888</v>
      </c>
      <c r="AK52" s="32">
        <f t="shared" si="12"/>
        <v>-0.41018074511250463</v>
      </c>
      <c r="AL52" s="32" t="str">
        <f t="shared" si="13"/>
        <v/>
      </c>
      <c r="AM52" s="31">
        <f>IFERROR(AVERAGEIFS(AllData[Phosphate (PPM)], AllData[Site Name], B52, AllData[Season], "Summer", AllData[Year], "2024"),"")</f>
        <v>0.93833333333333335</v>
      </c>
      <c r="AN52" s="32">
        <f t="shared" si="14"/>
        <v>0.69539031735001167</v>
      </c>
      <c r="AO52" s="61" t="str">
        <f t="shared" si="15"/>
        <v/>
      </c>
    </row>
    <row r="53" spans="1:41" x14ac:dyDescent="0.25">
      <c r="A53" s="42"/>
      <c r="B53" s="13" t="s">
        <v>1861</v>
      </c>
      <c r="C53" s="137">
        <f>IFERROR(AVERAGEIF(AllData[Site Name], Tables!B53, AllData[Latitude]), "Unknown")</f>
        <v>52.094341024390218</v>
      </c>
      <c r="D53" s="137">
        <f>IFERROR(AVERAGEIF(AllData[Site Name], Tables!B53, AllData[Longitude]), "Unknown")</f>
        <v>-1.6731015853658531</v>
      </c>
      <c r="E53" s="13" t="e" vm="2">
        <f>_xlfn.XLOOKUP(B53,LocationsKey[Site Name], LocationsKey[District])</f>
        <v>#VALUE!</v>
      </c>
      <c r="F53" s="13" t="e" vm="11">
        <f>_xlfn.XLOOKUP(B53,LocationsKey[Site Name], LocationsKey[Town])</f>
        <v>#VALUE!</v>
      </c>
      <c r="G53" s="28" t="str">
        <f>_xlfn.XLOOKUP(B53,LocationsKey[Site Name],LocationsKey[Waterway])</f>
        <v>Fosseway Brook</v>
      </c>
      <c r="H53" s="29">
        <f>COUNTIF(AllData[Site Name], Tables!B53)</f>
        <v>51</v>
      </c>
      <c r="I53" s="30">
        <f t="shared" si="22"/>
        <v>7.3785425101214583</v>
      </c>
      <c r="J53" s="31">
        <f t="shared" si="23"/>
        <v>2.2804138551506967</v>
      </c>
      <c r="K53" s="32" cm="1">
        <f t="array" ref="K53">SUM(COUNTIFS(AllData[Site Name], B53, AllData[Nitrate Pollution Category], {"High","Very high"}))/COUNTIFS(AllData[Site Name], B53, AllData[Nitrate (PPM)], "&lt;&gt;0")</f>
        <v>1</v>
      </c>
      <c r="L53" s="32" cm="1">
        <f t="array" ref="L53">SUM(COUNTIFS(AllData[Site Name], B53, AllData[Phosphate Pollution Category], {"High","Very high"}))/COUNTIFS(AllData[Site Name], B53, AllData[Phosphate (PPM)], "&lt;&gt;0")</f>
        <v>1</v>
      </c>
      <c r="M53" s="33">
        <f t="shared" si="20"/>
        <v>25</v>
      </c>
      <c r="N53" s="33">
        <f t="shared" si="21"/>
        <v>3</v>
      </c>
      <c r="O53" s="29">
        <f>COUNTIFS(AllData[Site Name], Tables!B53, AllData[Season], "Summer", AllData[Year], "2023")</f>
        <v>0</v>
      </c>
      <c r="P53" s="30"/>
      <c r="Q53" s="32"/>
      <c r="R53" s="31"/>
      <c r="S53" s="34"/>
      <c r="T53" s="33">
        <f>COUNTIFS(AllData[Site Name], Tables!B53, AllData[Season], "Autumn", AllData[Year], "2023")</f>
        <v>0</v>
      </c>
      <c r="U53" s="30"/>
      <c r="V53" s="32"/>
      <c r="W53" s="31"/>
      <c r="X53" s="34"/>
      <c r="Y53" s="33">
        <f>COUNTIFS(AllData[Site Name], Tables!B53, AllData[Season], "Winter", AllData[Year], "2023")</f>
        <v>6</v>
      </c>
      <c r="Z53" s="30">
        <f>IFERROR(AVERAGEIFS(AllData[Nitrate (PPM)], AllData[Site Name], B53, AllData[Season], "Winter", AllData[Year], "2023"), "")</f>
        <v>5</v>
      </c>
      <c r="AA53" s="32">
        <f t="shared" si="8"/>
        <v>-0.32235939643347061</v>
      </c>
      <c r="AB53" s="31">
        <f>IFERROR(AVERAGEIFS(AllData[Phosphate (PPM)], AllData[Site Name], B53, AllData[Season], "Winter", AllData[Year], "2023"),"")</f>
        <v>2.2966666666666664</v>
      </c>
      <c r="AC53" s="32">
        <f t="shared" si="9"/>
        <v>7.1271324190826119E-3</v>
      </c>
      <c r="AD53" s="52">
        <f>COUNTIFS(AllData[Site Name], Tables!B53, AllData[Season], "Spring", AllData[Year], "2024")</f>
        <v>26</v>
      </c>
      <c r="AE53" s="30">
        <f>IFERROR(AVERAGEIFS(AllData[Nitrate (PPM)], AllData[Site Name], B53, AllData[Season], "Spring", AllData[Year], "2024"), "")</f>
        <v>7.3461538461538458</v>
      </c>
      <c r="AF53" s="32">
        <f t="shared" si="10"/>
        <v>-4.3895747599452918E-3</v>
      </c>
      <c r="AG53" s="31">
        <f>IFERROR(AVERAGEIFS(AllData[Phosphate (PPM)], AllData[Site Name], B53, AllData[Season], "Spring", AllData[Year], "2024"),"")</f>
        <v>2.1961538461538459</v>
      </c>
      <c r="AH53" s="34">
        <f t="shared" si="11"/>
        <v>-3.694943740432706E-2</v>
      </c>
      <c r="AI53" s="33">
        <f>COUNTIFS(AllData[Site Name], Tables!B53, AllData[Season], "Summer", AllData[Year], "2024")</f>
        <v>19</v>
      </c>
      <c r="AJ53" s="30">
        <f>IFERROR(AVERAGEIFS(AllData[Nitrate (PPM)], AllData[Site Name], B53, AllData[Season], "Summer", AllData[Year], "2024"), "")</f>
        <v>9.7894736842105257</v>
      </c>
      <c r="AK53" s="32">
        <f t="shared" si="12"/>
        <v>0.32674897119341539</v>
      </c>
      <c r="AL53" s="32" t="str">
        <f t="shared" si="13"/>
        <v/>
      </c>
      <c r="AM53" s="31">
        <f>IFERROR(AVERAGEIFS(AllData[Phosphate (PPM)], AllData[Site Name], B53, AllData[Season], "Summer", AllData[Year], "2024"),"")</f>
        <v>2.3484210526315787</v>
      </c>
      <c r="AN53" s="32">
        <f t="shared" si="14"/>
        <v>2.9822304985244838E-2</v>
      </c>
      <c r="AO53" s="61" t="str">
        <f t="shared" si="15"/>
        <v/>
      </c>
    </row>
    <row r="54" spans="1:41" x14ac:dyDescent="0.25">
      <c r="A54" s="42"/>
      <c r="B54" s="13" t="s">
        <v>1576</v>
      </c>
      <c r="C54" s="137">
        <f>IFERROR(AVERAGEIF(AllData[Site Name], Tables!B54, AllData[Latitude]), "Unknown")</f>
        <v>52.013255999999998</v>
      </c>
      <c r="D54" s="137">
        <f>IFERROR(AVERAGEIF(AllData[Site Name], Tables!B54, AllData[Longitude]), "Unknown")</f>
        <v>-1.5387710000000001</v>
      </c>
      <c r="E54" s="13" t="e" vm="2">
        <f>_xlfn.XLOOKUP(B54,LocationsKey[Site Name], LocationsKey[District])</f>
        <v>#VALUE!</v>
      </c>
      <c r="F54" s="13" t="e" vm="22">
        <f>_xlfn.XLOOKUP(B54,LocationsKey[Site Name], LocationsKey[Town])</f>
        <v>#VALUE!</v>
      </c>
      <c r="G54" s="28" t="str">
        <f>_xlfn.XLOOKUP(B54,LocationsKey[Site Name],LocationsKey[Waterway])</f>
        <v>Stour</v>
      </c>
      <c r="H54" s="29">
        <f>COUNTIF(AllData[Site Name], Tables!B54)</f>
        <v>6</v>
      </c>
      <c r="I54" s="30">
        <f t="shared" si="2"/>
        <v>1.76</v>
      </c>
      <c r="J54" s="31">
        <f t="shared" si="3"/>
        <v>0.24833333333333332</v>
      </c>
      <c r="K54" s="32" cm="1">
        <f t="array" ref="K54">SUM(COUNTIFS(AllData[Site Name], B54, AllData[Nitrate Pollution Category], {"High","Very high"}))/COUNTIFS(AllData[Site Name], B54, AllData[Nitrate (PPM)], "&lt;&gt;0")</f>
        <v>0.83333333333333337</v>
      </c>
      <c r="L54" s="32" cm="1">
        <f t="array" ref="L54">SUM(COUNTIFS(AllData[Site Name], B54, AllData[Phosphate Pollution Category], {"High","Very high"}))/COUNTIFS(AllData[Site Name], B54, AllData[Phosphate (PPM)], "&lt;&gt;0")</f>
        <v>0.66666666666666663</v>
      </c>
      <c r="M54" s="33">
        <f t="shared" si="20"/>
        <v>64</v>
      </c>
      <c r="N54" s="33">
        <f t="shared" si="21"/>
        <v>64</v>
      </c>
      <c r="O54" s="29">
        <f>COUNTIFS(AllData[Site Name], Tables!B54, AllData[Season], "Summer", AllData[Year], "2023")</f>
        <v>0</v>
      </c>
      <c r="P54" s="30" t="str">
        <f>IFERROR(AVERAGEIFS(AllData[Nitrate (PPM)], AllData[Site Name], B54, AllData[Season], "Summer", AllData[Year], "2023"), "")</f>
        <v/>
      </c>
      <c r="Q54" s="32" t="str">
        <f t="shared" si="4"/>
        <v/>
      </c>
      <c r="R54" s="31" t="str">
        <f>IFERROR(AVERAGEIFS(AllData[Phosphate (PPM)], AllData[Site Name], B54, AllData[Season], "Summer", AllData[Year], "2023"),"")</f>
        <v/>
      </c>
      <c r="S54" s="34" t="str">
        <f t="shared" si="5"/>
        <v/>
      </c>
      <c r="T54" s="33">
        <f>COUNTIFS(AllData[Site Name], Tables!B54, AllData[Season], "Autumn", AllData[Year], "2023")</f>
        <v>0</v>
      </c>
      <c r="U54" s="30" t="str">
        <f>IFERROR(AVERAGEIFS(AllData[Nitrate (PPM)], AllData[Site Name], B54, AllData[Season], "Autumn", AllData[Year], "2023"), "")</f>
        <v/>
      </c>
      <c r="V54" s="32" t="str">
        <f t="shared" si="6"/>
        <v/>
      </c>
      <c r="W54" s="31" t="str">
        <f>IFERROR(AVERAGEIFS(AllData[Phosphate (PPM)], AllData[Site Name], B54, AllData[Season], "Autumn", AllData[Year], "2023"), "")</f>
        <v/>
      </c>
      <c r="X54" s="34" t="str">
        <f t="shared" si="7"/>
        <v/>
      </c>
      <c r="Y54" s="33">
        <f>COUNTIFS(AllData[Site Name], Tables!B54, AllData[Season], "Winter", AllData[Year], "2023")</f>
        <v>0</v>
      </c>
      <c r="Z54" s="30" t="str">
        <f>IFERROR(AVERAGEIFS(AllData[Nitrate (PPM)], AllData[Site Name], B54, AllData[Season], "Winter", AllData[Year], "2023"), "")</f>
        <v/>
      </c>
      <c r="AA54" s="32" t="str">
        <f t="shared" si="8"/>
        <v/>
      </c>
      <c r="AB54" s="31" t="str">
        <f>IFERROR(AVERAGEIFS(AllData[Phosphate (PPM)], AllData[Site Name], B54, AllData[Season], "Winter", AllData[Year], "2023"),"")</f>
        <v/>
      </c>
      <c r="AC54" s="32" t="str">
        <f t="shared" si="9"/>
        <v/>
      </c>
      <c r="AD54" s="52">
        <f>COUNTIFS(AllData[Site Name], Tables!B54, AllData[Season], "Spring", AllData[Year], "2024")</f>
        <v>6</v>
      </c>
      <c r="AE54" s="30">
        <f>IFERROR(AVERAGEIFS(AllData[Nitrate (PPM)], AllData[Site Name], B54, AllData[Season], "Spring", AllData[Year], "2024"), "")</f>
        <v>1.76</v>
      </c>
      <c r="AF54" s="32">
        <f t="shared" si="10"/>
        <v>0</v>
      </c>
      <c r="AG54" s="31">
        <f>IFERROR(AVERAGEIFS(AllData[Phosphate (PPM)], AllData[Site Name], B54, AllData[Season], "Spring", AllData[Year], "2024"),"")</f>
        <v>0.24833333333333332</v>
      </c>
      <c r="AH54" s="34">
        <f t="shared" si="11"/>
        <v>0</v>
      </c>
      <c r="AI54" s="33">
        <f>COUNTIFS(AllData[Site Name], Tables!B54, AllData[Season], "Summer", AllData[Year], "2024")</f>
        <v>0</v>
      </c>
      <c r="AJ54" s="30" t="str">
        <f>IFERROR(AVERAGEIFS(AllData[Nitrate (PPM)], AllData[Site Name], B54, AllData[Season], "Summer", AllData[Year], "2024"), "")</f>
        <v/>
      </c>
      <c r="AK54" s="32"/>
      <c r="AL54" s="32" t="str">
        <f t="shared" si="13"/>
        <v/>
      </c>
      <c r="AM54" s="31" t="str">
        <f>IFERROR(AVERAGEIFS(AllData[Phosphate (PPM)], AllData[Site Name], B54, AllData[Season], "Summer", AllData[Year], "2024"),"")</f>
        <v/>
      </c>
      <c r="AN54" s="32" t="str">
        <f t="shared" si="14"/>
        <v/>
      </c>
      <c r="AO54" s="61" t="str">
        <f t="shared" si="15"/>
        <v/>
      </c>
    </row>
    <row r="55" spans="1:41" x14ac:dyDescent="0.25">
      <c r="A55" s="42"/>
      <c r="B55" s="13" t="s">
        <v>1581</v>
      </c>
      <c r="C55" s="137">
        <f>IFERROR(AVERAGEIF(AllData[Site Name], Tables!B55, AllData[Latitude]), "Unknown")</f>
        <v>52.029943500000002</v>
      </c>
      <c r="D55" s="137">
        <f>IFERROR(AVERAGEIF(AllData[Site Name], Tables!B55, AllData[Longitude]), "Unknown")</f>
        <v>-1.5807020000000001</v>
      </c>
      <c r="E55" s="13" t="e" vm="2">
        <f>_xlfn.XLOOKUP(B55,LocationsKey[Site Name], LocationsKey[District])</f>
        <v>#VALUE!</v>
      </c>
      <c r="F55" s="13" t="str">
        <f>_xlfn.XLOOKUP(B55,LocationsKey[Site Name], LocationsKey[Town])</f>
        <v>Cherington</v>
      </c>
      <c r="G55" s="28" t="str">
        <f>_xlfn.XLOOKUP(B55,LocationsKey[Site Name],LocationsKey[Waterway])</f>
        <v>Stour</v>
      </c>
      <c r="H55" s="29">
        <f>COUNTIF(AllData[Site Name], Tables!B55)</f>
        <v>2</v>
      </c>
      <c r="I55" s="30">
        <f t="shared" si="2"/>
        <v>0.5</v>
      </c>
      <c r="J55" s="31">
        <f t="shared" si="3"/>
        <v>0.255</v>
      </c>
      <c r="K55" s="32" cm="1">
        <f t="array" ref="K55">SUM(COUNTIFS(AllData[Site Name], B55, AllData[Nitrate Pollution Category], {"High","Very high"}))/COUNTIFS(AllData[Site Name], B55, AllData[Nitrate (PPM)], "&lt;&gt;0")</f>
        <v>0</v>
      </c>
      <c r="L55" s="32" cm="1">
        <f t="array" ref="L55">SUM(COUNTIFS(AllData[Site Name], B55, AllData[Phosphate Pollution Category], {"High","Very high"}))/COUNTIFS(AllData[Site Name], B55, AllData[Phosphate (PPM)], "&lt;&gt;0")</f>
        <v>1</v>
      </c>
      <c r="M55" s="33">
        <f t="shared" si="20"/>
        <v>66</v>
      </c>
      <c r="N55" s="33">
        <f t="shared" si="21"/>
        <v>63</v>
      </c>
      <c r="O55" s="29">
        <f>COUNTIFS(AllData[Site Name], Tables!B55, AllData[Season], "Summer", AllData[Year], "2023")</f>
        <v>0</v>
      </c>
      <c r="P55" s="30" t="str">
        <f>IFERROR(AVERAGEIFS(AllData[Nitrate (PPM)], AllData[Site Name], B55, AllData[Season], "Summer", AllData[Year], "2023"), "")</f>
        <v/>
      </c>
      <c r="Q55" s="32" t="str">
        <f t="shared" si="4"/>
        <v/>
      </c>
      <c r="R55" s="31" t="str">
        <f>IFERROR(AVERAGEIFS(AllData[Phosphate (PPM)], AllData[Site Name], B55, AllData[Season], "Summer", AllData[Year], "2023"),"")</f>
        <v/>
      </c>
      <c r="S55" s="34" t="str">
        <f t="shared" si="5"/>
        <v/>
      </c>
      <c r="T55" s="33">
        <f>COUNTIFS(AllData[Site Name], Tables!B55, AllData[Season], "Autumn", AllData[Year], "2023")</f>
        <v>1</v>
      </c>
      <c r="U55" s="30" t="str">
        <f>IFERROR(AVERAGEIFS(AllData[Nitrate (PPM)], AllData[Site Name], B55, AllData[Season], "Autumn", AllData[Year], "2023"), "")</f>
        <v/>
      </c>
      <c r="V55" s="32" t="str">
        <f t="shared" si="6"/>
        <v/>
      </c>
      <c r="W55" s="31">
        <f>IFERROR(AVERAGEIFS(AllData[Phosphate (PPM)], AllData[Site Name], B55, AllData[Season], "Autumn", AllData[Year], "2023"), "")</f>
        <v>0.18</v>
      </c>
      <c r="X55" s="34">
        <f t="shared" si="7"/>
        <v>-0.29411764705882359</v>
      </c>
      <c r="Y55" s="33">
        <f>COUNTIFS(AllData[Site Name], Tables!B55, AllData[Season], "Winter", AllData[Year], "2023")</f>
        <v>1</v>
      </c>
      <c r="Z55" s="30">
        <f>IFERROR(AVERAGEIFS(AllData[Nitrate (PPM)], AllData[Site Name], B55, AllData[Season], "Winter", AllData[Year], "2023"), "")</f>
        <v>0.5</v>
      </c>
      <c r="AA55" s="32">
        <f t="shared" si="8"/>
        <v>0</v>
      </c>
      <c r="AB55" s="31">
        <f>IFERROR(AVERAGEIFS(AllData[Phosphate (PPM)], AllData[Site Name], B55, AllData[Season], "Winter", AllData[Year], "2023"),"")</f>
        <v>0.33</v>
      </c>
      <c r="AC55" s="32">
        <f t="shared" si="9"/>
        <v>0.29411764705882359</v>
      </c>
      <c r="AD55" s="52">
        <f>COUNTIFS(AllData[Site Name], Tables!B55, AllData[Season], "Spring", AllData[Year], "2024")</f>
        <v>0</v>
      </c>
      <c r="AE55" s="30" t="str">
        <f>IFERROR(AVERAGEIFS(AllData[Nitrate (PPM)], AllData[Site Name], B55, AllData[Season], "Spring", AllData[Year], "2024"), "")</f>
        <v/>
      </c>
      <c r="AF55" s="32" t="str">
        <f t="shared" si="10"/>
        <v/>
      </c>
      <c r="AG55" s="31" t="str">
        <f>IFERROR(AVERAGEIFS(AllData[Phosphate (PPM)], AllData[Site Name], B55, AllData[Season], "Spring", AllData[Year], "2024"),"")</f>
        <v/>
      </c>
      <c r="AH55" s="34" t="str">
        <f t="shared" si="11"/>
        <v/>
      </c>
      <c r="AI55" s="33">
        <f>COUNTIFS(AllData[Site Name], Tables!B55, AllData[Season], "Summer", AllData[Year], "2024")</f>
        <v>0</v>
      </c>
      <c r="AJ55" s="30" t="str">
        <f>IFERROR(AVERAGEIFS(AllData[Nitrate (PPM)], AllData[Site Name], B55, AllData[Season], "Summer", AllData[Year], "2024"), "")</f>
        <v/>
      </c>
      <c r="AK55" s="32" t="str">
        <f t="shared" si="12"/>
        <v/>
      </c>
      <c r="AL55" s="32" t="str">
        <f t="shared" si="13"/>
        <v/>
      </c>
      <c r="AM55" s="31" t="str">
        <f>IFERROR(AVERAGEIFS(AllData[Phosphate (PPM)], AllData[Site Name], B55, AllData[Season], "Summer", AllData[Year], "2024"),"")</f>
        <v/>
      </c>
      <c r="AN55" s="32" t="str">
        <f t="shared" si="14"/>
        <v/>
      </c>
      <c r="AO55" s="61" t="str">
        <f t="shared" si="15"/>
        <v/>
      </c>
    </row>
    <row r="56" spans="1:41" x14ac:dyDescent="0.25">
      <c r="A56" s="42"/>
      <c r="B56" s="13" t="s">
        <v>1589</v>
      </c>
      <c r="C56" s="137">
        <f>IFERROR(AVERAGEIF(AllData[Site Name], Tables!B56, AllData[Latitude]), "Unknown")</f>
        <v>52.113052370370362</v>
      </c>
      <c r="D56" s="137">
        <f>IFERROR(AVERAGEIF(AllData[Site Name], Tables!B56, AllData[Longitude]), "Unknown")</f>
        <v>-1.6333685185185185</v>
      </c>
      <c r="E56" s="13" t="e" vm="2">
        <f>_xlfn.XLOOKUP(B56,LocationsKey[Site Name], LocationsKey[District])</f>
        <v>#VALUE!</v>
      </c>
      <c r="F56" s="13" t="e" vm="8">
        <f>_xlfn.XLOOKUP(B56,LocationsKey[Site Name], LocationsKey[Town])</f>
        <v>#VALUE!</v>
      </c>
      <c r="G56" s="28" t="str">
        <f>_xlfn.XLOOKUP(B56,LocationsKey[Site Name],LocationsKey[Waterway])</f>
        <v>Stour</v>
      </c>
      <c r="H56" s="29">
        <f>COUNTIF(AllData[Site Name], Tables!B56)</f>
        <v>44</v>
      </c>
      <c r="I56" s="30">
        <f t="shared" si="2"/>
        <v>3.2027972027972025</v>
      </c>
      <c r="J56" s="31">
        <f t="shared" si="3"/>
        <v>0.45078954378954383</v>
      </c>
      <c r="K56" s="32" cm="1">
        <f t="array" ref="K56">SUM(COUNTIFS(AllData[Site Name], B56, AllData[Nitrate Pollution Category], {"High","Very high"}))/COUNTIFS(AllData[Site Name], B56, AllData[Nitrate (PPM)], "&lt;&gt;0")</f>
        <v>1</v>
      </c>
      <c r="L56" s="32" cm="1">
        <f t="array" ref="L56">SUM(COUNTIFS(AllData[Site Name], B56, AllData[Phosphate Pollution Category], {"High","Very high"}))/COUNTIFS(AllData[Site Name], B56, AllData[Phosphate (PPM)], "&lt;&gt;0")</f>
        <v>0.97727272727272729</v>
      </c>
      <c r="M56" s="33">
        <f t="shared" si="20"/>
        <v>53</v>
      </c>
      <c r="N56" s="33">
        <f t="shared" si="21"/>
        <v>50</v>
      </c>
      <c r="O56" s="29">
        <f>COUNTIFS(AllData[Site Name], Tables!B56, AllData[Season], "Summer", AllData[Year], "2023")</f>
        <v>1</v>
      </c>
      <c r="P56" s="30">
        <f>IFERROR(AVERAGEIFS(AllData[Nitrate (PPM)], AllData[Site Name], B56, AllData[Season], "Summer", AllData[Year], "2023"), "")</f>
        <v>2</v>
      </c>
      <c r="Q56" s="32">
        <f t="shared" si="4"/>
        <v>-0.37554585152838421</v>
      </c>
      <c r="R56" s="31">
        <f>IFERROR(AVERAGEIFS(AllData[Phosphate (PPM)], AllData[Site Name], B56, AllData[Season], "Summer", AllData[Year], "2023"),"")</f>
        <v>0.78</v>
      </c>
      <c r="S56" s="34">
        <f t="shared" si="5"/>
        <v>0.73029745420215819</v>
      </c>
      <c r="T56" s="33">
        <f>COUNTIFS(AllData[Site Name], Tables!B56, AllData[Season], "Autumn", AllData[Year], "2023")</f>
        <v>13</v>
      </c>
      <c r="U56" s="30">
        <f>IFERROR(AVERAGEIFS(AllData[Nitrate (PPM)], AllData[Site Name], B56, AllData[Season], "Autumn", AllData[Year], "2023"), "")</f>
        <v>5.9230769230769234</v>
      </c>
      <c r="V56" s="32">
        <f t="shared" si="6"/>
        <v>0.84934497816593912</v>
      </c>
      <c r="W56" s="31">
        <f>IFERROR(AVERAGEIFS(AllData[Phosphate (PPM)], AllData[Site Name], B56, AllData[Season], "Autumn", AllData[Year], "2023"), "")</f>
        <v>0.48769230769230776</v>
      </c>
      <c r="X56" s="34">
        <f t="shared" si="7"/>
        <v>8.1862510812789377E-2</v>
      </c>
      <c r="Y56" s="33">
        <f>COUNTIFS(AllData[Site Name], Tables!B56, AllData[Season], "Winter", AllData[Year], "2023")</f>
        <v>11</v>
      </c>
      <c r="Z56" s="30">
        <f>IFERROR(AVERAGEIFS(AllData[Nitrate (PPM)], AllData[Site Name], B56, AllData[Season], "Winter", AllData[Year], "2023"), "")</f>
        <v>4.0909090909090908</v>
      </c>
      <c r="AA56" s="32">
        <f t="shared" si="8"/>
        <v>0.27729257641921407</v>
      </c>
      <c r="AB56" s="31">
        <f>IFERROR(AVERAGEIFS(AllData[Phosphate (PPM)], AllData[Site Name], B56, AllData[Season], "Winter", AllData[Year], "2023"),"")</f>
        <v>0.24363636363636365</v>
      </c>
      <c r="AC56" s="32">
        <f t="shared" si="9"/>
        <v>-0.45953412852426756</v>
      </c>
      <c r="AD56" s="52">
        <f>COUNTIFS(AllData[Site Name], Tables!B56, AllData[Season], "Spring", AllData[Year], "2024")</f>
        <v>12</v>
      </c>
      <c r="AE56" s="30">
        <f>IFERROR(AVERAGEIFS(AllData[Nitrate (PPM)], AllData[Site Name], B56, AllData[Season], "Spring", AllData[Year], "2024"), "")</f>
        <v>2</v>
      </c>
      <c r="AF56" s="32">
        <f t="shared" si="10"/>
        <v>-0.37554585152838421</v>
      </c>
      <c r="AG56" s="31">
        <f>IFERROR(AVERAGEIFS(AllData[Phosphate (PPM)], AllData[Site Name], B56, AllData[Season], "Spring", AllData[Year], "2024"),"")</f>
        <v>0.29833333333333334</v>
      </c>
      <c r="AH56" s="34">
        <f t="shared" si="11"/>
        <v>-0.33819819593549932</v>
      </c>
      <c r="AI56" s="33">
        <f>COUNTIFS(AllData[Site Name], Tables!B56, AllData[Season], "Summer", AllData[Year], "2024")</f>
        <v>7</v>
      </c>
      <c r="AJ56" s="30">
        <f>IFERROR(AVERAGEIFS(AllData[Nitrate (PPM)], AllData[Site Name], B56, AllData[Season], "Summer", AllData[Year], "2024"), "")</f>
        <v>2</v>
      </c>
      <c r="AK56" s="32">
        <f t="shared" si="12"/>
        <v>-0.37554585152838421</v>
      </c>
      <c r="AL56" s="32">
        <f t="shared" si="13"/>
        <v>0</v>
      </c>
      <c r="AM56" s="31">
        <f>IFERROR(AVERAGEIFS(AllData[Phosphate (PPM)], AllData[Site Name], B56, AllData[Season], "Summer", AllData[Year], "2024"),"")</f>
        <v>0.44428571428571428</v>
      </c>
      <c r="AN56" s="32">
        <f t="shared" si="14"/>
        <v>-1.4427640555180969E-2</v>
      </c>
      <c r="AO56" s="61">
        <f t="shared" si="15"/>
        <v>-0.43040293040293043</v>
      </c>
    </row>
    <row r="57" spans="1:41" x14ac:dyDescent="0.25">
      <c r="A57" s="42"/>
      <c r="B57" s="13" t="s">
        <v>1584</v>
      </c>
      <c r="C57" s="137">
        <f>IFERROR(AVERAGEIF(AllData[Site Name], Tables!B57, AllData[Latitude]), "Unknown")</f>
        <v>52.06201572727273</v>
      </c>
      <c r="D57" s="137">
        <f>IFERROR(AVERAGEIF(AllData[Site Name], Tables!B57, AllData[Longitude]), "Unknown")</f>
        <v>-1.6218167272727273</v>
      </c>
      <c r="E57" s="13" t="e" vm="2">
        <f>_xlfn.XLOOKUP(B57,LocationsKey[Site Name], LocationsKey[District])</f>
        <v>#VALUE!</v>
      </c>
      <c r="F57" s="13" t="e" vm="10">
        <f>_xlfn.XLOOKUP(B57,LocationsKey[Site Name], LocationsKey[Town])</f>
        <v>#VALUE!</v>
      </c>
      <c r="G57" s="28" t="str">
        <f>_xlfn.XLOOKUP(B57,LocationsKey[Site Name],LocationsKey[Waterway])</f>
        <v>Stour</v>
      </c>
      <c r="H57" s="29">
        <f>COUNTIF(AllData[Site Name], Tables!B57)</f>
        <v>11</v>
      </c>
      <c r="I57" s="30">
        <f t="shared" si="2"/>
        <v>5.8833333333333329</v>
      </c>
      <c r="J57" s="31">
        <f t="shared" si="3"/>
        <v>0.34249999999999992</v>
      </c>
      <c r="K57" s="32" cm="1">
        <f t="array" ref="K57">SUM(COUNTIFS(AllData[Site Name], B57, AllData[Nitrate Pollution Category], {"High","Very high"}))/COUNTIFS(AllData[Site Name], B57, AllData[Nitrate (PPM)], "&lt;&gt;0")</f>
        <v>1</v>
      </c>
      <c r="L57" s="32" cm="1">
        <f t="array" ref="L57">SUM(COUNTIFS(AllData[Site Name], B57, AllData[Phosphate Pollution Category], {"High","Very high"}))/COUNTIFS(AllData[Site Name], B57, AllData[Phosphate (PPM)], "&lt;&gt;0")</f>
        <v>1</v>
      </c>
      <c r="M57" s="33">
        <f t="shared" si="20"/>
        <v>38</v>
      </c>
      <c r="N57" s="33">
        <f t="shared" si="21"/>
        <v>57</v>
      </c>
      <c r="O57" s="29">
        <f>COUNTIFS(AllData[Site Name], Tables!B57, AllData[Season], "Summer", AllData[Year], "2023")</f>
        <v>0</v>
      </c>
      <c r="P57" s="30" t="str">
        <f>IFERROR(AVERAGEIFS(AllData[Nitrate (PPM)], AllData[Site Name], B57, AllData[Season], "Summer", AllData[Year], "2023"), "")</f>
        <v/>
      </c>
      <c r="Q57" s="32" t="str">
        <f t="shared" si="4"/>
        <v/>
      </c>
      <c r="R57" s="31" t="str">
        <f>IFERROR(AVERAGEIFS(AllData[Phosphate (PPM)], AllData[Site Name], B57, AllData[Season], "Summer", AllData[Year], "2023"),"")</f>
        <v/>
      </c>
      <c r="S57" s="34" t="str">
        <f t="shared" si="5"/>
        <v/>
      </c>
      <c r="T57" s="33">
        <f>COUNTIFS(AllData[Site Name], Tables!B57, AllData[Season], "Autumn", AllData[Year], "2023")</f>
        <v>6</v>
      </c>
      <c r="U57" s="30">
        <f>IFERROR(AVERAGEIFS(AllData[Nitrate (PPM)], AllData[Site Name], B57, AllData[Season], "Autumn", AllData[Year], "2023"), "")</f>
        <v>8.1666666666666661</v>
      </c>
      <c r="V57" s="32">
        <f t="shared" si="6"/>
        <v>0.38810198300283288</v>
      </c>
      <c r="W57" s="31">
        <f>IFERROR(AVERAGEIFS(AllData[Phosphate (PPM)], AllData[Site Name], B57, AllData[Season], "Autumn", AllData[Year], "2023"), "")</f>
        <v>0.43499999999999989</v>
      </c>
      <c r="X57" s="34">
        <f t="shared" si="7"/>
        <v>0.27007299270072993</v>
      </c>
      <c r="Y57" s="33">
        <f>COUNTIFS(AllData[Site Name], Tables!B57, AllData[Season], "Winter", AllData[Year], "2023")</f>
        <v>5</v>
      </c>
      <c r="Z57" s="30">
        <f>IFERROR(AVERAGEIFS(AllData[Nitrate (PPM)], AllData[Site Name], B57, AllData[Season], "Winter", AllData[Year], "2023"), "")</f>
        <v>3.6</v>
      </c>
      <c r="AA57" s="32">
        <f t="shared" si="8"/>
        <v>-0.38810198300283277</v>
      </c>
      <c r="AB57" s="31">
        <f>IFERROR(AVERAGEIFS(AllData[Phosphate (PPM)], AllData[Site Name], B57, AllData[Season], "Winter", AllData[Year], "2023"),"")</f>
        <v>0.25</v>
      </c>
      <c r="AC57" s="32">
        <f t="shared" si="9"/>
        <v>-0.27007299270072976</v>
      </c>
      <c r="AD57" s="52">
        <f>COUNTIFS(AllData[Site Name], Tables!B57, AllData[Season], "Spring", AllData[Year], "2024")</f>
        <v>0</v>
      </c>
      <c r="AE57" s="30" t="str">
        <f>IFERROR(AVERAGEIFS(AllData[Nitrate (PPM)], AllData[Site Name], B57, AllData[Season], "Spring", AllData[Year], "2024"), "")</f>
        <v/>
      </c>
      <c r="AF57" s="32" t="str">
        <f t="shared" si="10"/>
        <v/>
      </c>
      <c r="AG57" s="31" t="str">
        <f>IFERROR(AVERAGEIFS(AllData[Phosphate (PPM)], AllData[Site Name], B57, AllData[Season], "Spring", AllData[Year], "2024"),"")</f>
        <v/>
      </c>
      <c r="AH57" s="34" t="str">
        <f t="shared" si="11"/>
        <v/>
      </c>
      <c r="AI57" s="33">
        <f>COUNTIFS(AllData[Site Name], Tables!B57, AllData[Season], "Summer", AllData[Year], "2024")</f>
        <v>0</v>
      </c>
      <c r="AJ57" s="30" t="str">
        <f>IFERROR(AVERAGEIFS(AllData[Nitrate (PPM)], AllData[Site Name], B57, AllData[Season], "Summer", AllData[Year], "2024"), "")</f>
        <v/>
      </c>
      <c r="AK57" s="32" t="str">
        <f t="shared" si="12"/>
        <v/>
      </c>
      <c r="AL57" s="32" t="str">
        <f t="shared" si="13"/>
        <v/>
      </c>
      <c r="AM57" s="31" t="str">
        <f>IFERROR(AVERAGEIFS(AllData[Phosphate (PPM)], AllData[Site Name], B57, AllData[Season], "Summer", AllData[Year], "2024"),"")</f>
        <v/>
      </c>
      <c r="AN57" s="32" t="str">
        <f t="shared" si="14"/>
        <v/>
      </c>
      <c r="AO57" s="61" t="str">
        <f t="shared" si="15"/>
        <v/>
      </c>
    </row>
    <row r="58" spans="1:41" x14ac:dyDescent="0.25">
      <c r="A58" s="42"/>
      <c r="B58" s="13" t="s">
        <v>1582</v>
      </c>
      <c r="C58" s="137">
        <f>IFERROR(AVERAGEIF(AllData[Site Name], Tables!B58, AllData[Latitude]), "Unknown")</f>
        <v>52.045653647058806</v>
      </c>
      <c r="D58" s="137">
        <f>IFERROR(AVERAGEIF(AllData[Site Name], Tables!B58, AllData[Longitude]), "Unknown")</f>
        <v>-1.6719221470588235</v>
      </c>
      <c r="E58" s="13" t="e" vm="2">
        <f>_xlfn.XLOOKUP(B58,LocationsKey[Site Name], LocationsKey[District])</f>
        <v>#VALUE!</v>
      </c>
      <c r="F58" s="13" t="e" vm="14">
        <f>_xlfn.XLOOKUP(B58,LocationsKey[Site Name], LocationsKey[Town])</f>
        <v>#VALUE!</v>
      </c>
      <c r="G58" s="28" t="str">
        <f>_xlfn.XLOOKUP(B58,LocationsKey[Site Name],LocationsKey[Waterway])</f>
        <v>Stour</v>
      </c>
      <c r="H58" s="29">
        <f>COUNTIF(AllData[Site Name], Tables!B58)</f>
        <v>34</v>
      </c>
      <c r="I58" s="30">
        <f t="shared" si="2"/>
        <v>3.0833333333333335</v>
      </c>
      <c r="J58" s="31">
        <f t="shared" si="3"/>
        <v>1.8129545454545455</v>
      </c>
      <c r="K58" s="32" cm="1">
        <f t="array" ref="K58">SUM(COUNTIFS(AllData[Site Name], B58, AllData[Nitrate Pollution Category], {"High","Very high"}))/COUNTIFS(AllData[Site Name], B58, AllData[Nitrate (PPM)], "&lt;&gt;0")</f>
        <v>0.8529411764705882</v>
      </c>
      <c r="L58" s="32" cm="1">
        <f t="array" ref="L58">SUM(COUNTIFS(AllData[Site Name], B58, AllData[Phosphate Pollution Category], {"High","Very high"}))/COUNTIFS(AllData[Site Name], B58, AllData[Phosphate (PPM)], "&lt;&gt;0")</f>
        <v>1</v>
      </c>
      <c r="M58" s="33">
        <f t="shared" si="20"/>
        <v>55</v>
      </c>
      <c r="N58" s="33">
        <f t="shared" si="21"/>
        <v>5</v>
      </c>
      <c r="O58" s="29">
        <f>COUNTIFS(AllData[Site Name], Tables!B58, AllData[Season], "Summer", AllData[Year], "2023")</f>
        <v>0</v>
      </c>
      <c r="P58" s="30" t="str">
        <f>IFERROR(AVERAGEIFS(AllData[Nitrate (PPM)], AllData[Site Name], B58, AllData[Season], "Summer", AllData[Year], "2023"), "")</f>
        <v/>
      </c>
      <c r="Q58" s="32" t="str">
        <f t="shared" si="4"/>
        <v/>
      </c>
      <c r="R58" s="31" t="str">
        <f>IFERROR(AVERAGEIFS(AllData[Phosphate (PPM)], AllData[Site Name], B58, AllData[Season], "Summer", AllData[Year], "2023"),"")</f>
        <v/>
      </c>
      <c r="S58" s="34" t="str">
        <f t="shared" si="5"/>
        <v/>
      </c>
      <c r="T58" s="33">
        <f>COUNTIFS(AllData[Site Name], Tables!B58, AllData[Season], "Autumn", AllData[Year], "2023")</f>
        <v>3</v>
      </c>
      <c r="U58" s="30">
        <f>IFERROR(AVERAGEIFS(AllData[Nitrate (PPM)], AllData[Site Name], B58, AllData[Season], "Autumn", AllData[Year], "2023"), "")</f>
        <v>4.166666666666667</v>
      </c>
      <c r="V58" s="32">
        <f t="shared" si="6"/>
        <v>0.35135135135135137</v>
      </c>
      <c r="W58" s="31">
        <f>IFERROR(AVERAGEIFS(AllData[Phosphate (PPM)], AllData[Site Name], B58, AllData[Season], "Autumn", AllData[Year], "2023"), "")</f>
        <v>1.42</v>
      </c>
      <c r="X58" s="34">
        <f t="shared" si="7"/>
        <v>-0.21674815093393512</v>
      </c>
      <c r="Y58" s="33">
        <f>COUNTIFS(AllData[Site Name], Tables!B58, AllData[Season], "Winter", AllData[Year], "2023")</f>
        <v>11</v>
      </c>
      <c r="Z58" s="30">
        <f>IFERROR(AVERAGEIFS(AllData[Nitrate (PPM)], AllData[Site Name], B58, AllData[Season], "Winter", AllData[Year], "2023"), "")</f>
        <v>3</v>
      </c>
      <c r="AA58" s="32">
        <f t="shared" si="8"/>
        <v>-2.7027027027027074E-2</v>
      </c>
      <c r="AB58" s="31">
        <f>IFERROR(AVERAGEIFS(AllData[Phosphate (PPM)], AllData[Site Name], B58, AllData[Season], "Winter", AllData[Year], "2023"),"")</f>
        <v>1.4618181818181817</v>
      </c>
      <c r="AC58" s="32">
        <f t="shared" si="9"/>
        <v>-0.1936818352764198</v>
      </c>
      <c r="AD58" s="52">
        <f>COUNTIFS(AllData[Site Name], Tables!B58, AllData[Season], "Spring", AllData[Year], "2024")</f>
        <v>12</v>
      </c>
      <c r="AE58" s="30">
        <f>IFERROR(AVERAGEIFS(AllData[Nitrate (PPM)], AllData[Site Name], B58, AllData[Season], "Spring", AllData[Year], "2024"), "")</f>
        <v>2.2916666666666665</v>
      </c>
      <c r="AF58" s="32">
        <f t="shared" si="10"/>
        <v>-0.25675675675675685</v>
      </c>
      <c r="AG58" s="31">
        <f>IFERROR(AVERAGEIFS(AllData[Phosphate (PPM)], AllData[Site Name], B58, AllData[Season], "Spring", AllData[Year], "2024"),"")</f>
        <v>1.87</v>
      </c>
      <c r="AH58" s="34">
        <f t="shared" si="11"/>
        <v>3.1465463206719356E-2</v>
      </c>
      <c r="AI58" s="33">
        <f>COUNTIFS(AllData[Site Name], Tables!B58, AllData[Season], "Summer", AllData[Year], "2024")</f>
        <v>8</v>
      </c>
      <c r="AJ58" s="30">
        <f>IFERROR(AVERAGEIFS(AllData[Nitrate (PPM)], AllData[Site Name], B58, AllData[Season], "Summer", AllData[Year], "2024"), "")</f>
        <v>2.875</v>
      </c>
      <c r="AK58" s="32">
        <f t="shared" si="12"/>
        <v>-6.7567567567567613E-2</v>
      </c>
      <c r="AL58" s="32" t="str">
        <f t="shared" si="13"/>
        <v/>
      </c>
      <c r="AM58" s="31">
        <f>IFERROR(AVERAGEIFS(AllData[Phosphate (PPM)], AllData[Site Name], B58, AllData[Season], "Summer", AllData[Year], "2024"),"")</f>
        <v>2.5</v>
      </c>
      <c r="AN58" s="32">
        <f t="shared" si="14"/>
        <v>0.37896452300363542</v>
      </c>
      <c r="AO58" s="61" t="str">
        <f t="shared" si="15"/>
        <v/>
      </c>
    </row>
    <row r="59" spans="1:41" x14ac:dyDescent="0.25">
      <c r="A59" s="42"/>
      <c r="B59" s="13" t="s">
        <v>544</v>
      </c>
      <c r="C59" s="137">
        <f>IFERROR(AVERAGEIF(AllData[Site Name], Tables!B59, AllData[Latitude]), "Unknown")</f>
        <v>52.046517558823524</v>
      </c>
      <c r="D59" s="137">
        <f>IFERROR(AVERAGEIF(AllData[Site Name], Tables!B59, AllData[Longitude]), "Unknown")</f>
        <v>-1.6734143529411767</v>
      </c>
      <c r="E59" s="13" t="e" vm="2">
        <f>_xlfn.XLOOKUP(B59,LocationsKey[Site Name], LocationsKey[District])</f>
        <v>#VALUE!</v>
      </c>
      <c r="F59" s="13" t="e" vm="14">
        <f>_xlfn.XLOOKUP(B59,LocationsKey[Site Name], LocationsKey[Town])</f>
        <v>#VALUE!</v>
      </c>
      <c r="G59" s="28" t="str">
        <f>_xlfn.XLOOKUP(B59,LocationsKey[Site Name],LocationsKey[Waterway])</f>
        <v>Stour</v>
      </c>
      <c r="H59" s="29">
        <f>COUNTIF(AllData[Site Name], Tables!B59)</f>
        <v>34</v>
      </c>
      <c r="I59" s="30">
        <f t="shared" si="2"/>
        <v>1.8508522727272727</v>
      </c>
      <c r="J59" s="31">
        <f t="shared" si="3"/>
        <v>1.3680681818181819</v>
      </c>
      <c r="K59" s="32" cm="1">
        <f t="array" ref="K59">SUM(COUNTIFS(AllData[Site Name], B59, AllData[Nitrate Pollution Category], {"High","Very high"}))/COUNTIFS(AllData[Site Name], B59, AllData[Nitrate (PPM)], "&lt;&gt;0")</f>
        <v>0.69696969696969702</v>
      </c>
      <c r="L59" s="32" cm="1">
        <f t="array" ref="L59">SUM(COUNTIFS(AllData[Site Name], B59, AllData[Phosphate Pollution Category], {"High","Very high"}))/COUNTIFS(AllData[Site Name], B59, AllData[Phosphate (PPM)], "&lt;&gt;0")</f>
        <v>1</v>
      </c>
      <c r="M59" s="33">
        <f t="shared" si="20"/>
        <v>63</v>
      </c>
      <c r="N59" s="33">
        <f t="shared" si="21"/>
        <v>8</v>
      </c>
      <c r="O59" s="29">
        <f>COUNTIFS(AllData[Site Name], Tables!B59, AllData[Season], "Summer", AllData[Year], "2023")</f>
        <v>0</v>
      </c>
      <c r="P59" s="30" t="str">
        <f>IFERROR(AVERAGEIFS(AllData[Nitrate (PPM)], AllData[Site Name], B59, AllData[Season], "Summer", AllData[Year], "2023"), "")</f>
        <v/>
      </c>
      <c r="Q59" s="32" t="str">
        <f t="shared" si="4"/>
        <v/>
      </c>
      <c r="R59" s="31" t="str">
        <f>IFERROR(AVERAGEIFS(AllData[Phosphate (PPM)], AllData[Site Name], B59, AllData[Season], "Summer", AllData[Year], "2023"),"")</f>
        <v/>
      </c>
      <c r="S59" s="34" t="str">
        <f t="shared" si="5"/>
        <v/>
      </c>
      <c r="T59" s="33">
        <f>COUNTIFS(AllData[Site Name], Tables!B59, AllData[Season], "Autumn", AllData[Year], "2023")</f>
        <v>3</v>
      </c>
      <c r="U59" s="30">
        <f>IFERROR(AVERAGEIFS(AllData[Nitrate (PPM)], AllData[Site Name], B59, AllData[Season], "Autumn", AllData[Year], "2023"), "")</f>
        <v>3</v>
      </c>
      <c r="V59" s="32">
        <f t="shared" si="6"/>
        <v>0.62087490406753643</v>
      </c>
      <c r="W59" s="31">
        <f>IFERROR(AVERAGEIFS(AllData[Phosphate (PPM)], AllData[Site Name], B59, AllData[Season], "Autumn", AllData[Year], "2023"), "")</f>
        <v>0.60333333333333339</v>
      </c>
      <c r="X59" s="34">
        <f t="shared" si="7"/>
        <v>-0.5589888418196417</v>
      </c>
      <c r="Y59" s="33">
        <f>COUNTIFS(AllData[Site Name], Tables!B59, AllData[Season], "Winter", AllData[Year], "2023")</f>
        <v>11</v>
      </c>
      <c r="Z59" s="30">
        <f>IFERROR(AVERAGEIFS(AllData[Nitrate (PPM)], AllData[Site Name], B59, AllData[Season], "Winter", AllData[Year], "2023"), "")</f>
        <v>2.0909090909090908</v>
      </c>
      <c r="AA59" s="32">
        <f t="shared" si="8"/>
        <v>0.12970069071373749</v>
      </c>
      <c r="AB59" s="31">
        <f>IFERROR(AVERAGEIFS(AllData[Phosphate (PPM)], AllData[Site Name], B59, AllData[Season], "Winter", AllData[Year], "2023"),"")</f>
        <v>0.91727272727272724</v>
      </c>
      <c r="AC59" s="32">
        <f t="shared" si="9"/>
        <v>-0.32951241797491493</v>
      </c>
      <c r="AD59" s="52">
        <f>COUNTIFS(AllData[Site Name], Tables!B59, AllData[Season], "Spring", AllData[Year], "2024")</f>
        <v>12</v>
      </c>
      <c r="AE59" s="30">
        <f>IFERROR(AVERAGEIFS(AllData[Nitrate (PPM)], AllData[Site Name], B59, AllData[Season], "Spring", AllData[Year], "2024"), "")</f>
        <v>1.5</v>
      </c>
      <c r="AF59" s="32">
        <f t="shared" si="10"/>
        <v>-0.18956254796623176</v>
      </c>
      <c r="AG59" s="31">
        <f>IFERROR(AVERAGEIFS(AllData[Phosphate (PPM)], AllData[Site Name], B59, AllData[Season], "Spring", AllData[Year], "2024"),"")</f>
        <v>1.4516666666666669</v>
      </c>
      <c r="AH59" s="34">
        <f t="shared" si="11"/>
        <v>6.1106957942243356E-2</v>
      </c>
      <c r="AI59" s="33">
        <f>COUNTIFS(AllData[Site Name], Tables!B59, AllData[Season], "Summer", AllData[Year], "2024")</f>
        <v>8</v>
      </c>
      <c r="AJ59" s="30">
        <f>IFERROR(AVERAGEIFS(AllData[Nitrate (PPM)], AllData[Site Name], B59, AllData[Season], "Summer", AllData[Year], "2024"), "")</f>
        <v>0.8125</v>
      </c>
      <c r="AK59" s="32">
        <f t="shared" si="12"/>
        <v>-0.56101304681504216</v>
      </c>
      <c r="AL59" s="32" t="str">
        <f t="shared" si="13"/>
        <v/>
      </c>
      <c r="AM59" s="31">
        <f>IFERROR(AVERAGEIFS(AllData[Phosphate (PPM)], AllData[Site Name], B59, AllData[Season], "Summer", AllData[Year], "2024"),"")</f>
        <v>2.5</v>
      </c>
      <c r="AN59" s="32">
        <f t="shared" si="14"/>
        <v>0.82739430185231322</v>
      </c>
      <c r="AO59" s="61" t="str">
        <f t="shared" si="15"/>
        <v/>
      </c>
    </row>
    <row r="60" spans="1:41" x14ac:dyDescent="0.25">
      <c r="A60" s="42"/>
      <c r="B60" s="13" t="s">
        <v>853</v>
      </c>
      <c r="C60" s="137">
        <f>IFERROR(AVERAGEIF(AllData[Site Name], Tables!B60, AllData[Latitude]), "Unknown")</f>
        <v>52.017437000000001</v>
      </c>
      <c r="D60" s="137">
        <f>IFERROR(AVERAGEIF(AllData[Site Name], Tables!B60, AllData[Longitude]), "Unknown")</f>
        <v>-1.544745</v>
      </c>
      <c r="E60" s="13" t="e" vm="2">
        <f>_xlfn.XLOOKUP(B60,LocationsKey[Site Name], LocationsKey[District])</f>
        <v>#VALUE!</v>
      </c>
      <c r="F60" s="13" t="e" vm="21">
        <f>_xlfn.XLOOKUP(B60,LocationsKey[Site Name], LocationsKey[Town])</f>
        <v>#VALUE!</v>
      </c>
      <c r="G60" s="28" t="str">
        <f>_xlfn.XLOOKUP(B60,LocationsKey[Site Name],LocationsKey[Waterway])</f>
        <v>Stour</v>
      </c>
      <c r="H60" s="29">
        <f>COUNTIF(AllData[Site Name], Tables!B60)</f>
        <v>6</v>
      </c>
      <c r="I60" s="30">
        <f t="shared" si="2"/>
        <v>2.6916666666666664</v>
      </c>
      <c r="J60" s="31">
        <f t="shared" si="3"/>
        <v>0.39166666666666666</v>
      </c>
      <c r="K60" s="32" cm="1">
        <f t="array" ref="K60">SUM(COUNTIFS(AllData[Site Name], B60, AllData[Nitrate Pollution Category], {"High","Very high"}))/COUNTIFS(AllData[Site Name], B60, AllData[Nitrate (PPM)], "&lt;&gt;0")</f>
        <v>1</v>
      </c>
      <c r="L60" s="32" cm="1">
        <f t="array" ref="L60">SUM(COUNTIFS(AllData[Site Name], B60, AllData[Phosphate Pollution Category], {"High","Very high"}))/COUNTIFS(AllData[Site Name], B60, AllData[Phosphate (PPM)], "&lt;&gt;0")</f>
        <v>1</v>
      </c>
      <c r="M60" s="33">
        <f t="shared" si="20"/>
        <v>56</v>
      </c>
      <c r="N60" s="33">
        <f t="shared" si="21"/>
        <v>55</v>
      </c>
      <c r="O60" s="29">
        <f>COUNTIFS(AllData[Site Name], Tables!B60, AllData[Season], "Summer", AllData[Year], "2023")</f>
        <v>0</v>
      </c>
      <c r="P60" s="30" t="str">
        <f>IFERROR(AVERAGEIFS(AllData[Nitrate (PPM)], AllData[Site Name], B60, AllData[Season], "Summer", AllData[Year], "2023"), "")</f>
        <v/>
      </c>
      <c r="Q60" s="32" t="str">
        <f t="shared" si="4"/>
        <v/>
      </c>
      <c r="R60" s="31" t="str">
        <f>IFERROR(AVERAGEIFS(AllData[Phosphate (PPM)], AllData[Site Name], B60, AllData[Season], "Summer", AllData[Year], "2023"),"")</f>
        <v/>
      </c>
      <c r="S60" s="34" t="str">
        <f t="shared" si="5"/>
        <v/>
      </c>
      <c r="T60" s="33">
        <f>COUNTIFS(AllData[Site Name], Tables!B60, AllData[Season], "Autumn", AllData[Year], "2023")</f>
        <v>0</v>
      </c>
      <c r="U60" s="30" t="str">
        <f>IFERROR(AVERAGEIFS(AllData[Nitrate (PPM)], AllData[Site Name], B60, AllData[Season], "Autumn", AllData[Year], "2023"), "")</f>
        <v/>
      </c>
      <c r="V60" s="32" t="str">
        <f t="shared" si="6"/>
        <v/>
      </c>
      <c r="W60" s="31" t="str">
        <f>IFERROR(AVERAGEIFS(AllData[Phosphate (PPM)], AllData[Site Name], B60, AllData[Season], "Autumn", AllData[Year], "2023"), "")</f>
        <v/>
      </c>
      <c r="X60" s="34" t="str">
        <f t="shared" si="7"/>
        <v/>
      </c>
      <c r="Y60" s="33">
        <f>COUNTIFS(AllData[Site Name], Tables!B60, AllData[Season], "Winter", AllData[Year], "2023")</f>
        <v>0</v>
      </c>
      <c r="Z60" s="30" t="str">
        <f>IFERROR(AVERAGEIFS(AllData[Nitrate (PPM)], AllData[Site Name], B60, AllData[Season], "Winter", AllData[Year], "2023"), "")</f>
        <v/>
      </c>
      <c r="AA60" s="32" t="str">
        <f t="shared" si="8"/>
        <v/>
      </c>
      <c r="AB60" s="31" t="str">
        <f>IFERROR(AVERAGEIFS(AllData[Phosphate (PPM)], AllData[Site Name], B60, AllData[Season], "Winter", AllData[Year], "2023"),"")</f>
        <v/>
      </c>
      <c r="AC60" s="32" t="str">
        <f t="shared" si="9"/>
        <v/>
      </c>
      <c r="AD60" s="52">
        <f>COUNTIFS(AllData[Site Name], Tables!B60, AllData[Season], "Spring", AllData[Year], "2024")</f>
        <v>6</v>
      </c>
      <c r="AE60" s="30">
        <f>IFERROR(AVERAGEIFS(AllData[Nitrate (PPM)], AllData[Site Name], B60, AllData[Season], "Spring", AllData[Year], "2024"), "")</f>
        <v>2.6916666666666664</v>
      </c>
      <c r="AF60" s="32">
        <f t="shared" si="10"/>
        <v>0</v>
      </c>
      <c r="AG60" s="31">
        <f>IFERROR(AVERAGEIFS(AllData[Phosphate (PPM)], AllData[Site Name], B60, AllData[Season], "Spring", AllData[Year], "2024"),"")</f>
        <v>0.39166666666666666</v>
      </c>
      <c r="AH60" s="34">
        <f t="shared" si="11"/>
        <v>0</v>
      </c>
      <c r="AI60" s="33">
        <f>COUNTIFS(AllData[Site Name], Tables!B60, AllData[Season], "Summer", AllData[Year], "2024")</f>
        <v>0</v>
      </c>
      <c r="AJ60" s="30" t="str">
        <f>IFERROR(AVERAGEIFS(AllData[Nitrate (PPM)], AllData[Site Name], B60, AllData[Season], "Summer", AllData[Year], "2024"), "")</f>
        <v/>
      </c>
      <c r="AK60" s="32" t="str">
        <f t="shared" si="12"/>
        <v/>
      </c>
      <c r="AL60" s="32" t="str">
        <f t="shared" si="13"/>
        <v/>
      </c>
      <c r="AM60" s="31" t="str">
        <f>IFERROR(AVERAGEIFS(AllData[Phosphate (PPM)], AllData[Site Name], B60, AllData[Season], "Summer", AllData[Year], "2024"),"")</f>
        <v/>
      </c>
      <c r="AN60" s="32" t="str">
        <f t="shared" si="14"/>
        <v/>
      </c>
      <c r="AO60" s="61" t="str">
        <f t="shared" si="15"/>
        <v/>
      </c>
    </row>
    <row r="61" spans="1:41" x14ac:dyDescent="0.25">
      <c r="A61" s="42"/>
      <c r="B61" s="13" t="s">
        <v>517</v>
      </c>
      <c r="C61" s="137">
        <f>IFERROR(AVERAGEIF(AllData[Site Name], Tables!B61, AllData[Latitude]), "Unknown")</f>
        <v>52.053154375000005</v>
      </c>
      <c r="D61" s="137">
        <f>IFERROR(AVERAGEIF(AllData[Site Name], Tables!B61, AllData[Longitude]), "Unknown")</f>
        <v>-1.6191991562500001</v>
      </c>
      <c r="E61" s="13" t="e" vm="2">
        <f>_xlfn.XLOOKUP(B61,LocationsKey[Site Name], LocationsKey[District])</f>
        <v>#VALUE!</v>
      </c>
      <c r="F61" s="13" t="str">
        <f>_xlfn.XLOOKUP(B61,LocationsKey[Site Name], LocationsKey[Town])</f>
        <v>Willington</v>
      </c>
      <c r="G61" s="28" t="str">
        <f>_xlfn.XLOOKUP(B61,LocationsKey[Site Name],LocationsKey[Waterway])</f>
        <v>Stour</v>
      </c>
      <c r="H61" s="29">
        <f>COUNTIF(AllData[Site Name], Tables!B61)</f>
        <v>34</v>
      </c>
      <c r="I61" s="30">
        <f t="shared" si="2"/>
        <v>2.2347985347985349</v>
      </c>
      <c r="J61" s="31">
        <f t="shared" si="3"/>
        <v>0.29210622710622713</v>
      </c>
      <c r="K61" s="32" cm="1">
        <f t="array" ref="K61">SUM(COUNTIFS(AllData[Site Name], B61, AllData[Nitrate Pollution Category], {"High","Very high"}))/COUNTIFS(AllData[Site Name], B61, AllData[Nitrate (PPM)], "&lt;&gt;0")</f>
        <v>0.88235294117647056</v>
      </c>
      <c r="L61" s="32" cm="1">
        <f t="array" ref="L61">SUM(COUNTIFS(AllData[Site Name], B61, AllData[Phosphate Pollution Category], {"High","Very high"}))/COUNTIFS(AllData[Site Name], B61, AllData[Phosphate (PPM)], "&lt;&gt;0")</f>
        <v>0.97058823529411764</v>
      </c>
      <c r="M61" s="33">
        <f t="shared" si="20"/>
        <v>57</v>
      </c>
      <c r="N61" s="33">
        <f t="shared" si="21"/>
        <v>61</v>
      </c>
      <c r="O61" s="29">
        <f>COUNTIFS(AllData[Site Name], Tables!B61, AllData[Season], "Summer", AllData[Year], "2023")</f>
        <v>0</v>
      </c>
      <c r="P61" s="30" t="str">
        <f>IFERROR(AVERAGEIFS(AllData[Nitrate (PPM)], AllData[Site Name], B61, AllData[Season], "Summer", AllData[Year], "2023"), "")</f>
        <v/>
      </c>
      <c r="Q61" s="32" t="str">
        <f t="shared" si="4"/>
        <v/>
      </c>
      <c r="R61" s="31" t="str">
        <f>IFERROR(AVERAGEIFS(AllData[Phosphate (PPM)], AllData[Site Name], B61, AllData[Season], "Summer", AllData[Year], "2023"),"")</f>
        <v/>
      </c>
      <c r="S61" s="34" t="str">
        <f t="shared" si="5"/>
        <v/>
      </c>
      <c r="T61" s="33">
        <f>COUNTIFS(AllData[Site Name], Tables!B61, AllData[Season], "Autumn", AllData[Year], "2023")</f>
        <v>0</v>
      </c>
      <c r="U61" s="30" t="str">
        <f>IFERROR(AVERAGEIFS(AllData[Nitrate (PPM)], AllData[Site Name], B61, AllData[Season], "Autumn", AllData[Year], "2023"), "")</f>
        <v/>
      </c>
      <c r="V61" s="32" t="str">
        <f t="shared" si="6"/>
        <v/>
      </c>
      <c r="W61" s="31" t="str">
        <f>IFERROR(AVERAGEIFS(AllData[Phosphate (PPM)], AllData[Site Name], B61, AllData[Season], "Autumn", AllData[Year], "2023"), "")</f>
        <v/>
      </c>
      <c r="X61" s="34" t="str">
        <f t="shared" si="7"/>
        <v/>
      </c>
      <c r="Y61" s="33">
        <f>COUNTIFS(AllData[Site Name], Tables!B61, AllData[Season], "Winter", AllData[Year], "2023")</f>
        <v>7</v>
      </c>
      <c r="Z61" s="30">
        <f>IFERROR(AVERAGEIFS(AllData[Nitrate (PPM)], AllData[Site Name], B61, AllData[Season], "Winter", AllData[Year], "2023"), "")</f>
        <v>1.3142857142857143</v>
      </c>
      <c r="AA61" s="32">
        <f t="shared" si="8"/>
        <v>-0.41189968857564335</v>
      </c>
      <c r="AB61" s="31">
        <f>IFERROR(AVERAGEIFS(AllData[Phosphate (PPM)], AllData[Site Name], B61, AllData[Season], "Winter", AllData[Year], "2023"),"")</f>
        <v>0.20714285714285713</v>
      </c>
      <c r="AC61" s="32">
        <f t="shared" si="9"/>
        <v>-0.2908646310113488</v>
      </c>
      <c r="AD61" s="52">
        <f>COUNTIFS(AllData[Site Name], Tables!B61, AllData[Season], "Spring", AllData[Year], "2024")</f>
        <v>14</v>
      </c>
      <c r="AE61" s="30">
        <f>IFERROR(AVERAGEIFS(AllData[Nitrate (PPM)], AllData[Site Name], B61, AllData[Season], "Spring", AllData[Year], "2024"), "")</f>
        <v>2.9285714285714284</v>
      </c>
      <c r="AF61" s="32">
        <f t="shared" si="10"/>
        <v>0.31044091132601204</v>
      </c>
      <c r="AG61" s="31">
        <f>IFERROR(AVERAGEIFS(AllData[Phosphate (PPM)], AllData[Site Name], B61, AllData[Season], "Spring", AllData[Year], "2024"),"")</f>
        <v>0.21071428571428569</v>
      </c>
      <c r="AH61" s="34">
        <f t="shared" si="11"/>
        <v>-0.27863815913223416</v>
      </c>
      <c r="AI61" s="33">
        <f>COUNTIFS(AllData[Site Name], Tables!B61, AllData[Season], "Summer", AllData[Year], "2024")</f>
        <v>13</v>
      </c>
      <c r="AJ61" s="30">
        <f>IFERROR(AVERAGEIFS(AllData[Nitrate (PPM)], AllData[Site Name], B61, AllData[Season], "Summer", AllData[Year], "2024"), "")</f>
        <v>2.4615384615384617</v>
      </c>
      <c r="AK61" s="32">
        <f t="shared" si="12"/>
        <v>0.10145877724963125</v>
      </c>
      <c r="AL61" s="32" t="str">
        <f t="shared" si="13"/>
        <v/>
      </c>
      <c r="AM61" s="31">
        <f>IFERROR(AVERAGEIFS(AllData[Phosphate (PPM)], AllData[Site Name], B61, AllData[Season], "Summer", AllData[Year], "2024"),"")</f>
        <v>0.45846153846153853</v>
      </c>
      <c r="AN61" s="32">
        <f t="shared" si="14"/>
        <v>0.56950279014358274</v>
      </c>
      <c r="AO61" s="61" t="str">
        <f t="shared" si="15"/>
        <v/>
      </c>
    </row>
    <row r="62" spans="1:41" x14ac:dyDescent="0.25">
      <c r="A62" s="42"/>
      <c r="B62" s="13" t="s">
        <v>1590</v>
      </c>
      <c r="C62" s="137">
        <f>IFERROR(AVERAGEIF(AllData[Site Name], Tables!B62, AllData[Latitude]), "Unknown")</f>
        <v>52.1907</v>
      </c>
      <c r="D62" s="137">
        <f>IFERROR(AVERAGEIF(AllData[Site Name], Tables!B62, AllData[Longitude]), "Unknown")</f>
        <v>-1.7032</v>
      </c>
      <c r="E62" s="13" t="e" vm="2">
        <f>_xlfn.XLOOKUP(B62,LocationsKey[Site Name], LocationsKey[District])</f>
        <v>#VALUE!</v>
      </c>
      <c r="F62" s="13" t="e" vm="7">
        <f>_xlfn.XLOOKUP(B62,LocationsKey[Site Name], LocationsKey[Town])</f>
        <v>#VALUE!</v>
      </c>
      <c r="G62" s="28" t="str">
        <f>_xlfn.XLOOKUP(B62,LocationsKey[Site Name],LocationsKey[Waterway])</f>
        <v>Avon</v>
      </c>
      <c r="H62" s="29">
        <f>COUNTIF(AllData[Site Name], Tables!B62)</f>
        <v>1</v>
      </c>
      <c r="I62" s="30">
        <f t="shared" si="2"/>
        <v>20</v>
      </c>
      <c r="J62" s="31">
        <f t="shared" si="3"/>
        <v>0.51</v>
      </c>
      <c r="K62" s="32" cm="1">
        <f t="array" ref="K62">SUM(COUNTIFS(AllData[Site Name], B62, AllData[Nitrate Pollution Category], {"High","Very high"}))/COUNTIFS(AllData[Site Name], B62, AllData[Nitrate (PPM)], "&lt;&gt;0")</f>
        <v>1</v>
      </c>
      <c r="L62" s="32" cm="1">
        <f t="array" ref="L62">SUM(COUNTIFS(AllData[Site Name], B62, AllData[Phosphate Pollution Category], {"High","Very high"}))/COUNTIFS(AllData[Site Name], B62, AllData[Phosphate (PPM)], "&lt;&gt;0")</f>
        <v>1</v>
      </c>
      <c r="M62" s="33">
        <f t="shared" si="20"/>
        <v>1</v>
      </c>
      <c r="N62" s="33">
        <f t="shared" si="21"/>
        <v>44</v>
      </c>
      <c r="O62" s="29">
        <f>COUNTIFS(AllData[Site Name], Tables!B62, AllData[Season], "Summer", AllData[Year], "2023")</f>
        <v>0</v>
      </c>
      <c r="P62" s="30" t="str">
        <f>IFERROR(AVERAGEIFS(AllData[Nitrate (PPM)], AllData[Site Name], B62, AllData[Season], "Summer", AllData[Year], "2023"), "")</f>
        <v/>
      </c>
      <c r="Q62" s="32" t="str">
        <f t="shared" si="4"/>
        <v/>
      </c>
      <c r="R62" s="31" t="str">
        <f>IFERROR(AVERAGEIFS(AllData[Phosphate (PPM)], AllData[Site Name], B62, AllData[Season], "Summer", AllData[Year], "2023"),"")</f>
        <v/>
      </c>
      <c r="S62" s="34" t="str">
        <f t="shared" si="5"/>
        <v/>
      </c>
      <c r="T62" s="33">
        <f>COUNTIFS(AllData[Site Name], Tables!B62, AllData[Season], "Autumn", AllData[Year], "2023")</f>
        <v>0</v>
      </c>
      <c r="U62" s="30" t="str">
        <f>IFERROR(AVERAGEIFS(AllData[Nitrate (PPM)], AllData[Site Name], B62, AllData[Season], "Autumn", AllData[Year], "2023"), "")</f>
        <v/>
      </c>
      <c r="V62" s="32" t="str">
        <f t="shared" si="6"/>
        <v/>
      </c>
      <c r="W62" s="31" t="str">
        <f>IFERROR(AVERAGEIFS(AllData[Phosphate (PPM)], AllData[Site Name], B62, AllData[Season], "Autumn", AllData[Year], "2023"), "")</f>
        <v/>
      </c>
      <c r="X62" s="34" t="str">
        <f t="shared" si="7"/>
        <v/>
      </c>
      <c r="Y62" s="33">
        <f>COUNTIFS(AllData[Site Name], Tables!B62, AllData[Season], "Winter", AllData[Year], "2023")</f>
        <v>0</v>
      </c>
      <c r="Z62" s="30" t="str">
        <f>IFERROR(AVERAGEIFS(AllData[Nitrate (PPM)], AllData[Site Name], B62, AllData[Season], "Winter", AllData[Year], "2023"), "")</f>
        <v/>
      </c>
      <c r="AA62" s="32" t="str">
        <f t="shared" si="8"/>
        <v/>
      </c>
      <c r="AB62" s="31" t="str">
        <f>IFERROR(AVERAGEIFS(AllData[Phosphate (PPM)], AllData[Site Name], B62, AllData[Season], "Winter", AllData[Year], "2023"),"")</f>
        <v/>
      </c>
      <c r="AC62" s="32" t="str">
        <f t="shared" si="9"/>
        <v/>
      </c>
      <c r="AD62" s="52">
        <f>COUNTIFS(AllData[Site Name], Tables!B62, AllData[Season], "Spring", AllData[Year], "2024")</f>
        <v>0</v>
      </c>
      <c r="AE62" s="30" t="str">
        <f>IFERROR(AVERAGEIFS(AllData[Nitrate (PPM)], AllData[Site Name], B62, AllData[Season], "Spring", AllData[Year], "2024"), "")</f>
        <v/>
      </c>
      <c r="AF62" s="32" t="str">
        <f t="shared" si="10"/>
        <v/>
      </c>
      <c r="AG62" s="31" t="str">
        <f>IFERROR(AVERAGEIFS(AllData[Phosphate (PPM)], AllData[Site Name], B62, AllData[Season], "Spring", AllData[Year], "2024"),"")</f>
        <v/>
      </c>
      <c r="AH62" s="34"/>
      <c r="AI62" s="33">
        <f>COUNTIFS(AllData[Site Name], Tables!B62, AllData[Season], "Summer", AllData[Year], "2024")</f>
        <v>1</v>
      </c>
      <c r="AJ62" s="30">
        <f>IFERROR(AVERAGEIFS(AllData[Nitrate (PPM)], AllData[Site Name], B62, AllData[Season], "Summer", AllData[Year], "2024"), "")</f>
        <v>20</v>
      </c>
      <c r="AK62" s="32">
        <f t="shared" si="12"/>
        <v>0</v>
      </c>
      <c r="AL62" s="32" t="str">
        <f t="shared" si="13"/>
        <v/>
      </c>
      <c r="AM62" s="31">
        <f>IFERROR(AVERAGEIFS(AllData[Phosphate (PPM)], AllData[Site Name], B62, AllData[Season], "Summer", AllData[Year], "2024"),"")</f>
        <v>0.51</v>
      </c>
      <c r="AN62" s="32">
        <f t="shared" si="14"/>
        <v>0</v>
      </c>
      <c r="AO62" s="61" t="str">
        <f t="shared" si="15"/>
        <v/>
      </c>
    </row>
    <row r="63" spans="1:41" x14ac:dyDescent="0.25">
      <c r="A63" s="42"/>
      <c r="B63" s="13" t="s">
        <v>284</v>
      </c>
      <c r="C63" s="137">
        <f>IFERROR(AVERAGEIF(AllData[Site Name], Tables!B63, AllData[Latitude]), "Unknown")</f>
        <v>52.206446825000015</v>
      </c>
      <c r="D63" s="137">
        <f>IFERROR(AVERAGEIF(AllData[Site Name], Tables!B63, AllData[Longitude]), "Unknown")</f>
        <v>-1.6541684000000003</v>
      </c>
      <c r="E63" s="13" t="e" vm="2">
        <f>_xlfn.XLOOKUP(B63,LocationsKey[Site Name], LocationsKey[District])</f>
        <v>#VALUE!</v>
      </c>
      <c r="F63" s="13" t="e" vm="13">
        <f>_xlfn.XLOOKUP(B63,LocationsKey[Site Name], LocationsKey[Town])</f>
        <v>#VALUE!</v>
      </c>
      <c r="G63" s="28" t="str">
        <f>_xlfn.XLOOKUP(B63,LocationsKey[Site Name],LocationsKey[Waterway])</f>
        <v>Avon</v>
      </c>
      <c r="H63" s="29">
        <f>COUNTIF(AllData[Site Name], Tables!B63)</f>
        <v>42</v>
      </c>
      <c r="I63" s="30">
        <f t="shared" si="2"/>
        <v>6.4320679320679321</v>
      </c>
      <c r="J63" s="31">
        <f t="shared" si="3"/>
        <v>0.50400724275724285</v>
      </c>
      <c r="K63" s="32" cm="1">
        <f t="array" ref="K63">SUM(COUNTIFS(AllData[Site Name], B63, AllData[Nitrate Pollution Category], {"High","Very high"}))/COUNTIFS(AllData[Site Name], B63, AllData[Nitrate (PPM)], "&lt;&gt;0")</f>
        <v>1</v>
      </c>
      <c r="L63" s="32" cm="1">
        <f t="array" ref="L63">SUM(COUNTIFS(AllData[Site Name], B63, AllData[Phosphate Pollution Category], {"High","Very high"}))/COUNTIFS(AllData[Site Name], B63, AllData[Phosphate (PPM)], "&lt;&gt;0")</f>
        <v>1</v>
      </c>
      <c r="M63" s="33">
        <f t="shared" si="20"/>
        <v>34</v>
      </c>
      <c r="N63" s="33">
        <f t="shared" si="21"/>
        <v>46</v>
      </c>
      <c r="O63" s="29">
        <f>COUNTIFS(AllData[Site Name], Tables!B63, AllData[Season], "Summer", AllData[Year], "2023")</f>
        <v>0</v>
      </c>
      <c r="P63" s="30" t="str">
        <f>IFERROR(AVERAGEIFS(AllData[Nitrate (PPM)], AllData[Site Name], B63, AllData[Season], "Summer", AllData[Year], "2023"), "")</f>
        <v/>
      </c>
      <c r="Q63" s="32" t="str">
        <f t="shared" si="4"/>
        <v/>
      </c>
      <c r="R63" s="31" t="str">
        <f>IFERROR(AVERAGEIFS(AllData[Phosphate (PPM)], AllData[Site Name], B63, AllData[Season], "Summer", AllData[Year], "2023"),"")</f>
        <v/>
      </c>
      <c r="S63" s="34" t="str">
        <f t="shared" si="5"/>
        <v/>
      </c>
      <c r="T63" s="33">
        <f>COUNTIFS(AllData[Site Name], Tables!B63, AllData[Season], "Autumn", AllData[Year], "2023")</f>
        <v>4</v>
      </c>
      <c r="U63" s="30">
        <f>IFERROR(AVERAGEIFS(AllData[Nitrate (PPM)], AllData[Site Name], B63, AllData[Season], "Autumn", AllData[Year], "2023"), "")</f>
        <v>5</v>
      </c>
      <c r="V63" s="32">
        <f t="shared" si="6"/>
        <v>-0.22264502601537625</v>
      </c>
      <c r="W63" s="31">
        <f>IFERROR(AVERAGEIFS(AllData[Phosphate (PPM)], AllData[Site Name], B63, AllData[Season], "Autumn", AllData[Year], "2023"), "")</f>
        <v>0.51</v>
      </c>
      <c r="X63" s="34">
        <f t="shared" si="7"/>
        <v>1.18902204856679E-2</v>
      </c>
      <c r="Y63" s="33">
        <f>COUNTIFS(AllData[Site Name], Tables!B63, AllData[Season], "Winter", AllData[Year], "2023")</f>
        <v>14</v>
      </c>
      <c r="Z63" s="30">
        <f>IFERROR(AVERAGEIFS(AllData[Nitrate (PPM)], AllData[Site Name], B63, AllData[Season], "Winter", AllData[Year], "2023"), "")</f>
        <v>4.7142857142857144</v>
      </c>
      <c r="AA63" s="32">
        <f t="shared" si="8"/>
        <v>-0.26706531024306901</v>
      </c>
      <c r="AB63" s="31">
        <f>IFERROR(AVERAGEIFS(AllData[Phosphate (PPM)], AllData[Site Name], B63, AllData[Season], "Winter", AllData[Year], "2023"),"")</f>
        <v>0.57071428571428584</v>
      </c>
      <c r="AC63" s="32">
        <f t="shared" si="9"/>
        <v>0.13235334197205717</v>
      </c>
      <c r="AD63" s="52">
        <f>COUNTIFS(AllData[Site Name], Tables!B63, AllData[Season], "Spring", AllData[Year], "2024")</f>
        <v>13</v>
      </c>
      <c r="AE63" s="30">
        <f>IFERROR(AVERAGEIFS(AllData[Nitrate (PPM)], AllData[Site Name], B63, AllData[Season], "Spring", AllData[Year], "2024"), "")</f>
        <v>6.9230769230769234</v>
      </c>
      <c r="AF63" s="32">
        <f t="shared" si="10"/>
        <v>7.6337656286402142E-2</v>
      </c>
      <c r="AG63" s="31">
        <f>IFERROR(AVERAGEIFS(AllData[Phosphate (PPM)], AllData[Site Name], B63, AllData[Season], "Spring", AllData[Year], "2024"),"")</f>
        <v>0.46076923076923076</v>
      </c>
      <c r="AH63" s="34">
        <f t="shared" si="11"/>
        <v>-8.5788473497865683E-2</v>
      </c>
      <c r="AI63" s="33">
        <f>COUNTIFS(AllData[Site Name], Tables!B63, AllData[Season], "Summer", AllData[Year], "2024")</f>
        <v>11</v>
      </c>
      <c r="AJ63" s="30">
        <f>IFERROR(AVERAGEIFS(AllData[Nitrate (PPM)], AllData[Site Name], B63, AllData[Season], "Summer", AllData[Year], "2024"), "")</f>
        <v>9.0909090909090917</v>
      </c>
      <c r="AK63" s="32">
        <f t="shared" si="12"/>
        <v>0.4133726799720433</v>
      </c>
      <c r="AL63" s="32" t="str">
        <f t="shared" si="13"/>
        <v/>
      </c>
      <c r="AM63" s="31">
        <f>IFERROR(AVERAGEIFS(AllData[Phosphate (PPM)], AllData[Site Name], B63, AllData[Season], "Summer", AllData[Year], "2024"),"")</f>
        <v>0.47454545454545455</v>
      </c>
      <c r="AN63" s="32">
        <f t="shared" si="14"/>
        <v>-5.8455088959859826E-2</v>
      </c>
      <c r="AO63" s="61" t="str">
        <f t="shared" si="15"/>
        <v/>
      </c>
    </row>
    <row r="64" spans="1:41" x14ac:dyDescent="0.25">
      <c r="A64" s="42"/>
      <c r="B64" s="13" t="s">
        <v>1569</v>
      </c>
      <c r="C64" s="137">
        <f>IFERROR(AVERAGEIF(AllData[Site Name], Tables!B64, AllData[Latitude]), "Unknown")</f>
        <v>51.9885442</v>
      </c>
      <c r="D64" s="137">
        <f>IFERROR(AVERAGEIF(AllData[Site Name], Tables!B64, AllData[Longitude]), "Unknown")</f>
        <v>-2.1639010000000001</v>
      </c>
      <c r="E64" s="13" t="e" vm="1">
        <f>_xlfn.XLOOKUP(B64,LocationsKey[Site Name], LocationsKey[District])</f>
        <v>#VALUE!</v>
      </c>
      <c r="F64" s="13" t="e" vm="1">
        <f>_xlfn.XLOOKUP(B64,LocationsKey[Site Name], LocationsKey[Town])</f>
        <v>#VALUE!</v>
      </c>
      <c r="G64" s="28" t="str">
        <f>_xlfn.XLOOKUP(B64,LocationsKey[Site Name],LocationsKey[Waterway])</f>
        <v>Swilgate</v>
      </c>
      <c r="H64" s="29">
        <f>COUNTIF(AllData[Site Name], Tables!B64)</f>
        <v>54</v>
      </c>
      <c r="I64" s="30">
        <f t="shared" si="2"/>
        <v>5.0787645687645693</v>
      </c>
      <c r="J64" s="31">
        <f t="shared" si="3"/>
        <v>0.6159608391608391</v>
      </c>
      <c r="K64" s="32" cm="1">
        <f t="array" ref="K64">SUM(COUNTIFS(AllData[Site Name], B64, AllData[Nitrate Pollution Category], {"High","Very high"}))/COUNTIFS(AllData[Site Name], B64, AllData[Nitrate (PPM)], "&lt;&gt;0")</f>
        <v>1</v>
      </c>
      <c r="L64" s="32" cm="1">
        <f t="array" ref="L64">SUM(COUNTIFS(AllData[Site Name], B64, AllData[Phosphate Pollution Category], {"High","Very high"}))/COUNTIFS(AllData[Site Name], B64, AllData[Phosphate (PPM)], "&lt;&gt;0")</f>
        <v>0.98148148148148151</v>
      </c>
      <c r="M64" s="33">
        <f t="shared" si="20"/>
        <v>43</v>
      </c>
      <c r="N64" s="33">
        <f t="shared" si="21"/>
        <v>28</v>
      </c>
      <c r="O64" s="29">
        <f>COUNTIFS(AllData[Site Name], Tables!B64, AllData[Season], "Summer", AllData[Year], "2023")</f>
        <v>5</v>
      </c>
      <c r="P64" s="30">
        <f>IFERROR(AVERAGEIFS(AllData[Nitrate (PPM)], AllData[Site Name], B64, AllData[Season], "Summer", AllData[Year], "2023"), "")</f>
        <v>7.8</v>
      </c>
      <c r="Q64" s="32">
        <f t="shared" si="4"/>
        <v>0.53580657153741273</v>
      </c>
      <c r="R64" s="31">
        <f>IFERROR(AVERAGEIFS(AllData[Phosphate (PPM)], AllData[Site Name], B64, AllData[Season], "Summer", AllData[Year], "2023"),"")</f>
        <v>0.754</v>
      </c>
      <c r="S64" s="34">
        <f t="shared" si="5"/>
        <v>0.22410379372042555</v>
      </c>
      <c r="T64" s="33">
        <f>COUNTIFS(AllData[Site Name], Tables!B64, AllData[Season], "Autumn", AllData[Year], "2023")</f>
        <v>12</v>
      </c>
      <c r="U64" s="30">
        <f>IFERROR(AVERAGEIFS(AllData[Nitrate (PPM)], AllData[Site Name], B64, AllData[Season], "Autumn", AllData[Year], "2023"), "")</f>
        <v>5.083333333333333</v>
      </c>
      <c r="V64" s="32">
        <f t="shared" si="6"/>
        <v>8.9958187801470238E-4</v>
      </c>
      <c r="W64" s="31">
        <f>IFERROR(AVERAGEIFS(AllData[Phosphate (PPM)], AllData[Site Name], B64, AllData[Season], "Autumn", AllData[Year], "2023"), "")</f>
        <v>0.60181818181818181</v>
      </c>
      <c r="X64" s="34">
        <f t="shared" si="7"/>
        <v>-2.2960318974051493E-2</v>
      </c>
      <c r="Y64" s="33">
        <f>COUNTIFS(AllData[Site Name], Tables!B64, AllData[Season], "Winter", AllData[Year], "2023")</f>
        <v>13</v>
      </c>
      <c r="Z64" s="30">
        <f>IFERROR(AVERAGEIFS(AllData[Nitrate (PPM)], AllData[Site Name], B64, AllData[Season], "Winter", AllData[Year], "2023"), "")</f>
        <v>3.7692307692307692</v>
      </c>
      <c r="AA64" s="32">
        <f t="shared" si="8"/>
        <v>-0.25784495063773938</v>
      </c>
      <c r="AB64" s="31">
        <f>IFERROR(AVERAGEIFS(AllData[Phosphate (PPM)], AllData[Site Name], B64, AllData[Season], "Winter", AllData[Year], "2023"),"")</f>
        <v>0.44307692307692303</v>
      </c>
      <c r="AC64" s="32">
        <f t="shared" si="9"/>
        <v>-0.28067355112939701</v>
      </c>
      <c r="AD64" s="52">
        <f>COUNTIFS(AllData[Site Name], Tables!B64, AllData[Season], "Spring", AllData[Year], "2024")</f>
        <v>13</v>
      </c>
      <c r="AE64" s="30">
        <f>IFERROR(AVERAGEIFS(AllData[Nitrate (PPM)], AllData[Site Name], B64, AllData[Season], "Spring", AllData[Year], "2024"), "")</f>
        <v>3.9230769230769229</v>
      </c>
      <c r="AF64" s="32">
        <f t="shared" si="10"/>
        <v>-0.22755290780662674</v>
      </c>
      <c r="AG64" s="31">
        <f>IFERROR(AVERAGEIFS(AllData[Phosphate (PPM)], AllData[Site Name], B64, AllData[Season], "Spring", AllData[Year], "2024"),"")</f>
        <v>0.41000000000000003</v>
      </c>
      <c r="AH64" s="34">
        <f t="shared" si="11"/>
        <v>-0.33437326866661204</v>
      </c>
      <c r="AI64" s="33">
        <f>COUNTIFS(AllData[Site Name], Tables!B64, AllData[Season], "Summer", AllData[Year], "2024")</f>
        <v>11</v>
      </c>
      <c r="AJ64" s="30">
        <f>IFERROR(AVERAGEIFS(AllData[Nitrate (PPM)], AllData[Site Name], B64, AllData[Season], "Summer", AllData[Year], "2024"), "")</f>
        <v>4.8181818181818183</v>
      </c>
      <c r="AK64" s="32">
        <f t="shared" si="12"/>
        <v>-5.1308294971061985E-2</v>
      </c>
      <c r="AL64" s="32">
        <f t="shared" si="13"/>
        <v>-0.38228438228438227</v>
      </c>
      <c r="AM64" s="31">
        <f>IFERROR(AVERAGEIFS(AllData[Phosphate (PPM)], AllData[Site Name], B64, AllData[Season], "Summer", AllData[Year], "2024"),"")</f>
        <v>0.87090909090909074</v>
      </c>
      <c r="AN64" s="32">
        <f t="shared" si="14"/>
        <v>0.41390334504963522</v>
      </c>
      <c r="AO64" s="61">
        <f t="shared" si="15"/>
        <v>0.15505184470701688</v>
      </c>
    </row>
    <row r="65" spans="1:41" x14ac:dyDescent="0.25">
      <c r="A65" s="42"/>
      <c r="B65" s="13" t="s">
        <v>1223</v>
      </c>
      <c r="C65" s="137">
        <f>IFERROR(AVERAGEIF(AllData[Site Name], Tables!B65, AllData[Latitude]), "Unknown")</f>
        <v>51.980561000000002</v>
      </c>
      <c r="D65" s="137">
        <f>IFERROR(AVERAGEIF(AllData[Site Name], Tables!B65, AllData[Longitude]), "Unknown")</f>
        <v>-2.150067</v>
      </c>
      <c r="E65" s="13" t="e" vm="1">
        <f>_xlfn.XLOOKUP(B65,LocationsKey[Site Name], LocationsKey[District])</f>
        <v>#VALUE!</v>
      </c>
      <c r="F65" s="13" t="e" vm="1">
        <f>_xlfn.XLOOKUP(B65,LocationsKey[Site Name], LocationsKey[Town])</f>
        <v>#VALUE!</v>
      </c>
      <c r="G65" s="28" t="str">
        <f>_xlfn.XLOOKUP(B65,LocationsKey[Site Name],LocationsKey[Waterway])</f>
        <v>Swilgate</v>
      </c>
      <c r="H65" s="29">
        <f>COUNTIF(AllData[Site Name], Tables!B65)</f>
        <v>1</v>
      </c>
      <c r="I65" s="30">
        <f t="shared" si="2"/>
        <v>8</v>
      </c>
      <c r="J65" s="31">
        <f t="shared" si="3"/>
        <v>0.7</v>
      </c>
      <c r="K65" s="32" cm="1">
        <f t="array" ref="K65">SUM(COUNTIFS(AllData[Site Name], B65, AllData[Nitrate Pollution Category], {"High","Very high"}))/COUNTIFS(AllData[Site Name], B65, AllData[Nitrate (PPM)], "&lt;&gt;0")</f>
        <v>1</v>
      </c>
      <c r="L65" s="32" cm="1">
        <f t="array" ref="L65">SUM(COUNTIFS(AllData[Site Name], B65, AllData[Phosphate Pollution Category], {"High","Very high"}))/COUNTIFS(AllData[Site Name], B65, AllData[Phosphate (PPM)], "&lt;&gt;0")</f>
        <v>1</v>
      </c>
      <c r="M65" s="33">
        <f t="shared" si="20"/>
        <v>14</v>
      </c>
      <c r="N65" s="33">
        <f t="shared" si="21"/>
        <v>23</v>
      </c>
      <c r="O65" s="29">
        <f>COUNTIFS(AllData[Site Name], Tables!B65, AllData[Season], "Summer", AllData[Year], "2023")</f>
        <v>0</v>
      </c>
      <c r="P65" s="30" t="str">
        <f>IFERROR(AVERAGEIFS(AllData[Nitrate (PPM)], AllData[Site Name], B65, AllData[Season], "Summer", AllData[Year], "2023"), "")</f>
        <v/>
      </c>
      <c r="Q65" s="32" t="str">
        <f t="shared" si="4"/>
        <v/>
      </c>
      <c r="R65" s="31" t="str">
        <f>IFERROR(AVERAGEIFS(AllData[Phosphate (PPM)], AllData[Site Name], B65, AllData[Season], "Summer", AllData[Year], "2023"),"")</f>
        <v/>
      </c>
      <c r="S65" s="34" t="str">
        <f t="shared" si="5"/>
        <v/>
      </c>
      <c r="T65" s="33">
        <f>COUNTIFS(AllData[Site Name], Tables!B65, AllData[Season], "Autumn", AllData[Year], "2023")</f>
        <v>0</v>
      </c>
      <c r="U65" s="30" t="str">
        <f>IFERROR(AVERAGEIFS(AllData[Nitrate (PPM)], AllData[Site Name], B65, AllData[Season], "Autumn", AllData[Year], "2023"), "")</f>
        <v/>
      </c>
      <c r="V65" s="32" t="str">
        <f t="shared" si="6"/>
        <v/>
      </c>
      <c r="W65" s="31" t="str">
        <f>IFERROR(AVERAGEIFS(AllData[Phosphate (PPM)], AllData[Site Name], B65, AllData[Season], "Autumn", AllData[Year], "2023"), "")</f>
        <v/>
      </c>
      <c r="X65" s="34" t="str">
        <f t="shared" si="7"/>
        <v/>
      </c>
      <c r="Y65" s="33">
        <f>COUNTIFS(AllData[Site Name], Tables!B65, AllData[Season], "Winter", AllData[Year], "2023")</f>
        <v>0</v>
      </c>
      <c r="Z65" s="30" t="str">
        <f>IFERROR(AVERAGEIFS(AllData[Nitrate (PPM)], AllData[Site Name], B65, AllData[Season], "Winter", AllData[Year], "2023"), "")</f>
        <v/>
      </c>
      <c r="AA65" s="32" t="str">
        <f t="shared" si="8"/>
        <v/>
      </c>
      <c r="AB65" s="31" t="str">
        <f>IFERROR(AVERAGEIFS(AllData[Phosphate (PPM)], AllData[Site Name], B65, AllData[Season], "Winter", AllData[Year], "2023"),"")</f>
        <v/>
      </c>
      <c r="AC65" s="32" t="str">
        <f t="shared" si="9"/>
        <v/>
      </c>
      <c r="AD65" s="52">
        <f>COUNTIFS(AllData[Site Name], Tables!B65, AllData[Season], "Spring", AllData[Year], "2024")</f>
        <v>0</v>
      </c>
      <c r="AE65" s="30" t="str">
        <f>IFERROR(AVERAGEIFS(AllData[Nitrate (PPM)], AllData[Site Name], B65, AllData[Season], "Spring", AllData[Year], "2024"), "")</f>
        <v/>
      </c>
      <c r="AF65" s="32" t="str">
        <f t="shared" si="10"/>
        <v/>
      </c>
      <c r="AG65" s="31" t="str">
        <f>IFERROR(AVERAGEIFS(AllData[Phosphate (PPM)], AllData[Site Name], B65, AllData[Season], "Spring", AllData[Year], "2024"),"")</f>
        <v/>
      </c>
      <c r="AH65" s="34"/>
      <c r="AI65" s="33">
        <f>COUNTIFS(AllData[Site Name], Tables!B65, AllData[Season], "Summer", AllData[Year], "2024")</f>
        <v>1</v>
      </c>
      <c r="AJ65" s="30">
        <f>IFERROR(AVERAGEIFS(AllData[Nitrate (PPM)], AllData[Site Name], B65, AllData[Season], "Summer", AllData[Year], "2024"), "")</f>
        <v>8</v>
      </c>
      <c r="AK65" s="32">
        <f t="shared" si="12"/>
        <v>0</v>
      </c>
      <c r="AL65" s="32" t="str">
        <f t="shared" si="13"/>
        <v/>
      </c>
      <c r="AM65" s="31">
        <f>IFERROR(AVERAGEIFS(AllData[Phosphate (PPM)], AllData[Site Name], B65, AllData[Season], "Summer", AllData[Year], "2024"),"")</f>
        <v>0.7</v>
      </c>
      <c r="AN65" s="32">
        <f t="shared" si="14"/>
        <v>0</v>
      </c>
      <c r="AO65" s="61" t="str">
        <f t="shared" si="15"/>
        <v/>
      </c>
    </row>
    <row r="66" spans="1:41" x14ac:dyDescent="0.25">
      <c r="A66" s="42"/>
      <c r="B66" s="13" t="s">
        <v>120</v>
      </c>
      <c r="C66" s="137">
        <f>IFERROR(AVERAGEIF(AllData[Site Name], Tables!B66, AllData[Latitude]), "Unknown")</f>
        <v>52.120947999999999</v>
      </c>
      <c r="D66" s="137">
        <f>IFERROR(AVERAGEIF(AllData[Site Name], Tables!B66, AllData[Longitude]), "Unknown")</f>
        <v>-1.6505399999999999</v>
      </c>
      <c r="E66" s="13" t="e" vm="2">
        <f>_xlfn.XLOOKUP(B66,LocationsKey[Site Name], LocationsKey[District])</f>
        <v>#VALUE!</v>
      </c>
      <c r="F66" s="13" t="e" vm="8">
        <f>_xlfn.XLOOKUP(B66,LocationsKey[Site Name], LocationsKey[Town])</f>
        <v>#VALUE!</v>
      </c>
      <c r="G66" s="28" t="str">
        <f>_xlfn.XLOOKUP(B66,LocationsKey[Site Name],LocationsKey[Waterway])</f>
        <v>Avon</v>
      </c>
      <c r="H66" s="29">
        <f>COUNTIF(AllData[Site Name], Tables!B66)</f>
        <v>1</v>
      </c>
      <c r="I66" s="30">
        <f t="shared" si="2"/>
        <v>10</v>
      </c>
      <c r="J66" s="31">
        <f t="shared" si="3"/>
        <v>0.33</v>
      </c>
      <c r="K66" s="32" cm="1">
        <f t="array" ref="K66">SUM(COUNTIFS(AllData[Site Name], B66, AllData[Nitrate Pollution Category], {"High","Very high"}))/COUNTIFS(AllData[Site Name], B66, AllData[Nitrate (PPM)], "&lt;&gt;0")</f>
        <v>1</v>
      </c>
      <c r="L66" s="32" cm="1">
        <f t="array" ref="L66">SUM(COUNTIFS(AllData[Site Name], B66, AllData[Phosphate Pollution Category], {"High","Very high"}))/COUNTIFS(AllData[Site Name], B66, AllData[Phosphate (PPM)], "&lt;&gt;0")</f>
        <v>1</v>
      </c>
      <c r="M66" s="33">
        <f t="shared" si="20"/>
        <v>5</v>
      </c>
      <c r="N66" s="33">
        <f t="shared" si="21"/>
        <v>58</v>
      </c>
      <c r="O66" s="29">
        <f>COUNTIFS(AllData[Site Name], Tables!B66, AllData[Season], "Summer", AllData[Year], "2023")</f>
        <v>1</v>
      </c>
      <c r="P66" s="30">
        <f>IFERROR(AVERAGEIFS(AllData[Nitrate (PPM)], AllData[Site Name], B66, AllData[Season], "Summer", AllData[Year], "2023"), "")</f>
        <v>10</v>
      </c>
      <c r="Q66" s="32">
        <f t="shared" si="4"/>
        <v>0</v>
      </c>
      <c r="R66" s="31">
        <f>IFERROR(AVERAGEIFS(AllData[Phosphate (PPM)], AllData[Site Name], B66, AllData[Season], "Summer", AllData[Year], "2023"),"")</f>
        <v>0.33</v>
      </c>
      <c r="S66" s="34">
        <f t="shared" si="5"/>
        <v>0</v>
      </c>
      <c r="T66" s="33">
        <f>COUNTIFS(AllData[Site Name], Tables!B66, AllData[Season], "Autumn", AllData[Year], "2023")</f>
        <v>0</v>
      </c>
      <c r="U66" s="30" t="str">
        <f>IFERROR(AVERAGEIFS(AllData[Nitrate (PPM)], AllData[Site Name], B66, AllData[Season], "Autumn", AllData[Year], "2023"), "")</f>
        <v/>
      </c>
      <c r="V66" s="32" t="str">
        <f t="shared" si="6"/>
        <v/>
      </c>
      <c r="W66" s="31" t="str">
        <f>IFERROR(AVERAGEIFS(AllData[Phosphate (PPM)], AllData[Site Name], B66, AllData[Season], "Autumn", AllData[Year], "2023"), "")</f>
        <v/>
      </c>
      <c r="X66" s="34" t="str">
        <f t="shared" si="7"/>
        <v/>
      </c>
      <c r="Y66" s="33">
        <f>COUNTIFS(AllData[Site Name], Tables!B66, AllData[Season], "Winter", AllData[Year], "2023")</f>
        <v>0</v>
      </c>
      <c r="Z66" s="30" t="str">
        <f>IFERROR(AVERAGEIFS(AllData[Nitrate (PPM)], AllData[Site Name], B66, AllData[Season], "Winter", AllData[Year], "2023"), "")</f>
        <v/>
      </c>
      <c r="AA66" s="32" t="str">
        <f t="shared" si="8"/>
        <v/>
      </c>
      <c r="AB66" s="31" t="str">
        <f>IFERROR(AVERAGEIFS(AllData[Phosphate (PPM)], AllData[Site Name], B66, AllData[Season], "Winter", AllData[Year], "2023"),"")</f>
        <v/>
      </c>
      <c r="AC66" s="32" t="str">
        <f t="shared" si="9"/>
        <v/>
      </c>
      <c r="AD66" s="52">
        <f>COUNTIFS(AllData[Site Name], Tables!B66, AllData[Season], "Spring", AllData[Year], "2024")</f>
        <v>0</v>
      </c>
      <c r="AE66" s="30" t="str">
        <f>IFERROR(AVERAGEIFS(AllData[Nitrate (PPM)], AllData[Site Name], B66, AllData[Season], "Spring", AllData[Year], "2024"), "")</f>
        <v/>
      </c>
      <c r="AF66" s="32" t="str">
        <f t="shared" si="10"/>
        <v/>
      </c>
      <c r="AG66" s="31" t="str">
        <f>IFERROR(AVERAGEIFS(AllData[Phosphate (PPM)], AllData[Site Name], B66, AllData[Season], "Spring", AllData[Year], "2024"),"")</f>
        <v/>
      </c>
      <c r="AH66" s="34" t="str">
        <f t="shared" si="11"/>
        <v/>
      </c>
      <c r="AI66" s="33">
        <f>COUNTIFS(AllData[Site Name], Tables!B66, AllData[Season], "Summer", AllData[Year], "2024")</f>
        <v>0</v>
      </c>
      <c r="AJ66" s="30" t="str">
        <f>IFERROR(AVERAGEIFS(AllData[Nitrate (PPM)], AllData[Site Name], B66, AllData[Season], "Summer", AllData[Year], "2024"), "")</f>
        <v/>
      </c>
      <c r="AK66" s="32" t="str">
        <f t="shared" si="12"/>
        <v/>
      </c>
      <c r="AL66" s="32" t="str">
        <f t="shared" si="13"/>
        <v/>
      </c>
      <c r="AM66" s="31" t="str">
        <f>IFERROR(AVERAGEIFS(AllData[Phosphate (PPM)], AllData[Site Name], B66, AllData[Season], "Summer", AllData[Year], "2024"),"")</f>
        <v/>
      </c>
      <c r="AN66" s="32" t="str">
        <f t="shared" si="14"/>
        <v/>
      </c>
      <c r="AO66" s="61" t="str">
        <f t="shared" si="15"/>
        <v/>
      </c>
    </row>
    <row r="67" spans="1:41" x14ac:dyDescent="0.25">
      <c r="A67" s="42"/>
      <c r="B67" s="13" t="s">
        <v>526</v>
      </c>
      <c r="C67" s="137">
        <f>IFERROR(AVERAGEIF(AllData[Site Name], Tables!B67, AllData[Latitude]), "Unknown")</f>
        <v>52.261724821428579</v>
      </c>
      <c r="D67" s="137">
        <f>IFERROR(AVERAGEIF(AllData[Site Name], Tables!B67, AllData[Longitude]), "Unknown")</f>
        <v>-1.719408857142857</v>
      </c>
      <c r="E67" s="13" t="e" vm="2">
        <f>_xlfn.XLOOKUP(B67,LocationsKey[Site Name], LocationsKey[District])</f>
        <v>#VALUE!</v>
      </c>
      <c r="F67" s="13" t="str">
        <f>_xlfn.XLOOKUP(B67,LocationsKey[Site Name], LocationsKey[Town])</f>
        <v>Langley</v>
      </c>
      <c r="G67" s="28" t="str">
        <f>_xlfn.XLOOKUP(B67,LocationsKey[Site Name],LocationsKey[Waterway])</f>
        <v>Langley Ford</v>
      </c>
      <c r="H67" s="29">
        <f>COUNTIF(AllData[Site Name], Tables!B67)</f>
        <v>29</v>
      </c>
      <c r="I67" s="30">
        <f t="shared" si="2"/>
        <v>4.6355311355311359</v>
      </c>
      <c r="J67" s="31">
        <f t="shared" si="3"/>
        <v>0.67761904761904745</v>
      </c>
      <c r="K67" s="32" cm="1">
        <f t="array" ref="K67">SUM(COUNTIFS(AllData[Site Name], B67, AllData[Nitrate Pollution Category], {"High","Very high"}))/COUNTIFS(AllData[Site Name], B67, AllData[Nitrate (PPM)], "&lt;&gt;0")</f>
        <v>0.89655172413793105</v>
      </c>
      <c r="L67" s="32" cm="1">
        <f t="array" ref="L67">SUM(COUNTIFS(AllData[Site Name], B67, AllData[Phosphate Pollution Category], {"High","Very high"}))/COUNTIFS(AllData[Site Name], B67, AllData[Phosphate (PPM)], "&lt;&gt;0")</f>
        <v>1</v>
      </c>
      <c r="M67" s="33">
        <f t="shared" si="20"/>
        <v>50</v>
      </c>
      <c r="N67" s="33">
        <f t="shared" si="21"/>
        <v>25</v>
      </c>
      <c r="O67" s="29">
        <f>COUNTIFS(AllData[Site Name], Tables!B67, AllData[Season], "Summer", AllData[Year], "2023")</f>
        <v>0</v>
      </c>
      <c r="P67" s="30" t="str">
        <f>IFERROR(AVERAGEIFS(AllData[Nitrate (PPM)], AllData[Site Name], B67, AllData[Season], "Summer", AllData[Year], "2023"), "")</f>
        <v/>
      </c>
      <c r="Q67" s="32" t="str">
        <f t="shared" si="4"/>
        <v/>
      </c>
      <c r="R67" s="31" t="str">
        <f>IFERROR(AVERAGEIFS(AllData[Phosphate (PPM)], AllData[Site Name], B67, AllData[Season], "Summer", AllData[Year], "2023"),"")</f>
        <v/>
      </c>
      <c r="S67" s="34" t="str">
        <f t="shared" si="5"/>
        <v/>
      </c>
      <c r="T67" s="33">
        <f>COUNTIFS(AllData[Site Name], Tables!B67, AllData[Season], "Autumn", AllData[Year], "2023")</f>
        <v>0</v>
      </c>
      <c r="U67" s="30" t="str">
        <f>IFERROR(AVERAGEIFS(AllData[Nitrate (PPM)], AllData[Site Name], B67, AllData[Season], "Autumn", AllData[Year], "2023"), "")</f>
        <v/>
      </c>
      <c r="V67" s="32" t="str">
        <f t="shared" si="6"/>
        <v/>
      </c>
      <c r="W67" s="31" t="str">
        <f>IFERROR(AVERAGEIFS(AllData[Phosphate (PPM)], AllData[Site Name], B67, AllData[Season], "Autumn", AllData[Year], "2023"), "")</f>
        <v/>
      </c>
      <c r="X67" s="34" t="str">
        <f t="shared" si="7"/>
        <v/>
      </c>
      <c r="Y67" s="33">
        <f>COUNTIFS(AllData[Site Name], Tables!B67, AllData[Season], "Winter", AllData[Year], "2023")</f>
        <v>7</v>
      </c>
      <c r="Z67" s="30">
        <f>IFERROR(AVERAGEIFS(AllData[Nitrate (PPM)], AllData[Site Name], B67, AllData[Season], "Winter", AllData[Year], "2023"), "")</f>
        <v>5.7142857142857144</v>
      </c>
      <c r="AA67" s="32">
        <f t="shared" si="8"/>
        <v>0.23271434215725001</v>
      </c>
      <c r="AB67" s="31">
        <f>IFERROR(AVERAGEIFS(AllData[Phosphate (PPM)], AllData[Site Name], B67, AllData[Season], "Winter", AllData[Year], "2023"),"")</f>
        <v>0.6328571428571429</v>
      </c>
      <c r="AC67" s="32">
        <f t="shared" si="9"/>
        <v>-6.6057624736471962E-2</v>
      </c>
      <c r="AD67" s="52">
        <f>COUNTIFS(AllData[Site Name], Tables!B67, AllData[Season], "Spring", AllData[Year], "2024")</f>
        <v>13</v>
      </c>
      <c r="AE67" s="30">
        <f>IFERROR(AVERAGEIFS(AllData[Nitrate (PPM)], AllData[Site Name], B67, AllData[Season], "Spring", AllData[Year], "2024"), "")</f>
        <v>3.1923076923076925</v>
      </c>
      <c r="AF67" s="32">
        <f t="shared" si="10"/>
        <v>-0.31133939154484397</v>
      </c>
      <c r="AG67" s="31">
        <f>IFERROR(AVERAGEIFS(AllData[Phosphate (PPM)], AllData[Site Name], B67, AllData[Season], "Spring", AllData[Year], "2024"),"")</f>
        <v>0.65999999999999992</v>
      </c>
      <c r="AH67" s="34">
        <f t="shared" si="11"/>
        <v>-2.6001405481377252E-2</v>
      </c>
      <c r="AI67" s="33">
        <f>COUNTIFS(AllData[Site Name], Tables!B67, AllData[Season], "Summer", AllData[Year], "2024")</f>
        <v>9</v>
      </c>
      <c r="AJ67" s="30">
        <f>IFERROR(AVERAGEIFS(AllData[Nitrate (PPM)], AllData[Site Name], B67, AllData[Season], "Summer", AllData[Year], "2024"), "")</f>
        <v>5</v>
      </c>
      <c r="AK67" s="32">
        <f t="shared" si="12"/>
        <v>7.8625049387593737E-2</v>
      </c>
      <c r="AL67" s="32" t="str">
        <f t="shared" si="13"/>
        <v/>
      </c>
      <c r="AM67" s="31">
        <f>IFERROR(AVERAGEIFS(AllData[Phosphate (PPM)], AllData[Site Name], B67, AllData[Season], "Summer", AllData[Year], "2024"),"")</f>
        <v>0.73999999999999988</v>
      </c>
      <c r="AN67" s="32">
        <f t="shared" si="14"/>
        <v>9.2059030217849697E-2</v>
      </c>
      <c r="AO67" s="61" t="str">
        <f t="shared" si="15"/>
        <v/>
      </c>
    </row>
    <row r="68" spans="1:41" x14ac:dyDescent="0.25">
      <c r="A68" s="42"/>
      <c r="B68" s="13" t="s">
        <v>1591</v>
      </c>
      <c r="C68" s="137">
        <f>IFERROR(AVERAGEIF(AllData[Site Name], Tables!B68, AllData[Latitude]), "Unknown")</f>
        <v>52.187393</v>
      </c>
      <c r="D68" s="137">
        <f>IFERROR(AVERAGEIF(AllData[Site Name], Tables!B68, AllData[Longitude]), "Unknown")</f>
        <v>-1.706607</v>
      </c>
      <c r="E68" s="13" t="e" vm="2">
        <f>_xlfn.XLOOKUP(B68,LocationsKey[Site Name], LocationsKey[District])</f>
        <v>#VALUE!</v>
      </c>
      <c r="F68" s="13" t="e" vm="7">
        <f>_xlfn.XLOOKUP(B68,LocationsKey[Site Name], LocationsKey[Town])</f>
        <v>#VALUE!</v>
      </c>
      <c r="G68" s="28" t="str">
        <f>_xlfn.XLOOKUP(B68,LocationsKey[Site Name],LocationsKey[Waterway])</f>
        <v>Avon</v>
      </c>
      <c r="H68" s="29">
        <f>COUNTIF(AllData[Site Name], Tables!B68)</f>
        <v>1</v>
      </c>
      <c r="I68" s="30">
        <f t="shared" si="2"/>
        <v>15</v>
      </c>
      <c r="J68" s="31">
        <f t="shared" si="3"/>
        <v>0.6</v>
      </c>
      <c r="K68" s="32" cm="1">
        <f t="array" ref="K68">SUM(COUNTIFS(AllData[Site Name], B68, AllData[Nitrate Pollution Category], {"High","Very high"}))/COUNTIFS(AllData[Site Name], B68, AllData[Nitrate (PPM)], "&lt;&gt;0")</f>
        <v>1</v>
      </c>
      <c r="L68" s="32" cm="1">
        <f t="array" ref="L68">SUM(COUNTIFS(AllData[Site Name], B68, AllData[Phosphate Pollution Category], {"High","Very high"}))/COUNTIFS(AllData[Site Name], B68, AllData[Phosphate (PPM)], "&lt;&gt;0")</f>
        <v>1</v>
      </c>
      <c r="M68" s="33">
        <f t="shared" si="20"/>
        <v>2</v>
      </c>
      <c r="N68" s="33">
        <f t="shared" si="21"/>
        <v>29</v>
      </c>
      <c r="O68" s="29">
        <f>COUNTIFS(AllData[Site Name], Tables!B68, AllData[Season], "Summer", AllData[Year], "2023")</f>
        <v>0</v>
      </c>
      <c r="P68" s="30" t="str">
        <f>IFERROR(AVERAGEIFS(AllData[Nitrate (PPM)], AllData[Site Name], B68, AllData[Season], "Summer", AllData[Year], "2023"), "")</f>
        <v/>
      </c>
      <c r="Q68" s="32" t="str">
        <f t="shared" si="4"/>
        <v/>
      </c>
      <c r="R68" s="31" t="str">
        <f>IFERROR(AVERAGEIFS(AllData[Phosphate (PPM)], AllData[Site Name], B68, AllData[Season], "Summer", AllData[Year], "2023"),"")</f>
        <v/>
      </c>
      <c r="S68" s="34" t="str">
        <f t="shared" si="5"/>
        <v/>
      </c>
      <c r="T68" s="33">
        <f>COUNTIFS(AllData[Site Name], Tables!B68, AllData[Season], "Autumn", AllData[Year], "2023")</f>
        <v>1</v>
      </c>
      <c r="U68" s="30">
        <f>IFERROR(AVERAGEIFS(AllData[Nitrate (PPM)], AllData[Site Name], B68, AllData[Season], "Autumn", AllData[Year], "2023"), "")</f>
        <v>15</v>
      </c>
      <c r="V68" s="32">
        <f t="shared" si="6"/>
        <v>0</v>
      </c>
      <c r="W68" s="31">
        <f>IFERROR(AVERAGEIFS(AllData[Phosphate (PPM)], AllData[Site Name], B68, AllData[Season], "Autumn", AllData[Year], "2023"), "")</f>
        <v>0.6</v>
      </c>
      <c r="X68" s="34">
        <f t="shared" si="7"/>
        <v>0</v>
      </c>
      <c r="Y68" s="33">
        <f>COUNTIFS(AllData[Site Name], Tables!B68, AllData[Season], "Winter", AllData[Year], "2023")</f>
        <v>0</v>
      </c>
      <c r="Z68" s="30" t="str">
        <f>IFERROR(AVERAGEIFS(AllData[Nitrate (PPM)], AllData[Site Name], B68, AllData[Season], "Winter", AllData[Year], "2023"), "")</f>
        <v/>
      </c>
      <c r="AA68" s="32" t="str">
        <f t="shared" si="8"/>
        <v/>
      </c>
      <c r="AB68" s="31" t="str">
        <f>IFERROR(AVERAGEIFS(AllData[Phosphate (PPM)], AllData[Site Name], B68, AllData[Season], "Winter", AllData[Year], "2023"),"")</f>
        <v/>
      </c>
      <c r="AC68" s="32" t="str">
        <f t="shared" si="9"/>
        <v/>
      </c>
      <c r="AD68" s="52">
        <f>COUNTIFS(AllData[Site Name], Tables!B68, AllData[Season], "Spring", AllData[Year], "2024")</f>
        <v>0</v>
      </c>
      <c r="AE68" s="30" t="str">
        <f>IFERROR(AVERAGEIFS(AllData[Nitrate (PPM)], AllData[Site Name], B68, AllData[Season], "Spring", AllData[Year], "2024"), "")</f>
        <v/>
      </c>
      <c r="AF68" s="32" t="str">
        <f t="shared" si="10"/>
        <v/>
      </c>
      <c r="AG68" s="31" t="str">
        <f>IFERROR(AVERAGEIFS(AllData[Phosphate (PPM)], AllData[Site Name], B68, AllData[Season], "Spring", AllData[Year], "2024"),"")</f>
        <v/>
      </c>
      <c r="AH68" s="34" t="str">
        <f t="shared" si="11"/>
        <v/>
      </c>
      <c r="AI68" s="33">
        <f>COUNTIFS(AllData[Site Name], Tables!B68, AllData[Season], "Summer", AllData[Year], "2024")</f>
        <v>0</v>
      </c>
      <c r="AJ68" s="30" t="str">
        <f>IFERROR(AVERAGEIFS(AllData[Nitrate (PPM)], AllData[Site Name], B68, AllData[Season], "Summer", AllData[Year], "2024"), "")</f>
        <v/>
      </c>
      <c r="AK68" s="32" t="str">
        <f t="shared" si="12"/>
        <v/>
      </c>
      <c r="AL68" s="32" t="str">
        <f t="shared" si="13"/>
        <v/>
      </c>
      <c r="AM68" s="31" t="str">
        <f>IFERROR(AVERAGEIFS(AllData[Phosphate (PPM)], AllData[Site Name], B68, AllData[Season], "Summer", AllData[Year], "2024"),"")</f>
        <v/>
      </c>
      <c r="AN68" s="32" t="str">
        <f t="shared" si="14"/>
        <v/>
      </c>
      <c r="AO68" s="61" t="str">
        <f t="shared" si="15"/>
        <v/>
      </c>
    </row>
    <row r="69" spans="1:41" x14ac:dyDescent="0.25">
      <c r="A69" s="42"/>
      <c r="B69" s="13" t="s">
        <v>54</v>
      </c>
      <c r="C69" s="137">
        <f>IFERROR(AVERAGEIF(AllData[Site Name], Tables!B69, AllData[Latitude]), "Unknown")</f>
        <v>52.027190153846163</v>
      </c>
      <c r="D69" s="137">
        <f>IFERROR(AVERAGEIF(AllData[Site Name], Tables!B69, AllData[Longitude]), "Unknown")</f>
        <v>-2.1406086923076924</v>
      </c>
      <c r="E69" s="13" t="e" vm="1">
        <f>_xlfn.XLOOKUP(B69,LocationsKey[Site Name], LocationsKey[District])</f>
        <v>#VALUE!</v>
      </c>
      <c r="F69" s="13" t="str">
        <f>_xlfn.XLOOKUP(B69,LocationsKey[Site Name], LocationsKey[Town])</f>
        <v>Twyning Green</v>
      </c>
      <c r="G69" s="28" t="str">
        <f>_xlfn.XLOOKUP(B69,LocationsKey[Site Name],LocationsKey[Waterway])</f>
        <v>Avon</v>
      </c>
      <c r="H69" s="29">
        <f>COUNTIF(AllData[Site Name], Tables!B69)</f>
        <v>13</v>
      </c>
      <c r="I69" s="30">
        <f t="shared" si="2"/>
        <v>7.1</v>
      </c>
      <c r="J69" s="31">
        <f t="shared" si="3"/>
        <v>0.94450000000000001</v>
      </c>
      <c r="K69" s="32" cm="1">
        <f t="array" ref="K69">SUM(COUNTIFS(AllData[Site Name], B69, AllData[Nitrate Pollution Category], {"High","Very high"}))/COUNTIFS(AllData[Site Name], B69, AllData[Nitrate (PPM)], "&lt;&gt;0")</f>
        <v>0.92307692307692313</v>
      </c>
      <c r="L69" s="32" cm="1">
        <f t="array" ref="L69">SUM(COUNTIFS(AllData[Site Name], B69, AllData[Phosphate Pollution Category], {"High","Very high"}))/COUNTIFS(AllData[Site Name], B69, AllData[Phosphate (PPM)], "&lt;&gt;0")</f>
        <v>1</v>
      </c>
      <c r="M69" s="33">
        <f t="shared" si="20"/>
        <v>27</v>
      </c>
      <c r="N69" s="33">
        <f t="shared" si="21"/>
        <v>14</v>
      </c>
      <c r="O69" s="29">
        <f>COUNTIFS(AllData[Site Name], Tables!B69, AllData[Season], "Summer", AllData[Year], "2023")</f>
        <v>4</v>
      </c>
      <c r="P69" s="30">
        <f>IFERROR(AVERAGEIFS(AllData[Nitrate (PPM)], AllData[Site Name], B69, AllData[Season], "Summer", AllData[Year], "2023"), "")</f>
        <v>10</v>
      </c>
      <c r="Q69" s="32">
        <f t="shared" si="4"/>
        <v>0.40845070422535218</v>
      </c>
      <c r="R69" s="31">
        <f>IFERROR(AVERAGEIFS(AllData[Phosphate (PPM)], AllData[Site Name], B69, AllData[Season], "Summer", AllData[Year], "2023"),"")</f>
        <v>1.1000000000000001</v>
      </c>
      <c r="S69" s="34">
        <f t="shared" si="5"/>
        <v>0.16463737427210173</v>
      </c>
      <c r="T69" s="33">
        <f>COUNTIFS(AllData[Site Name], Tables!B69, AllData[Season], "Autumn", AllData[Year], "2023")</f>
        <v>2</v>
      </c>
      <c r="U69" s="30">
        <f>IFERROR(AVERAGEIFS(AllData[Nitrate (PPM)], AllData[Site Name], B69, AllData[Season], "Autumn", AllData[Year], "2023"), "")</f>
        <v>10</v>
      </c>
      <c r="V69" s="32">
        <f t="shared" si="6"/>
        <v>0.40845070422535218</v>
      </c>
      <c r="W69" s="31">
        <f>IFERROR(AVERAGEIFS(AllData[Phosphate (PPM)], AllData[Site Name], B69, AllData[Season], "Autumn", AllData[Year], "2023"), "")</f>
        <v>1.135</v>
      </c>
      <c r="X69" s="34">
        <f t="shared" si="7"/>
        <v>0.20169401799894124</v>
      </c>
      <c r="Y69" s="33">
        <f>COUNTIFS(AllData[Site Name], Tables!B69, AllData[Season], "Winter", AllData[Year], "2023")</f>
        <v>1</v>
      </c>
      <c r="Z69" s="30">
        <f>IFERROR(AVERAGEIFS(AllData[Nitrate (PPM)], AllData[Site Name], B69, AllData[Season], "Winter", AllData[Year], "2023"), "")</f>
        <v>3</v>
      </c>
      <c r="AA69" s="32">
        <f t="shared" si="8"/>
        <v>-0.57746478873239437</v>
      </c>
      <c r="AB69" s="31">
        <f>IFERROR(AVERAGEIFS(AllData[Phosphate (PPM)], AllData[Site Name], B69, AllData[Season], "Winter", AllData[Year], "2023"),"")</f>
        <v>0.68</v>
      </c>
      <c r="AC69" s="32">
        <f t="shared" si="9"/>
        <v>-0.2800423504499735</v>
      </c>
      <c r="AD69" s="52">
        <f>COUNTIFS(AllData[Site Name], Tables!B69, AllData[Season], "Spring", AllData[Year], "2024")</f>
        <v>2</v>
      </c>
      <c r="AE69" s="30">
        <f>IFERROR(AVERAGEIFS(AllData[Nitrate (PPM)], AllData[Site Name], B69, AllData[Season], "Spring", AllData[Year], "2024"), "")</f>
        <v>5</v>
      </c>
      <c r="AF69" s="32">
        <f t="shared" si="10"/>
        <v>-0.29577464788732388</v>
      </c>
      <c r="AG69" s="31">
        <f>IFERROR(AVERAGEIFS(AllData[Phosphate (PPM)], AllData[Site Name], B69, AllData[Season], "Spring", AllData[Year], "2024"),"")</f>
        <v>0.875</v>
      </c>
      <c r="AH69" s="34">
        <f t="shared" si="11"/>
        <v>-7.358390682901006E-2</v>
      </c>
      <c r="AI69" s="33">
        <f>COUNTIFS(AllData[Site Name], Tables!B69, AllData[Season], "Summer", AllData[Year], "2024")</f>
        <v>4</v>
      </c>
      <c r="AJ69" s="30">
        <f>IFERROR(AVERAGEIFS(AllData[Nitrate (PPM)], AllData[Site Name], B69, AllData[Season], "Summer", AllData[Year], "2024"), "")</f>
        <v>7.5</v>
      </c>
      <c r="AK69" s="32">
        <f t="shared" si="12"/>
        <v>5.6338028169014134E-2</v>
      </c>
      <c r="AL69" s="32">
        <f t="shared" si="13"/>
        <v>-0.25</v>
      </c>
      <c r="AM69" s="31">
        <f>IFERROR(AVERAGEIFS(AllData[Phosphate (PPM)], AllData[Site Name], B69, AllData[Season], "Summer", AllData[Year], "2024"),"")</f>
        <v>0.9325</v>
      </c>
      <c r="AN69" s="32">
        <f t="shared" si="14"/>
        <v>-1.2705134992059303E-2</v>
      </c>
      <c r="AO69" s="61">
        <f t="shared" si="15"/>
        <v>-0.15227272727272734</v>
      </c>
    </row>
    <row r="70" spans="1:41" x14ac:dyDescent="0.25">
      <c r="A70" s="42"/>
      <c r="B70" s="13" t="s">
        <v>732</v>
      </c>
      <c r="C70" s="137">
        <v>52.130499999999998</v>
      </c>
      <c r="D70" s="137">
        <v>-2.0787</v>
      </c>
      <c r="E70" s="13" t="e" vm="17">
        <f>_xlfn.XLOOKUP(B70,LocationsKey[Site Name], LocationsKey[District])</f>
        <v>#VALUE!</v>
      </c>
      <c r="F70" s="13" t="e" vm="18">
        <f>_xlfn.XLOOKUP(B70,LocationsKey[Site Name], LocationsKey[Town])</f>
        <v>#VALUE!</v>
      </c>
      <c r="G70" s="28" t="str">
        <f>_xlfn.XLOOKUP(B70,LocationsKey[Site Name],LocationsKey[Waterway])</f>
        <v>Bow Brook</v>
      </c>
      <c r="H70" s="29">
        <f>COUNTIF(AllData[Site Name], Tables!B70)</f>
        <v>9</v>
      </c>
      <c r="I70" s="30">
        <f t="shared" si="2"/>
        <v>5</v>
      </c>
      <c r="J70" s="31">
        <f t="shared" si="3"/>
        <v>1.0393749999999999</v>
      </c>
      <c r="K70" s="32" cm="1">
        <f t="array" ref="K70">SUM(COUNTIFS(AllData[Site Name], B70, AllData[Nitrate Pollution Category], {"High","Very high"}))/COUNTIFS(AllData[Site Name], B70, AllData[Nitrate (PPM)], "&lt;&gt;0")</f>
        <v>1</v>
      </c>
      <c r="L70" s="32" cm="1">
        <f t="array" ref="L70">SUM(COUNTIFS(AllData[Site Name], B70, AllData[Phosphate Pollution Category], {"High","Very high"}))/COUNTIFS(AllData[Site Name], B70, AllData[Phosphate (PPM)], "&lt;&gt;0")</f>
        <v>1</v>
      </c>
      <c r="M70" s="33">
        <f t="shared" si="20"/>
        <v>44</v>
      </c>
      <c r="N70" s="33">
        <f t="shared" si="21"/>
        <v>13</v>
      </c>
      <c r="O70" s="29">
        <f>COUNTIFS(AllData[Site Name], Tables!B70, AllData[Season], "Summer", AllData[Year], "2023")</f>
        <v>0</v>
      </c>
      <c r="P70" s="30" t="str">
        <f>IFERROR(AVERAGEIFS(AllData[Nitrate (PPM)], AllData[Site Name], B70, AllData[Season], "Summer", AllData[Year], "2023"), "")</f>
        <v/>
      </c>
      <c r="Q70" s="32" t="str">
        <f t="shared" si="4"/>
        <v/>
      </c>
      <c r="R70" s="31" t="str">
        <f>IFERROR(AVERAGEIFS(AllData[Phosphate (PPM)], AllData[Site Name], B70, AllData[Season], "Summer", AllData[Year], "2023"),"")</f>
        <v/>
      </c>
      <c r="S70" s="34" t="str">
        <f t="shared" si="5"/>
        <v/>
      </c>
      <c r="T70" s="33">
        <f>COUNTIFS(AllData[Site Name], Tables!B70, AllData[Season], "Autumn", AllData[Year], "2023")</f>
        <v>0</v>
      </c>
      <c r="U70" s="30" t="str">
        <f>IFERROR(AVERAGEIFS(AllData[Nitrate (PPM)], AllData[Site Name], B70, AllData[Season], "Autumn", AllData[Year], "2023"), "")</f>
        <v/>
      </c>
      <c r="V70" s="32" t="str">
        <f t="shared" si="6"/>
        <v/>
      </c>
      <c r="W70" s="31" t="str">
        <f>IFERROR(AVERAGEIFS(AllData[Phosphate (PPM)], AllData[Site Name], B70, AllData[Season], "Autumn", AllData[Year], "2023"), "")</f>
        <v/>
      </c>
      <c r="X70" s="34" t="str">
        <f t="shared" si="7"/>
        <v/>
      </c>
      <c r="Y70" s="33">
        <f>COUNTIFS(AllData[Site Name], Tables!B70, AllData[Season], "Winter", AllData[Year], "2023")</f>
        <v>0</v>
      </c>
      <c r="Z70" s="30" t="str">
        <f>IFERROR(AVERAGEIFS(AllData[Nitrate (PPM)], AllData[Site Name], B70, AllData[Season], "Winter", AllData[Year], "2023"), "")</f>
        <v/>
      </c>
      <c r="AA70" s="32" t="str">
        <f t="shared" si="8"/>
        <v/>
      </c>
      <c r="AB70" s="31" t="str">
        <f>IFERROR(AVERAGEIFS(AllData[Phosphate (PPM)], AllData[Site Name], B70, AllData[Season], "Winter", AllData[Year], "2023"),"")</f>
        <v/>
      </c>
      <c r="AC70" s="32" t="str">
        <f t="shared" si="9"/>
        <v/>
      </c>
      <c r="AD70" s="52">
        <f>COUNTIFS(AllData[Site Name], Tables!B70, AllData[Season], "Spring", AllData[Year], "2024")</f>
        <v>8</v>
      </c>
      <c r="AE70" s="30">
        <f>IFERROR(AVERAGEIFS(AllData[Nitrate (PPM)], AllData[Site Name], B70, AllData[Season], "Spring", AllData[Year], "2024"), "")</f>
        <v>5</v>
      </c>
      <c r="AF70" s="32">
        <f t="shared" si="10"/>
        <v>0</v>
      </c>
      <c r="AG70" s="31">
        <f>IFERROR(AVERAGEIFS(AllData[Phosphate (PPM)], AllData[Site Name], B70, AllData[Season], "Spring", AllData[Year], "2024"),"")</f>
        <v>0.81874999999999998</v>
      </c>
      <c r="AH70" s="34">
        <f t="shared" si="11"/>
        <v>-0.21226698737221886</v>
      </c>
      <c r="AI70" s="33">
        <f>COUNTIFS(AllData[Site Name], Tables!B70, AllData[Season], "Summer", AllData[Year], "2024")</f>
        <v>1</v>
      </c>
      <c r="AJ70" s="30">
        <f>IFERROR(AVERAGEIFS(AllData[Nitrate (PPM)], AllData[Site Name], B70, AllData[Season], "Summer", AllData[Year], "2024"), "")</f>
        <v>5</v>
      </c>
      <c r="AK70" s="32">
        <f t="shared" si="12"/>
        <v>0</v>
      </c>
      <c r="AL70" s="32" t="str">
        <f t="shared" si="13"/>
        <v/>
      </c>
      <c r="AM70" s="31">
        <f>IFERROR(AVERAGEIFS(AllData[Phosphate (PPM)], AllData[Site Name], B70, AllData[Season], "Summer", AllData[Year], "2024"),"")</f>
        <v>1.26</v>
      </c>
      <c r="AN70" s="32">
        <f t="shared" si="14"/>
        <v>0.21226698737221897</v>
      </c>
      <c r="AO70" s="61" t="str">
        <f t="shared" si="15"/>
        <v/>
      </c>
    </row>
    <row r="71" spans="1:41" x14ac:dyDescent="0.25">
      <c r="A71" s="42"/>
      <c r="B71" s="13" t="s">
        <v>39</v>
      </c>
      <c r="C71" s="137">
        <f>IFERROR(AVERAGEIF(AllData[Site Name], Tables!B71, AllData[Latitude]), "Unknown")</f>
        <v>52.175174684210546</v>
      </c>
      <c r="D71" s="137">
        <f>IFERROR(AVERAGEIF(AllData[Site Name], Tables!B71, AllData[Longitude]), "Unknown")</f>
        <v>-1.7918551052631577</v>
      </c>
      <c r="E71" s="13" t="e" vm="2">
        <f>_xlfn.XLOOKUP(B71,LocationsKey[Site Name], LocationsKey[District])</f>
        <v>#VALUE!</v>
      </c>
      <c r="F71" s="13" t="e" vm="5">
        <f>_xlfn.XLOOKUP(B71,LocationsKey[Site Name], LocationsKey[Town])</f>
        <v>#VALUE!</v>
      </c>
      <c r="G71" s="28" t="str">
        <f>_xlfn.XLOOKUP(B71,LocationsKey[Site Name],LocationsKey[Waterway])</f>
        <v>Avon</v>
      </c>
      <c r="H71" s="29">
        <f>COUNTIF(AllData[Site Name], Tables!B71)</f>
        <v>19</v>
      </c>
      <c r="I71" s="30">
        <f t="shared" si="2"/>
        <v>10.042328042328043</v>
      </c>
      <c r="J71" s="31">
        <f t="shared" si="3"/>
        <v>0.51253968253968252</v>
      </c>
      <c r="K71" s="32" cm="1">
        <f t="array" ref="K71">SUM(COUNTIFS(AllData[Site Name], B71, AllData[Nitrate Pollution Category], {"High","Very high"}))/COUNTIFS(AllData[Site Name], B71, AllData[Nitrate (PPM)], "&lt;&gt;0")</f>
        <v>1</v>
      </c>
      <c r="L71" s="32" cm="1">
        <f t="array" ref="L71">SUM(COUNTIFS(AllData[Site Name], B71, AllData[Phosphate Pollution Category], {"High","Very high"}))/COUNTIFS(AllData[Site Name], B71, AllData[Phosphate (PPM)], "&lt;&gt;0")</f>
        <v>1</v>
      </c>
      <c r="M71" s="33">
        <f t="shared" si="20"/>
        <v>4</v>
      </c>
      <c r="N71" s="33">
        <f t="shared" si="21"/>
        <v>43</v>
      </c>
      <c r="O71" s="29">
        <f>COUNTIFS(AllData[Site Name], Tables!B71, AllData[Season], "Summer", AllData[Year], "2023")</f>
        <v>7</v>
      </c>
      <c r="P71" s="30">
        <f>IFERROR(AVERAGEIFS(AllData[Nitrate (PPM)], AllData[Site Name], B71, AllData[Season], "Summer", AllData[Year], "2023"), "")</f>
        <v>6.5714285714285712</v>
      </c>
      <c r="Q71" s="32">
        <f t="shared" si="4"/>
        <v>-0.34562697576396212</v>
      </c>
      <c r="R71" s="31">
        <f>IFERROR(AVERAGEIFS(AllData[Phosphate (PPM)], AllData[Site Name], B71, AllData[Season], "Summer", AllData[Year], "2023"),"")</f>
        <v>0.56428571428571428</v>
      </c>
      <c r="S71" s="34">
        <f t="shared" si="5"/>
        <v>0.10096004955094461</v>
      </c>
      <c r="T71" s="33">
        <f>COUNTIFS(AllData[Site Name], Tables!B71, AllData[Season], "Autumn", AllData[Year], "2023")</f>
        <v>9</v>
      </c>
      <c r="U71" s="30">
        <f>IFERROR(AVERAGEIFS(AllData[Nitrate (PPM)], AllData[Site Name], B71, AllData[Season], "Autumn", AllData[Year], "2023"), "")</f>
        <v>6.8888888888888893</v>
      </c>
      <c r="V71" s="32">
        <f t="shared" si="6"/>
        <v>-0.31401475237091675</v>
      </c>
      <c r="W71" s="31">
        <f>IFERROR(AVERAGEIFS(AllData[Phosphate (PPM)], AllData[Site Name], B71, AllData[Season], "Autumn", AllData[Year], "2023"), "")</f>
        <v>0.52999999999999992</v>
      </c>
      <c r="X71" s="34">
        <f t="shared" si="7"/>
        <v>3.4066274388355411E-2</v>
      </c>
      <c r="Y71" s="33">
        <f>COUNTIFS(AllData[Site Name], Tables!B71, AllData[Season], "Winter", AllData[Year], "2023")</f>
        <v>3</v>
      </c>
      <c r="Z71" s="30">
        <f>IFERROR(AVERAGEIFS(AllData[Nitrate (PPM)], AllData[Site Name], B71, AllData[Season], "Winter", AllData[Year], "2023"), "")</f>
        <v>16.666666666666668</v>
      </c>
      <c r="AA71" s="32">
        <f t="shared" si="8"/>
        <v>0.65964172813487887</v>
      </c>
      <c r="AB71" s="31">
        <f>IFERROR(AVERAGEIFS(AllData[Phosphate (PPM)], AllData[Site Name], B71, AllData[Season], "Winter", AllData[Year], "2023"),"")</f>
        <v>0.44333333333333336</v>
      </c>
      <c r="AC71" s="32">
        <f t="shared" si="9"/>
        <v>-0.1350263239393</v>
      </c>
      <c r="AD71" s="52">
        <f>COUNTIFS(AllData[Site Name], Tables!B71, AllData[Season], "Spring", AllData[Year], "2024")</f>
        <v>0</v>
      </c>
      <c r="AE71" s="30" t="str">
        <f>IFERROR(AVERAGEIFS(AllData[Nitrate (PPM)], AllData[Site Name], B71, AllData[Season], "Spring", AllData[Year], "2024"), "")</f>
        <v/>
      </c>
      <c r="AF71" s="32" t="str">
        <f t="shared" si="10"/>
        <v/>
      </c>
      <c r="AG71" s="31" t="str">
        <f>IFERROR(AVERAGEIFS(AllData[Phosphate (PPM)], AllData[Site Name], B71, AllData[Season], "Spring", AllData[Year], "2024"),"")</f>
        <v/>
      </c>
      <c r="AH71" s="34" t="str">
        <f t="shared" si="11"/>
        <v/>
      </c>
      <c r="AI71" s="33">
        <f>COUNTIFS(AllData[Site Name], Tables!B71, AllData[Season], "Summer", AllData[Year], "2024")</f>
        <v>0</v>
      </c>
      <c r="AJ71" s="30" t="str">
        <f>IFERROR(AVERAGEIFS(AllData[Nitrate (PPM)], AllData[Site Name], B71, AllData[Season], "Summer", AllData[Year], "2024"), "")</f>
        <v/>
      </c>
      <c r="AK71" s="32" t="str">
        <f t="shared" si="12"/>
        <v/>
      </c>
      <c r="AL71" s="32" t="str">
        <f t="shared" si="13"/>
        <v/>
      </c>
      <c r="AM71" s="31" t="str">
        <f>IFERROR(AVERAGEIFS(AllData[Phosphate (PPM)], AllData[Site Name], B71, AllData[Season], "Summer", AllData[Year], "2024"),"")</f>
        <v/>
      </c>
      <c r="AN71" s="32" t="str">
        <f t="shared" si="14"/>
        <v/>
      </c>
      <c r="AO71" s="61" t="str">
        <f t="shared" si="15"/>
        <v/>
      </c>
    </row>
    <row r="72" spans="1:41" x14ac:dyDescent="0.25">
      <c r="A72" s="42"/>
      <c r="B72" s="13" t="s">
        <v>1592</v>
      </c>
      <c r="C72" s="137">
        <f>IFERROR(AVERAGEIF(AllData[Site Name], Tables!B72, AllData[Latitude]), "Unknown")</f>
        <v>52.167429999999996</v>
      </c>
      <c r="D72" s="137">
        <f>IFERROR(AVERAGEIF(AllData[Site Name], Tables!B72, AllData[Longitude]), "Unknown")</f>
        <v>-1.7744752941176474</v>
      </c>
      <c r="E72" s="13" t="e" vm="2">
        <f>_xlfn.XLOOKUP(B72,LocationsKey[Site Name], LocationsKey[District])</f>
        <v>#VALUE!</v>
      </c>
      <c r="F72" s="13" t="e" vm="6">
        <f>_xlfn.XLOOKUP(B72,LocationsKey[Site Name], LocationsKey[Town])</f>
        <v>#VALUE!</v>
      </c>
      <c r="G72" s="28" t="str">
        <f>_xlfn.XLOOKUP(B72,LocationsKey[Site Name],LocationsKey[Waterway])</f>
        <v>Avon</v>
      </c>
      <c r="H72" s="29">
        <f>COUNTIF(AllData[Site Name], Tables!B72)</f>
        <v>17</v>
      </c>
      <c r="I72" s="30">
        <f t="shared" si="2"/>
        <v>5.8740740740740742</v>
      </c>
      <c r="J72" s="31">
        <f t="shared" si="3"/>
        <v>0.58770370370370373</v>
      </c>
      <c r="K72" s="32" cm="1">
        <f t="array" ref="K72">SUM(COUNTIFS(AllData[Site Name], B72, AllData[Nitrate Pollution Category], {"High","Very high"}))/COUNTIFS(AllData[Site Name], B72, AllData[Nitrate (PPM)], "&lt;&gt;0")</f>
        <v>1</v>
      </c>
      <c r="L72" s="32" cm="1">
        <f t="array" ref="L72">SUM(COUNTIFS(AllData[Site Name], B72, AllData[Phosphate Pollution Category], {"High","Very high"}))/COUNTIFS(AllData[Site Name], B72, AllData[Phosphate (PPM)], "&lt;&gt;0")</f>
        <v>1</v>
      </c>
      <c r="M72" s="33">
        <f t="shared" si="20"/>
        <v>39</v>
      </c>
      <c r="N72" s="33">
        <f t="shared" si="21"/>
        <v>31</v>
      </c>
      <c r="O72" s="29">
        <f>COUNTIFS(AllData[Site Name], Tables!B72, AllData[Season], "Summer", AllData[Year], "2023")</f>
        <v>5</v>
      </c>
      <c r="P72" s="30">
        <f>IFERROR(AVERAGEIFS(AllData[Nitrate (PPM)], AllData[Site Name], B72, AllData[Season], "Summer", AllData[Year], "2023"), "")</f>
        <v>4.4000000000000004</v>
      </c>
      <c r="Q72" s="32">
        <f t="shared" ref="Q72" si="24">IFERROR((P72-I72)/I72, "")</f>
        <v>-0.25094577553593944</v>
      </c>
      <c r="R72" s="31">
        <f>IFERROR(AVERAGEIFS(AllData[Phosphate (PPM)], AllData[Site Name], B72, AllData[Season], "Summer", AllData[Year], "2023"),"")</f>
        <v>0.79200000000000004</v>
      </c>
      <c r="S72" s="34">
        <f t="shared" ref="S72" si="25">IFERROR((R72-J72)/J72, "")</f>
        <v>0.34761784723972777</v>
      </c>
      <c r="T72" s="33">
        <f>COUNTIFS(AllData[Site Name], Tables!B72, AllData[Season], "Autumn", AllData[Year], "2023")</f>
        <v>9</v>
      </c>
      <c r="U72" s="30">
        <f>IFERROR(AVERAGEIFS(AllData[Nitrate (PPM)], AllData[Site Name], B72, AllData[Season], "Autumn", AllData[Year], "2023"), "")</f>
        <v>5.2222222222222223</v>
      </c>
      <c r="V72" s="32">
        <f t="shared" ref="V72" si="26">IFERROR((U72-I72)/I72, "")</f>
        <v>-0.11097099621689786</v>
      </c>
      <c r="W72" s="31">
        <f>IFERROR(AVERAGEIFS(AllData[Phosphate (PPM)], AllData[Site Name], B72, AllData[Season], "Autumn", AllData[Year], "2023"), "")</f>
        <v>0.55111111111111122</v>
      </c>
      <c r="X72" s="34">
        <f t="shared" ref="X72" si="27">IFERROR((W72-J72)/J72, "")</f>
        <v>-6.2263675321401417E-2</v>
      </c>
      <c r="Y72" s="33">
        <f>COUNTIFS(AllData[Site Name], Tables!B72, AllData[Season], "Winter", AllData[Year], "2023")</f>
        <v>3</v>
      </c>
      <c r="Z72" s="30">
        <f>IFERROR(AVERAGEIFS(AllData[Nitrate (PPM)], AllData[Site Name], B72, AllData[Season], "Winter", AllData[Year], "2023"), "")</f>
        <v>8</v>
      </c>
      <c r="AA72" s="32">
        <f t="shared" ref="AA72" si="28">IFERROR((Z72-I72)/I72, "")</f>
        <v>0.36191677175283732</v>
      </c>
      <c r="AB72" s="31">
        <f>IFERROR(AVERAGEIFS(AllData[Phosphate (PPM)], AllData[Site Name], B72, AllData[Season], "Winter", AllData[Year], "2023"),"")</f>
        <v>0.42</v>
      </c>
      <c r="AC72" s="32">
        <f t="shared" ref="AC72" si="29">IFERROR((AB72-J72)/J72, "")</f>
        <v>-0.28535417191832624</v>
      </c>
      <c r="AD72" s="52">
        <f>COUNTIFS(AllData[Site Name], Tables!B72, AllData[Season], "Spring", AllData[Year], "2024")</f>
        <v>0</v>
      </c>
      <c r="AE72" s="30" t="str">
        <f>IFERROR(AVERAGEIFS(AllData[Nitrate (PPM)], AllData[Site Name], B72, AllData[Season], "Spring", AllData[Year], "2024"), "")</f>
        <v/>
      </c>
      <c r="AF72" s="32" t="str">
        <f t="shared" ref="AF72" si="30">IFERROR((AE72-I72)/I72, "")</f>
        <v/>
      </c>
      <c r="AG72" s="31" t="str">
        <f>IFERROR(AVERAGEIFS(AllData[Phosphate (PPM)], AllData[Site Name], B72, AllData[Season], "Spring", AllData[Year], "2024"),"")</f>
        <v/>
      </c>
      <c r="AH72" s="34" t="str">
        <f t="shared" ref="AH72" si="31">IFERROR((AG72-J72)/J72, "")</f>
        <v/>
      </c>
      <c r="AI72" s="33">
        <f>COUNTIFS(AllData[Site Name], Tables!B72, AllData[Season], "Summer", AllData[Year], "2024")</f>
        <v>0</v>
      </c>
      <c r="AJ72" s="30" t="str">
        <f>IFERROR(AVERAGEIFS(AllData[Nitrate (PPM)], AllData[Site Name], B72, AllData[Season], "Summer", AllData[Year], "2024"), "")</f>
        <v/>
      </c>
      <c r="AK72" s="32" t="str">
        <f t="shared" ref="AK72" si="32">IFERROR((AJ72-I72)/I72, "")</f>
        <v/>
      </c>
      <c r="AL72" s="32" t="str">
        <f t="shared" ref="AL72" si="33">IFERROR((AJ72-P72)/P72, "")</f>
        <v/>
      </c>
      <c r="AM72" s="31" t="str">
        <f>IFERROR(AVERAGEIFS(AllData[Phosphate (PPM)], AllData[Site Name], B72, AllData[Season], "Summer", AllData[Year], "2024"),"")</f>
        <v/>
      </c>
      <c r="AN72" s="32" t="str">
        <f t="shared" ref="AN72" si="34">IFERROR((AM72-J72)/J72, "")</f>
        <v/>
      </c>
      <c r="AO72" s="61" t="str">
        <f t="shared" ref="AO72" si="35">IFERROR((AM72-R72)/R72,"")</f>
        <v/>
      </c>
    </row>
    <row r="73" spans="1:41" x14ac:dyDescent="0.25">
      <c r="A73" s="42"/>
      <c r="B73" s="13" t="s">
        <v>1855</v>
      </c>
      <c r="C73" s="137">
        <f>IFERROR(AVERAGEIF(AllData[Site Name], Tables!B73, AllData[Latitude]), "Unknown")</f>
        <v>52.158735499999999</v>
      </c>
      <c r="D73" s="137">
        <f>IFERROR(AVERAGEIF(AllData[Site Name], Tables!B73, AllData[Longitude]), "Unknown")</f>
        <v>-1.9573510000000001</v>
      </c>
      <c r="E73" s="13" t="e" vm="17">
        <f>_xlfn.XLOOKUP(B73,LocationsKey[Site Name], LocationsKey[District])</f>
        <v>#VALUE!</v>
      </c>
      <c r="F73" s="13" t="e" vm="26">
        <f>_xlfn.XLOOKUP(B73,LocationsKey[Site Name], LocationsKey[Town])</f>
        <v>#VALUE!</v>
      </c>
      <c r="G73" s="28" t="str">
        <f>_xlfn.XLOOKUP(B73,LocationsKey[Site Name],LocationsKey[Waterway])</f>
        <v>Whitsun Brook</v>
      </c>
      <c r="H73" s="29">
        <f>COUNTIF(AllData[Site Name], Tables!B73)</f>
        <v>2</v>
      </c>
      <c r="I73" s="30">
        <f t="shared" si="2"/>
        <v>1.5</v>
      </c>
      <c r="J73" s="31">
        <f t="shared" si="3"/>
        <v>1.085</v>
      </c>
      <c r="K73" s="32" cm="1">
        <f t="array" ref="K73">SUM(COUNTIFS(AllData[Site Name], B73, AllData[Nitrate Pollution Category], {"High","Very high"}))/COUNTIFS(AllData[Site Name], B73, AllData[Nitrate (PPM)], "&lt;&gt;0")</f>
        <v>0.5</v>
      </c>
      <c r="L73" s="32" cm="1">
        <f t="array" ref="L73">SUM(COUNTIFS(AllData[Site Name], B73, AllData[Phosphate Pollution Category], {"High","Very high"}))/COUNTIFS(AllData[Site Name], B73, AllData[Phosphate (PPM)], "&lt;&gt;0")</f>
        <v>1</v>
      </c>
      <c r="M73" s="33">
        <f t="shared" si="20"/>
        <v>65</v>
      </c>
      <c r="N73" s="33">
        <f t="shared" si="21"/>
        <v>10</v>
      </c>
      <c r="O73" s="29">
        <f>COUNTIFS(AllData[Site Name], Tables!B73, AllData[Season], "Summer", AllData[Year], "2023")</f>
        <v>0</v>
      </c>
      <c r="P73" s="30" t="str">
        <f>IFERROR(AVERAGEIFS(AllData[Nitrate (PPM)], AllData[Site Name], B73, AllData[Season], "Summer", AllData[Year], "2023"), "")</f>
        <v/>
      </c>
      <c r="Q73" s="32" t="str">
        <f t="shared" ref="Q73:Q76" si="36">IFERROR((P73-I73)/I73, "")</f>
        <v/>
      </c>
      <c r="R73" s="31" t="str">
        <f>IFERROR(AVERAGEIFS(AllData[Phosphate (PPM)], AllData[Site Name], B73, AllData[Season], "Summer", AllData[Year], "2023"),"")</f>
        <v/>
      </c>
      <c r="S73" s="34" t="str">
        <f t="shared" ref="S73:S76" si="37">IFERROR((R73-J73)/J73, "")</f>
        <v/>
      </c>
      <c r="T73" s="33">
        <f>COUNTIFS(AllData[Site Name], Tables!B73, AllData[Season], "Autumn", AllData[Year], "2023")</f>
        <v>0</v>
      </c>
      <c r="U73" s="30" t="str">
        <f>IFERROR(AVERAGEIFS(AllData[Nitrate (PPM)], AllData[Site Name], B73, AllData[Season], "Autumn", AllData[Year], "2023"), "")</f>
        <v/>
      </c>
      <c r="V73" s="32" t="str">
        <f t="shared" ref="V73:V76" si="38">IFERROR((U73-I73)/I73, "")</f>
        <v/>
      </c>
      <c r="W73" s="31" t="str">
        <f>IFERROR(AVERAGEIFS(AllData[Phosphate (PPM)], AllData[Site Name], B73, AllData[Season], "Autumn", AllData[Year], "2023"), "")</f>
        <v/>
      </c>
      <c r="X73" s="34" t="str">
        <f t="shared" ref="X73:X76" si="39">IFERROR((W73-J73)/J73, "")</f>
        <v/>
      </c>
      <c r="Y73" s="33">
        <f>COUNTIFS(AllData[Site Name], Tables!B73, AllData[Season], "Winter", AllData[Year], "2023")</f>
        <v>0</v>
      </c>
      <c r="Z73" s="30" t="str">
        <f>IFERROR(AVERAGEIFS(AllData[Nitrate (PPM)], AllData[Site Name], B73, AllData[Season], "Winter", AllData[Year], "2023"), "")</f>
        <v/>
      </c>
      <c r="AA73" s="32" t="str">
        <f t="shared" ref="AA73:AA76" si="40">IFERROR((Z73-I73)/I73, "")</f>
        <v/>
      </c>
      <c r="AB73" s="31" t="str">
        <f>IFERROR(AVERAGEIFS(AllData[Phosphate (PPM)], AllData[Site Name], B73, AllData[Season], "Winter", AllData[Year], "2023"),"")</f>
        <v/>
      </c>
      <c r="AC73" s="32" t="str">
        <f t="shared" ref="AC73:AC76" si="41">IFERROR((AB73-J73)/J73, "")</f>
        <v/>
      </c>
      <c r="AD73" s="52">
        <f>COUNTIFS(AllData[Site Name], Tables!B73, AllData[Season], "Spring", AllData[Year], "2024")</f>
        <v>0</v>
      </c>
      <c r="AE73" s="30" t="str">
        <f>IFERROR(AVERAGEIFS(AllData[Nitrate (PPM)], AllData[Site Name], B73, AllData[Season], "Spring", AllData[Year], "2024"), "")</f>
        <v/>
      </c>
      <c r="AF73" s="32" t="str">
        <f t="shared" ref="AF73:AF76" si="42">IFERROR((AE73-I73)/I73, "")</f>
        <v/>
      </c>
      <c r="AG73" s="31" t="str">
        <f>IFERROR(AVERAGEIFS(AllData[Phosphate (PPM)], AllData[Site Name], B73, AllData[Season], "Spring", AllData[Year], "2024"),"")</f>
        <v/>
      </c>
      <c r="AH73" s="34" t="str">
        <f t="shared" ref="AH73:AH76" si="43">IFERROR((AG73-J73)/J73, "")</f>
        <v/>
      </c>
      <c r="AI73" s="33">
        <f>COUNTIFS(AllData[Site Name], Tables!B73, AllData[Season], "Summer", AllData[Year], "2024")</f>
        <v>2</v>
      </c>
      <c r="AJ73" s="30">
        <f>IFERROR(AVERAGEIFS(AllData[Nitrate (PPM)], AllData[Site Name], B73, AllData[Season], "Summer", AllData[Year], "2024"), "")</f>
        <v>1.5</v>
      </c>
      <c r="AK73" s="32">
        <f t="shared" ref="AK73:AK76" si="44">IFERROR((AJ73-I73)/I73, "")</f>
        <v>0</v>
      </c>
      <c r="AL73" s="32" t="str">
        <f t="shared" ref="AL73:AL76" si="45">IFERROR((AJ73-P73)/P73, "")</f>
        <v/>
      </c>
      <c r="AM73" s="31">
        <f>IFERROR(AVERAGEIFS(AllData[Phosphate (PPM)], AllData[Site Name], B73, AllData[Season], "Summer", AllData[Year], "2024"),"")</f>
        <v>1.085</v>
      </c>
      <c r="AN73" s="32">
        <f t="shared" ref="AN73:AN76" si="46">IFERROR((AM73-J73)/J73, "")</f>
        <v>0</v>
      </c>
      <c r="AO73" s="61" t="str">
        <f t="shared" ref="AO73:AO76" si="47">IFERROR((AM73-R73)/R73,"")</f>
        <v/>
      </c>
    </row>
    <row r="74" spans="1:41" x14ac:dyDescent="0.25">
      <c r="A74" s="42"/>
      <c r="B74" s="13" t="s">
        <v>1525</v>
      </c>
      <c r="C74" s="137">
        <f>IFERROR(AVERAGEIF(AllData[Site Name], Tables!B74, AllData[Latitude]), "Unknown")</f>
        <v>52.168118999999997</v>
      </c>
      <c r="D74" s="137">
        <f>IFERROR(AVERAGEIF(AllData[Site Name], Tables!B74, AllData[Longitude]), "Unknown")</f>
        <v>-2.0151129999999999</v>
      </c>
      <c r="E74" s="13" t="e" vm="17">
        <f>_xlfn.XLOOKUP(B74,LocationsKey[Site Name], LocationsKey[District])</f>
        <v>#VALUE!</v>
      </c>
      <c r="F74" s="13" t="e" vm="28">
        <f>_xlfn.XLOOKUP(B74,LocationsKey[Site Name], LocationsKey[Town])</f>
        <v>#VALUE!</v>
      </c>
      <c r="G74" s="28" t="str">
        <f>_xlfn.XLOOKUP(B74,LocationsKey[Site Name],LocationsKey[Waterway])</f>
        <v>Whitsun Brook</v>
      </c>
      <c r="H74" s="29">
        <f>COUNTIF(AllData[Site Name], Tables!B74)</f>
        <v>1</v>
      </c>
      <c r="I74" s="30">
        <f t="shared" si="2"/>
        <v>10</v>
      </c>
      <c r="J74" s="31">
        <f t="shared" si="3"/>
        <v>1.44</v>
      </c>
      <c r="K74" s="32" cm="1">
        <f t="array" ref="K74">SUM(COUNTIFS(AllData[Site Name], B74, AllData[Nitrate Pollution Category], {"High","Very high"}))/COUNTIFS(AllData[Site Name], B74, AllData[Nitrate (PPM)], "&lt;&gt;0")</f>
        <v>1</v>
      </c>
      <c r="L74" s="32" cm="1">
        <f t="array" ref="L74">SUM(COUNTIFS(AllData[Site Name], B74, AllData[Phosphate Pollution Category], {"High","Very high"}))/COUNTIFS(AllData[Site Name], B74, AllData[Phosphate (PPM)], "&lt;&gt;0")</f>
        <v>1</v>
      </c>
      <c r="M74" s="33">
        <f t="shared" si="20"/>
        <v>5</v>
      </c>
      <c r="N74" s="33">
        <f t="shared" si="21"/>
        <v>7</v>
      </c>
      <c r="O74" s="29">
        <f>COUNTIFS(AllData[Site Name], Tables!B74, AllData[Season], "Summer", AllData[Year], "2023")</f>
        <v>0</v>
      </c>
      <c r="P74" s="30" t="str">
        <f>IFERROR(AVERAGEIFS(AllData[Nitrate (PPM)], AllData[Site Name], B74, AllData[Season], "Summer", AllData[Year], "2023"), "")</f>
        <v/>
      </c>
      <c r="Q74" s="32" t="str">
        <f t="shared" si="36"/>
        <v/>
      </c>
      <c r="R74" s="31" t="str">
        <f>IFERROR(AVERAGEIFS(AllData[Phosphate (PPM)], AllData[Site Name], B74, AllData[Season], "Summer", AllData[Year], "2023"),"")</f>
        <v/>
      </c>
      <c r="S74" s="34" t="str">
        <f t="shared" si="37"/>
        <v/>
      </c>
      <c r="T74" s="33">
        <f>COUNTIFS(AllData[Site Name], Tables!B74, AllData[Season], "Autumn", AllData[Year], "2023")</f>
        <v>0</v>
      </c>
      <c r="U74" s="30" t="str">
        <f>IFERROR(AVERAGEIFS(AllData[Nitrate (PPM)], AllData[Site Name], B74, AllData[Season], "Autumn", AllData[Year], "2023"), "")</f>
        <v/>
      </c>
      <c r="V74" s="32" t="str">
        <f t="shared" si="38"/>
        <v/>
      </c>
      <c r="W74" s="31" t="str">
        <f>IFERROR(AVERAGEIFS(AllData[Phosphate (PPM)], AllData[Site Name], B74, AllData[Season], "Autumn", AllData[Year], "2023"), "")</f>
        <v/>
      </c>
      <c r="X74" s="34" t="str">
        <f t="shared" si="39"/>
        <v/>
      </c>
      <c r="Y74" s="33">
        <f>COUNTIFS(AllData[Site Name], Tables!B74, AllData[Season], "Winter", AllData[Year], "2023")</f>
        <v>0</v>
      </c>
      <c r="Z74" s="30" t="str">
        <f>IFERROR(AVERAGEIFS(AllData[Nitrate (PPM)], AllData[Site Name], B74, AllData[Season], "Winter", AllData[Year], "2023"), "")</f>
        <v/>
      </c>
      <c r="AA74" s="32" t="str">
        <f t="shared" si="40"/>
        <v/>
      </c>
      <c r="AB74" s="31" t="str">
        <f>IFERROR(AVERAGEIFS(AllData[Phosphate (PPM)], AllData[Site Name], B74, AllData[Season], "Winter", AllData[Year], "2023"),"")</f>
        <v/>
      </c>
      <c r="AC74" s="32" t="str">
        <f t="shared" si="41"/>
        <v/>
      </c>
      <c r="AD74" s="52">
        <f>COUNTIFS(AllData[Site Name], Tables!B74, AllData[Season], "Spring", AllData[Year], "2024")</f>
        <v>0</v>
      </c>
      <c r="AE74" s="30" t="str">
        <f>IFERROR(AVERAGEIFS(AllData[Nitrate (PPM)], AllData[Site Name], B74, AllData[Season], "Spring", AllData[Year], "2024"), "")</f>
        <v/>
      </c>
      <c r="AF74" s="32" t="str">
        <f t="shared" si="42"/>
        <v/>
      </c>
      <c r="AG74" s="31" t="str">
        <f>IFERROR(AVERAGEIFS(AllData[Phosphate (PPM)], AllData[Site Name], B74, AllData[Season], "Spring", AllData[Year], "2024"),"")</f>
        <v/>
      </c>
      <c r="AH74" s="34" t="str">
        <f t="shared" si="43"/>
        <v/>
      </c>
      <c r="AI74" s="33">
        <f>COUNTIFS(AllData[Site Name], Tables!B74, AllData[Season], "Summer", AllData[Year], "2024")</f>
        <v>1</v>
      </c>
      <c r="AJ74" s="30">
        <f>IFERROR(AVERAGEIFS(AllData[Nitrate (PPM)], AllData[Site Name], B74, AllData[Season], "Summer", AllData[Year], "2024"), "")</f>
        <v>10</v>
      </c>
      <c r="AK74" s="32">
        <f t="shared" si="44"/>
        <v>0</v>
      </c>
      <c r="AL74" s="32" t="str">
        <f t="shared" si="45"/>
        <v/>
      </c>
      <c r="AM74" s="31">
        <f>IFERROR(AVERAGEIFS(AllData[Phosphate (PPM)], AllData[Site Name], B74, AllData[Season], "Summer", AllData[Year], "2024"),"")</f>
        <v>1.44</v>
      </c>
      <c r="AN74" s="32">
        <f t="shared" si="46"/>
        <v>0</v>
      </c>
      <c r="AO74" s="61" t="str">
        <f t="shared" si="47"/>
        <v/>
      </c>
    </row>
    <row r="75" spans="1:41" x14ac:dyDescent="0.25">
      <c r="A75" s="42"/>
      <c r="B75" s="13" t="s">
        <v>1534</v>
      </c>
      <c r="C75" s="137">
        <f>IFERROR(AVERAGEIF(AllData[Site Name], Tables!B75, AllData[Latitude]), "Unknown")</f>
        <v>52.168419999999998</v>
      </c>
      <c r="D75" s="137">
        <f>IFERROR(AVERAGEIF(AllData[Site Name], Tables!B75, AllData[Longitude]), "Unknown")</f>
        <v>-1.96041</v>
      </c>
      <c r="E75" s="13" t="e" vm="17">
        <f>_xlfn.XLOOKUP(B75,LocationsKey[Site Name], LocationsKey[District])</f>
        <v>#VALUE!</v>
      </c>
      <c r="F75" s="13" t="e" vm="26">
        <f>_xlfn.XLOOKUP(B75,LocationsKey[Site Name], LocationsKey[Town])</f>
        <v>#VALUE!</v>
      </c>
      <c r="G75" s="28" t="str">
        <f>_xlfn.XLOOKUP(B75,LocationsKey[Site Name],LocationsKey[Waterway])</f>
        <v>Whitsun Brook</v>
      </c>
      <c r="H75" s="29">
        <f>COUNTIF(AllData[Site Name], Tables!B75)</f>
        <v>1</v>
      </c>
      <c r="I75" s="30">
        <f t="shared" si="2"/>
        <v>2</v>
      </c>
      <c r="J75" s="31">
        <f t="shared" si="3"/>
        <v>2.5</v>
      </c>
      <c r="K75" s="32" cm="1">
        <f t="array" ref="K75">SUM(COUNTIFS(AllData[Site Name], B75, AllData[Nitrate Pollution Category], {"High","Very high"}))/COUNTIFS(AllData[Site Name], B75, AllData[Nitrate (PPM)], "&lt;&gt;0")</f>
        <v>1</v>
      </c>
      <c r="L75" s="32" cm="1">
        <f t="array" ref="L75">SUM(COUNTIFS(AllData[Site Name], B75, AllData[Phosphate Pollution Category], {"High","Very high"}))/COUNTIFS(AllData[Site Name], B75, AllData[Phosphate (PPM)], "&lt;&gt;0")</f>
        <v>1</v>
      </c>
      <c r="M75" s="33">
        <f t="shared" si="20"/>
        <v>61</v>
      </c>
      <c r="N75" s="33">
        <f t="shared" si="21"/>
        <v>1</v>
      </c>
      <c r="O75" s="29">
        <f>COUNTIFS(AllData[Site Name], Tables!B75, AllData[Season], "Summer", AllData[Year], "2023")</f>
        <v>0</v>
      </c>
      <c r="P75" s="30" t="str">
        <f>IFERROR(AVERAGEIFS(AllData[Nitrate (PPM)], AllData[Site Name], B75, AllData[Season], "Summer", AllData[Year], "2023"), "")</f>
        <v/>
      </c>
      <c r="Q75" s="32" t="str">
        <f t="shared" si="36"/>
        <v/>
      </c>
      <c r="R75" s="31" t="str">
        <f>IFERROR(AVERAGEIFS(AllData[Phosphate (PPM)], AllData[Site Name], B75, AllData[Season], "Summer", AllData[Year], "2023"),"")</f>
        <v/>
      </c>
      <c r="S75" s="34" t="str">
        <f t="shared" si="37"/>
        <v/>
      </c>
      <c r="T75" s="33">
        <f>COUNTIFS(AllData[Site Name], Tables!B75, AllData[Season], "Autumn", AllData[Year], "2023")</f>
        <v>0</v>
      </c>
      <c r="U75" s="30" t="str">
        <f>IFERROR(AVERAGEIFS(AllData[Nitrate (PPM)], AllData[Site Name], B75, AllData[Season], "Autumn", AllData[Year], "2023"), "")</f>
        <v/>
      </c>
      <c r="V75" s="32" t="str">
        <f t="shared" si="38"/>
        <v/>
      </c>
      <c r="W75" s="31" t="str">
        <f>IFERROR(AVERAGEIFS(AllData[Phosphate (PPM)], AllData[Site Name], B75, AllData[Season], "Autumn", AllData[Year], "2023"), "")</f>
        <v/>
      </c>
      <c r="X75" s="34" t="str">
        <f t="shared" si="39"/>
        <v/>
      </c>
      <c r="Y75" s="33">
        <f>COUNTIFS(AllData[Site Name], Tables!B75, AllData[Season], "Winter", AllData[Year], "2023")</f>
        <v>0</v>
      </c>
      <c r="Z75" s="30" t="str">
        <f>IFERROR(AVERAGEIFS(AllData[Nitrate (PPM)], AllData[Site Name], B75, AllData[Season], "Winter", AllData[Year], "2023"), "")</f>
        <v/>
      </c>
      <c r="AA75" s="32" t="str">
        <f t="shared" si="40"/>
        <v/>
      </c>
      <c r="AB75" s="31" t="str">
        <f>IFERROR(AVERAGEIFS(AllData[Phosphate (PPM)], AllData[Site Name], B75, AllData[Season], "Winter", AllData[Year], "2023"),"")</f>
        <v/>
      </c>
      <c r="AC75" s="32" t="str">
        <f t="shared" si="41"/>
        <v/>
      </c>
      <c r="AD75" s="52">
        <f>COUNTIFS(AllData[Site Name], Tables!B75, AllData[Season], "Spring", AllData[Year], "2024")</f>
        <v>0</v>
      </c>
      <c r="AE75" s="30" t="str">
        <f>IFERROR(AVERAGEIFS(AllData[Nitrate (PPM)], AllData[Site Name], B75, AllData[Season], "Spring", AllData[Year], "2024"), "")</f>
        <v/>
      </c>
      <c r="AF75" s="32" t="str">
        <f t="shared" si="42"/>
        <v/>
      </c>
      <c r="AG75" s="31" t="str">
        <f>IFERROR(AVERAGEIFS(AllData[Phosphate (PPM)], AllData[Site Name], B75, AllData[Season], "Spring", AllData[Year], "2024"),"")</f>
        <v/>
      </c>
      <c r="AH75" s="34" t="str">
        <f t="shared" si="43"/>
        <v/>
      </c>
      <c r="AI75" s="33">
        <f>COUNTIFS(AllData[Site Name], Tables!B75, AllData[Season], "Summer", AllData[Year], "2024")</f>
        <v>1</v>
      </c>
      <c r="AJ75" s="30">
        <f>IFERROR(AVERAGEIFS(AllData[Nitrate (PPM)], AllData[Site Name], B75, AllData[Season], "Summer", AllData[Year], "2024"), "")</f>
        <v>2</v>
      </c>
      <c r="AK75" s="32">
        <f t="shared" si="44"/>
        <v>0</v>
      </c>
      <c r="AL75" s="32" t="str">
        <f t="shared" si="45"/>
        <v/>
      </c>
      <c r="AM75" s="31">
        <f>IFERROR(AVERAGEIFS(AllData[Phosphate (PPM)], AllData[Site Name], B75, AllData[Season], "Summer", AllData[Year], "2024"),"")</f>
        <v>2.5</v>
      </c>
      <c r="AN75" s="32">
        <f t="shared" si="46"/>
        <v>0</v>
      </c>
      <c r="AO75" s="61" t="str">
        <f t="shared" si="47"/>
        <v/>
      </c>
    </row>
    <row r="76" spans="1:41" x14ac:dyDescent="0.25">
      <c r="A76" s="42"/>
      <c r="B76" s="13" t="s">
        <v>1528</v>
      </c>
      <c r="C76" s="137">
        <f>IFERROR(AVERAGEIF(AllData[Site Name], Tables!B76, AllData[Latitude]), "Unknown")</f>
        <v>52.169851000000001</v>
      </c>
      <c r="D76" s="137">
        <f>IFERROR(AVERAGEIF(AllData[Site Name], Tables!B76, AllData[Longitude]), "Unknown")</f>
        <v>-1.9903459999999999</v>
      </c>
      <c r="E76" s="13" t="e" vm="17">
        <f>_xlfn.XLOOKUP(B76,LocationsKey[Site Name], LocationsKey[District])</f>
        <v>#VALUE!</v>
      </c>
      <c r="F76" s="13" t="e" vm="27">
        <f>_xlfn.XLOOKUP(B76,LocationsKey[Site Name], LocationsKey[Town])</f>
        <v>#VALUE!</v>
      </c>
      <c r="G76" s="28" t="str">
        <f>_xlfn.XLOOKUP(B76,LocationsKey[Site Name],LocationsKey[Waterway])</f>
        <v>Whitsun Brook</v>
      </c>
      <c r="H76" s="29">
        <f>COUNTIF(AllData[Site Name], Tables!B76)</f>
        <v>1</v>
      </c>
      <c r="I76" s="30">
        <f t="shared" si="2"/>
        <v>9</v>
      </c>
      <c r="J76" s="31">
        <f t="shared" si="3"/>
        <v>1.95</v>
      </c>
      <c r="K76" s="32" cm="1">
        <f t="array" ref="K76">SUM(COUNTIFS(AllData[Site Name], B76, AllData[Nitrate Pollution Category], {"High","Very high"}))/COUNTIFS(AllData[Site Name], B76, AllData[Nitrate (PPM)], "&lt;&gt;0")</f>
        <v>1</v>
      </c>
      <c r="L76" s="32" cm="1">
        <f t="array" ref="L76">SUM(COUNTIFS(AllData[Site Name], B76, AllData[Phosphate Pollution Category], {"High","Very high"}))/COUNTIFS(AllData[Site Name], B76, AllData[Phosphate (PPM)], "&lt;&gt;0")</f>
        <v>1</v>
      </c>
      <c r="M76" s="33">
        <f t="shared" si="20"/>
        <v>9</v>
      </c>
      <c r="N76" s="33">
        <f t="shared" si="21"/>
        <v>4</v>
      </c>
      <c r="O76" s="29">
        <f>COUNTIFS(AllData[Site Name], Tables!B76, AllData[Season], "Summer", AllData[Year], "2023")</f>
        <v>0</v>
      </c>
      <c r="P76" s="30" t="str">
        <f>IFERROR(AVERAGEIFS(AllData[Nitrate (PPM)], AllData[Site Name], B76, AllData[Season], "Summer", AllData[Year], "2023"), "")</f>
        <v/>
      </c>
      <c r="Q76" s="32" t="str">
        <f t="shared" si="36"/>
        <v/>
      </c>
      <c r="R76" s="31" t="str">
        <f>IFERROR(AVERAGEIFS(AllData[Phosphate (PPM)], AllData[Site Name], B76, AllData[Season], "Summer", AllData[Year], "2023"),"")</f>
        <v/>
      </c>
      <c r="S76" s="34" t="str">
        <f t="shared" si="37"/>
        <v/>
      </c>
      <c r="T76" s="33">
        <f>COUNTIFS(AllData[Site Name], Tables!B76, AllData[Season], "Autumn", AllData[Year], "2023")</f>
        <v>0</v>
      </c>
      <c r="U76" s="30" t="str">
        <f>IFERROR(AVERAGEIFS(AllData[Nitrate (PPM)], AllData[Site Name], B76, AllData[Season], "Autumn", AllData[Year], "2023"), "")</f>
        <v/>
      </c>
      <c r="V76" s="32" t="str">
        <f t="shared" si="38"/>
        <v/>
      </c>
      <c r="W76" s="31" t="str">
        <f>IFERROR(AVERAGEIFS(AllData[Phosphate (PPM)], AllData[Site Name], B76, AllData[Season], "Autumn", AllData[Year], "2023"), "")</f>
        <v/>
      </c>
      <c r="X76" s="34" t="str">
        <f t="shared" si="39"/>
        <v/>
      </c>
      <c r="Y76" s="33">
        <f>COUNTIFS(AllData[Site Name], Tables!B76, AllData[Season], "Winter", AllData[Year], "2023")</f>
        <v>0</v>
      </c>
      <c r="Z76" s="30" t="str">
        <f>IFERROR(AVERAGEIFS(AllData[Nitrate (PPM)], AllData[Site Name], B76, AllData[Season], "Winter", AllData[Year], "2023"), "")</f>
        <v/>
      </c>
      <c r="AA76" s="32" t="str">
        <f t="shared" si="40"/>
        <v/>
      </c>
      <c r="AB76" s="31" t="str">
        <f>IFERROR(AVERAGEIFS(AllData[Phosphate (PPM)], AllData[Site Name], B76, AllData[Season], "Winter", AllData[Year], "2023"),"")</f>
        <v/>
      </c>
      <c r="AC76" s="32" t="str">
        <f t="shared" si="41"/>
        <v/>
      </c>
      <c r="AD76" s="52">
        <f>COUNTIFS(AllData[Site Name], Tables!B76, AllData[Season], "Spring", AllData[Year], "2024")</f>
        <v>0</v>
      </c>
      <c r="AE76" s="30" t="str">
        <f>IFERROR(AVERAGEIFS(AllData[Nitrate (PPM)], AllData[Site Name], B76, AllData[Season], "Spring", AllData[Year], "2024"), "")</f>
        <v/>
      </c>
      <c r="AF76" s="32" t="str">
        <f t="shared" si="42"/>
        <v/>
      </c>
      <c r="AG76" s="31" t="str">
        <f>IFERROR(AVERAGEIFS(AllData[Phosphate (PPM)], AllData[Site Name], B76, AllData[Season], "Spring", AllData[Year], "2024"),"")</f>
        <v/>
      </c>
      <c r="AH76" s="34" t="str">
        <f t="shared" si="43"/>
        <v/>
      </c>
      <c r="AI76" s="33">
        <f>COUNTIFS(AllData[Site Name], Tables!B76, AllData[Season], "Summer", AllData[Year], "2024")</f>
        <v>1</v>
      </c>
      <c r="AJ76" s="30">
        <f>IFERROR(AVERAGEIFS(AllData[Nitrate (PPM)], AllData[Site Name], B76, AllData[Season], "Summer", AllData[Year], "2024"), "")</f>
        <v>9</v>
      </c>
      <c r="AK76" s="32">
        <f t="shared" si="44"/>
        <v>0</v>
      </c>
      <c r="AL76" s="32" t="str">
        <f t="shared" si="45"/>
        <v/>
      </c>
      <c r="AM76" s="31">
        <f>IFERROR(AVERAGEIFS(AllData[Phosphate (PPM)], AllData[Site Name], B76, AllData[Season], "Summer", AllData[Year], "2024"),"")</f>
        <v>1.95</v>
      </c>
      <c r="AN76" s="32">
        <f t="shared" si="46"/>
        <v>0</v>
      </c>
      <c r="AO76" s="61" t="str">
        <f t="shared" si="47"/>
        <v/>
      </c>
    </row>
    <row r="77" spans="1:41" ht="15.75" thickBot="1" x14ac:dyDescent="0.3">
      <c r="A77" s="42"/>
      <c r="B77" s="115" t="s">
        <v>1856</v>
      </c>
      <c r="C77" s="147">
        <f>IFERROR(AVERAGEIF(AllData[Site Name], Tables!B77, AllData[Latitude]), "Unknown")</f>
        <v>52.168410999999999</v>
      </c>
      <c r="D77" s="147">
        <f>IFERROR(AVERAGEIF(AllData[Site Name], Tables!B77, AllData[Longitude]), "Unknown")</f>
        <v>-1.9603710000000001</v>
      </c>
      <c r="E77" s="35" t="e" vm="17">
        <f>_xlfn.XLOOKUP(B77,LocationsKey[Site Name], LocationsKey[District])</f>
        <v>#VALUE!</v>
      </c>
      <c r="F77" s="35" t="e" vm="26">
        <f>_xlfn.XLOOKUP(B77,LocationsKey[Site Name], LocationsKey[Town])</f>
        <v>#VALUE!</v>
      </c>
      <c r="G77" s="36" t="str">
        <f>_xlfn.XLOOKUP(B77,LocationsKey[Site Name],LocationsKey[Waterway])</f>
        <v>Whitsun Brook</v>
      </c>
      <c r="H77" s="37">
        <f>COUNTIF(AllData[Site Name], Tables!B77)</f>
        <v>1</v>
      </c>
      <c r="I77" s="41">
        <f t="shared" si="2"/>
        <v>5</v>
      </c>
      <c r="J77" s="38">
        <f t="shared" si="3"/>
        <v>2.5</v>
      </c>
      <c r="K77" s="39" cm="1">
        <f t="array" ref="K77">SUM(COUNTIFS(AllData[Site Name], B77, AllData[Nitrate Pollution Category], {"High","Very high"}))/COUNTIFS(AllData[Site Name], B77, AllData[Nitrate (PPM)], "&lt;&gt;0")</f>
        <v>1</v>
      </c>
      <c r="L77" s="39" cm="1">
        <f t="array" ref="L77">SUM(COUNTIFS(AllData[Site Name], B77, AllData[Phosphate Pollution Category], {"High","Very high"}))/COUNTIFS(AllData[Site Name], B77, AllData[Phosphate (PPM)], "&lt;&gt;0")</f>
        <v>1</v>
      </c>
      <c r="M77" s="40">
        <f t="shared" si="20"/>
        <v>44</v>
      </c>
      <c r="N77" s="40">
        <f t="shared" si="21"/>
        <v>1</v>
      </c>
      <c r="O77" s="37">
        <f>COUNTIFS(AllData[Site Name], Tables!B77, AllData[Season], "Summer", AllData[Year], "2023")</f>
        <v>0</v>
      </c>
      <c r="P77" s="41" t="str">
        <f>IFERROR(AVERAGEIFS(AllData[Nitrate (PPM)], AllData[Site Name], B77, AllData[Season], "Summer", AllData[Year], "2023"), "")</f>
        <v/>
      </c>
      <c r="Q77" s="39" t="str">
        <f t="shared" si="4"/>
        <v/>
      </c>
      <c r="R77" s="38" t="str">
        <f>IFERROR(AVERAGEIFS(AllData[Phosphate (PPM)], AllData[Site Name], B77, AllData[Season], "Summer", AllData[Year], "2023"),"")</f>
        <v/>
      </c>
      <c r="S77" s="116" t="str">
        <f t="shared" si="5"/>
        <v/>
      </c>
      <c r="T77" s="40">
        <f>COUNTIFS(AllData[Site Name], Tables!B77, AllData[Season], "Autumn", AllData[Year], "2023")</f>
        <v>0</v>
      </c>
      <c r="U77" s="41" t="str">
        <f>IFERROR(AVERAGEIFS(AllData[Nitrate (PPM)], AllData[Site Name], B77, AllData[Season], "Autumn", AllData[Year], "2023"), "")</f>
        <v/>
      </c>
      <c r="V77" s="39" t="str">
        <f t="shared" si="6"/>
        <v/>
      </c>
      <c r="W77" s="38" t="str">
        <f>IFERROR(AVERAGEIFS(AllData[Phosphate (PPM)], AllData[Site Name], B77, AllData[Season], "Autumn", AllData[Year], "2023"), "")</f>
        <v/>
      </c>
      <c r="X77" s="116" t="str">
        <f t="shared" si="7"/>
        <v/>
      </c>
      <c r="Y77" s="58">
        <f>COUNTIFS(AllData[Site Name], Tables!B77, AllData[Season], "Winter", AllData[Year], "2023")</f>
        <v>0</v>
      </c>
      <c r="Z77" s="41" t="str">
        <f>IFERROR(AVERAGEIFS(AllData[Nitrate (PPM)], AllData[Site Name], B77, AllData[Season], "Winter", AllData[Year], "2023"), "")</f>
        <v/>
      </c>
      <c r="AA77" s="39" t="str">
        <f t="shared" si="8"/>
        <v/>
      </c>
      <c r="AB77" s="38" t="str">
        <f>IFERROR(AVERAGEIFS(AllData[Phosphate (PPM)], AllData[Site Name], B77, AllData[Season], "Winter", AllData[Year], "2023"),"")</f>
        <v/>
      </c>
      <c r="AC77" s="59" t="str">
        <f t="shared" si="9"/>
        <v/>
      </c>
      <c r="AD77" s="117">
        <f>COUNTIFS(AllData[Site Name], Tables!B77, AllData[Season], "Spring", AllData[Year], "2024")</f>
        <v>0</v>
      </c>
      <c r="AE77" s="41" t="str">
        <f>IFERROR(AVERAGEIFS(AllData[Nitrate (PPM)], AllData[Site Name], B77, AllData[Season], "Spring", AllData[Year], "2024"), "")</f>
        <v/>
      </c>
      <c r="AF77" s="39" t="str">
        <f t="shared" si="10"/>
        <v/>
      </c>
      <c r="AG77" s="38" t="str">
        <f>IFERROR(AVERAGEIFS(AllData[Phosphate (PPM)], AllData[Site Name], B77, AllData[Season], "Spring", AllData[Year], "2024"),"")</f>
        <v/>
      </c>
      <c r="AH77" s="116" t="str">
        <f t="shared" si="11"/>
        <v/>
      </c>
      <c r="AI77" s="40">
        <f>COUNTIFS(AllData[Site Name], Tables!B77, AllData[Season], "Summer", AllData[Year], "2024")</f>
        <v>1</v>
      </c>
      <c r="AJ77" s="41">
        <f>IFERROR(AVERAGEIFS(AllData[Nitrate (PPM)], AllData[Site Name], B77, AllData[Season], "Summer", AllData[Year], "2024"), "")</f>
        <v>5</v>
      </c>
      <c r="AK77" s="39">
        <f t="shared" si="12"/>
        <v>0</v>
      </c>
      <c r="AL77" s="39" t="str">
        <f t="shared" si="13"/>
        <v/>
      </c>
      <c r="AM77" s="38">
        <f>IFERROR(AVERAGEIFS(AllData[Phosphate (PPM)], AllData[Site Name], B77, AllData[Season], "Summer", AllData[Year], "2024"),"")</f>
        <v>2.5</v>
      </c>
      <c r="AN77" s="39">
        <f t="shared" si="14"/>
        <v>0</v>
      </c>
      <c r="AO77" s="59" t="str">
        <f t="shared" si="15"/>
        <v/>
      </c>
    </row>
    <row r="78" spans="1:41" ht="16.5" hidden="1" thickTop="1" thickBot="1" x14ac:dyDescent="0.3">
      <c r="A78" s="42"/>
      <c r="C78" s="3"/>
      <c r="D78" s="3"/>
      <c r="E78" s="148"/>
      <c r="F78" s="148"/>
      <c r="G78" s="149"/>
      <c r="H78" s="150"/>
      <c r="I78" s="151"/>
      <c r="J78" s="152"/>
      <c r="K78" s="152"/>
      <c r="L78" s="152"/>
      <c r="M78" s="153"/>
      <c r="N78" s="154"/>
      <c r="O78" s="150"/>
      <c r="P78" s="158"/>
      <c r="Q78" s="151"/>
      <c r="R78" s="152"/>
      <c r="S78" s="159"/>
      <c r="T78" s="153"/>
      <c r="U78" s="158"/>
      <c r="V78" s="151"/>
      <c r="W78" s="152"/>
      <c r="X78" s="159"/>
      <c r="Y78" s="153"/>
      <c r="Z78" s="158"/>
      <c r="AA78" s="151"/>
      <c r="AB78" s="152"/>
      <c r="AC78" s="152"/>
      <c r="AD78" s="160"/>
      <c r="AE78" s="153"/>
      <c r="AF78" s="153"/>
      <c r="AG78" s="153"/>
      <c r="AH78" s="161"/>
      <c r="AI78" s="153"/>
      <c r="AJ78" s="158"/>
      <c r="AK78" s="151"/>
      <c r="AL78" s="151"/>
      <c r="AM78" s="152"/>
      <c r="AN78" s="152"/>
      <c r="AO78" s="162"/>
    </row>
    <row r="79" spans="1:41" s="50" customFormat="1" ht="21" thickTop="1" thickBot="1" x14ac:dyDescent="0.3">
      <c r="A79" s="63"/>
      <c r="B79" s="45" t="s">
        <v>1629</v>
      </c>
      <c r="C79" s="45">
        <f>COUNTA(B12:B77)</f>
        <v>66</v>
      </c>
      <c r="D79" s="45" t="s">
        <v>1630</v>
      </c>
      <c r="E79" s="46"/>
      <c r="F79" s="46"/>
      <c r="G79" s="47"/>
      <c r="H79" s="48">
        <f>SUM(H12:H77)</f>
        <v>1237</v>
      </c>
      <c r="I79" s="43">
        <f>AVERAGE(I12:I77)</f>
        <v>6.278698507101617</v>
      </c>
      <c r="J79" s="44">
        <f>AVERAGE(J12:J77)</f>
        <v>0.75189253788734434</v>
      </c>
      <c r="K79" s="49" cm="1">
        <f t="array" ref="K79">SUM(COUNTIF(AllData[Nitrate Pollution Category], {"High","Very high"}))/COUNTA(AllData[Nitrate (PPM)])</f>
        <v>0.96350364963503654</v>
      </c>
      <c r="L79" s="49" cm="1">
        <f t="array" ref="L79">SUM(COUNTIF(AllData[Phosphate Pollution Category], {"High","Very high"}))/COUNTA(AllData[Phosphate (PPM)])</f>
        <v>0.970873786407767</v>
      </c>
      <c r="M79" s="44"/>
      <c r="N79" s="44"/>
      <c r="O79" s="48">
        <f>COUNTIFS(AllData[Season], "Summer", AllData[Year], "2023")</f>
        <v>65</v>
      </c>
      <c r="P79" s="43">
        <f>AVERAGE(P12:P77)</f>
        <v>7.016326530612246</v>
      </c>
      <c r="Q79" s="49">
        <f>(P79-I79)/I79</f>
        <v>0.11748103889306416</v>
      </c>
      <c r="R79" s="44">
        <f>AVERAGE(R12:R77)</f>
        <v>0.67953061224489797</v>
      </c>
      <c r="S79" s="155">
        <f>(R79-J79)/J79</f>
        <v>-9.6239717773723032E-2</v>
      </c>
      <c r="T79" s="156">
        <f>COUNTIFS(AllData[Season], "Autumn", AllData[Year], "2023")</f>
        <v>166</v>
      </c>
      <c r="U79" s="43">
        <f>AVERAGE(U12:U77)</f>
        <v>6.7026710032391863</v>
      </c>
      <c r="V79" s="49">
        <f>(U79-I79)/I79</f>
        <v>6.7525538239816538E-2</v>
      </c>
      <c r="W79" s="44">
        <f>AVERAGE(W12:W77)</f>
        <v>0.61134185259185259</v>
      </c>
      <c r="X79" s="155">
        <f>(W79-J79)/J79</f>
        <v>-0.18692921955364636</v>
      </c>
      <c r="Y79" s="156">
        <f>COUNTIFS(AllData[Season], "Winter", AllData[Year], "2023")</f>
        <v>246</v>
      </c>
      <c r="Z79" s="43">
        <f>AVERAGE(Z12:Z77)</f>
        <v>5.8768708143708146</v>
      </c>
      <c r="AA79" s="49">
        <f>(Z79-I79)/I79</f>
        <v>-6.3998564714695116E-2</v>
      </c>
      <c r="AB79" s="44">
        <f>AVERAGE(AB12:AB77)</f>
        <v>0.54493954018954027</v>
      </c>
      <c r="AC79" s="49">
        <f>(AB79-J79)/J79</f>
        <v>-0.27524278706009941</v>
      </c>
      <c r="AD79" s="48">
        <f>COUNTIFS(AllData[Season], "Spring", AllData[Year], "2024")</f>
        <v>400</v>
      </c>
      <c r="AE79" s="43">
        <f>AVERAGE(AE12:AE77)</f>
        <v>5.1230796672463335</v>
      </c>
      <c r="AF79" s="49">
        <f>(AE79-I79)/I79</f>
        <v>-0.18405388291032024</v>
      </c>
      <c r="AG79" s="44">
        <f>AVERAGE(AG12:AG77)</f>
        <v>0.57648815305065315</v>
      </c>
      <c r="AH79" s="155">
        <f>(AG79-J79)/J79</f>
        <v>-0.23328384842006761</v>
      </c>
      <c r="AI79" s="156">
        <f>COUNTIFS(AllData[Season], "Summer", AllData[Year], "2024")</f>
        <v>355</v>
      </c>
      <c r="AJ79" s="43">
        <f>AVERAGE(AJ12:AJ77)</f>
        <v>6.4758864308206414</v>
      </c>
      <c r="AK79" s="49">
        <f>(AJ79-I79)/I79</f>
        <v>3.1405859589529898E-2</v>
      </c>
      <c r="AL79" s="49">
        <f>(AJ79-P79)/P79</f>
        <v>-7.702607588652885E-2</v>
      </c>
      <c r="AM79" s="44">
        <f>AVERAGE(AM12:AM77)</f>
        <v>0.96145374660670713</v>
      </c>
      <c r="AN79" s="49">
        <f>(AM79-J79)/J79</f>
        <v>0.27871164848661023</v>
      </c>
      <c r="AO79" s="157">
        <f>(AM79-R79)/R79</f>
        <v>0.41487922586805565</v>
      </c>
    </row>
    <row r="80" spans="1:41" s="50" customFormat="1" ht="19.5" x14ac:dyDescent="0.25">
      <c r="E80" s="119"/>
      <c r="H80" s="64"/>
      <c r="I80" s="65"/>
      <c r="J80" s="66"/>
      <c r="K80" s="68"/>
      <c r="L80" s="68"/>
      <c r="M80" s="66"/>
      <c r="N80" s="131"/>
      <c r="O80" s="64"/>
      <c r="P80" s="65"/>
      <c r="Q80" s="68"/>
      <c r="R80" s="66"/>
      <c r="S80" s="68"/>
      <c r="T80" s="64"/>
      <c r="U80" s="65"/>
      <c r="V80" s="68"/>
      <c r="W80" s="66"/>
      <c r="X80" s="68"/>
      <c r="Y80" s="64"/>
      <c r="Z80" s="65"/>
      <c r="AA80" s="68"/>
      <c r="AB80" s="66"/>
      <c r="AC80" s="68"/>
      <c r="AD80" s="64"/>
      <c r="AE80" s="65"/>
      <c r="AF80" s="68"/>
      <c r="AG80" s="66"/>
      <c r="AH80" s="68"/>
      <c r="AN80" s="130"/>
    </row>
    <row r="81" spans="2:41" s="50" customFormat="1" ht="20.25" thickBot="1" x14ac:dyDescent="0.3">
      <c r="H81" s="64"/>
      <c r="I81" s="65"/>
      <c r="J81" s="66"/>
      <c r="K81" s="67"/>
      <c r="L81" s="67"/>
      <c r="M81" s="66"/>
      <c r="N81" s="66"/>
      <c r="O81" s="64"/>
      <c r="P81" s="65"/>
      <c r="Q81" s="68"/>
      <c r="R81" s="66"/>
      <c r="S81" s="68"/>
      <c r="T81" s="64"/>
      <c r="U81" s="65"/>
      <c r="V81" s="68"/>
      <c r="W81" s="66"/>
      <c r="X81" s="68"/>
      <c r="Y81" s="64"/>
      <c r="Z81" s="65"/>
      <c r="AA81" s="68"/>
      <c r="AB81" s="66"/>
      <c r="AC81" s="68"/>
      <c r="AD81" s="64"/>
      <c r="AE81" s="65"/>
      <c r="AF81" s="68"/>
      <c r="AG81" s="66"/>
      <c r="AH81" s="68"/>
    </row>
    <row r="82" spans="2:41" x14ac:dyDescent="0.25">
      <c r="B82" s="193" t="s">
        <v>1957</v>
      </c>
      <c r="C82" s="193"/>
      <c r="D82" s="193"/>
      <c r="E82" s="193"/>
      <c r="F82" s="193"/>
      <c r="O82" s="182" t="s">
        <v>1615</v>
      </c>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4"/>
    </row>
    <row r="83" spans="2:41" ht="15.75" thickBot="1" x14ac:dyDescent="0.3">
      <c r="B83" s="193"/>
      <c r="C83" s="193"/>
      <c r="D83" s="193"/>
      <c r="E83" s="193"/>
      <c r="F83" s="193"/>
      <c r="G83" s="13"/>
      <c r="H83" s="13"/>
      <c r="I83" s="13"/>
      <c r="J83" s="21"/>
      <c r="K83" s="21"/>
      <c r="L83" s="21"/>
      <c r="M83" s="21"/>
      <c r="N83" s="21"/>
      <c r="O83" s="205">
        <v>2023</v>
      </c>
      <c r="P83" s="206"/>
      <c r="Q83" s="206"/>
      <c r="R83" s="206"/>
      <c r="S83" s="206"/>
      <c r="T83" s="206"/>
      <c r="U83" s="206"/>
      <c r="V83" s="206"/>
      <c r="W83" s="206"/>
      <c r="X83" s="206"/>
      <c r="Y83" s="206"/>
      <c r="Z83" s="206"/>
      <c r="AA83" s="206"/>
      <c r="AB83" s="206"/>
      <c r="AC83" s="207"/>
      <c r="AD83" s="188">
        <v>2024</v>
      </c>
      <c r="AE83" s="189"/>
      <c r="AF83" s="189"/>
      <c r="AG83" s="189"/>
      <c r="AH83" s="189"/>
      <c r="AI83" s="189"/>
      <c r="AJ83" s="189"/>
      <c r="AK83" s="189"/>
      <c r="AL83" s="189"/>
      <c r="AM83" s="189"/>
      <c r="AN83" s="189"/>
      <c r="AO83" s="190"/>
    </row>
    <row r="84" spans="2:41" ht="15.75" thickBot="1" x14ac:dyDescent="0.3">
      <c r="B84" s="13"/>
      <c r="C84" s="13"/>
      <c r="D84" s="13"/>
      <c r="E84" s="13"/>
      <c r="F84" s="13"/>
      <c r="G84" s="13"/>
      <c r="H84" s="182" t="s">
        <v>1616</v>
      </c>
      <c r="I84" s="183"/>
      <c r="J84" s="183"/>
      <c r="K84" s="183"/>
      <c r="L84" s="183"/>
      <c r="M84" s="183"/>
      <c r="N84" s="183"/>
      <c r="O84" s="196" t="s">
        <v>1617</v>
      </c>
      <c r="P84" s="197"/>
      <c r="Q84" s="197"/>
      <c r="R84" s="197"/>
      <c r="S84" s="198"/>
      <c r="T84" s="199" t="s">
        <v>1618</v>
      </c>
      <c r="U84" s="200"/>
      <c r="V84" s="200"/>
      <c r="W84" s="200"/>
      <c r="X84" s="201"/>
      <c r="Y84" s="203" t="s">
        <v>1619</v>
      </c>
      <c r="Z84" s="203"/>
      <c r="AA84" s="203"/>
      <c r="AB84" s="203"/>
      <c r="AC84" s="204"/>
      <c r="AD84" s="185" t="s">
        <v>1620</v>
      </c>
      <c r="AE84" s="186"/>
      <c r="AF84" s="186"/>
      <c r="AG84" s="186"/>
      <c r="AH84" s="187"/>
      <c r="AI84" s="191" t="s">
        <v>1617</v>
      </c>
      <c r="AJ84" s="191"/>
      <c r="AK84" s="191"/>
      <c r="AL84" s="191"/>
      <c r="AM84" s="191"/>
      <c r="AN84" s="191"/>
      <c r="AO84" s="192"/>
    </row>
    <row r="85" spans="2:41" ht="57" x14ac:dyDescent="0.25">
      <c r="E85" s="42"/>
      <c r="F85" s="23" t="s">
        <v>1956</v>
      </c>
      <c r="G85" s="24" t="s">
        <v>1621</v>
      </c>
      <c r="H85" s="25" t="s">
        <v>1622</v>
      </c>
      <c r="I85" s="26" t="s">
        <v>1597</v>
      </c>
      <c r="J85" s="26" t="s">
        <v>1603</v>
      </c>
      <c r="K85" s="27" t="s">
        <v>1623</v>
      </c>
      <c r="L85" s="27" t="s">
        <v>1624</v>
      </c>
      <c r="M85" s="27" t="s">
        <v>1958</v>
      </c>
      <c r="N85" s="27" t="s">
        <v>1959</v>
      </c>
      <c r="O85" s="25" t="s">
        <v>1622</v>
      </c>
      <c r="P85" s="26" t="s">
        <v>1597</v>
      </c>
      <c r="Q85" s="27" t="s">
        <v>1625</v>
      </c>
      <c r="R85" s="26" t="s">
        <v>1603</v>
      </c>
      <c r="S85" s="51" t="s">
        <v>1626</v>
      </c>
      <c r="T85" s="26" t="s">
        <v>1622</v>
      </c>
      <c r="U85" s="26" t="s">
        <v>1597</v>
      </c>
      <c r="V85" s="27" t="s">
        <v>1625</v>
      </c>
      <c r="W85" s="26" t="s">
        <v>1603</v>
      </c>
      <c r="X85" s="51" t="s">
        <v>1626</v>
      </c>
      <c r="Y85" s="26" t="s">
        <v>1622</v>
      </c>
      <c r="Z85" s="26" t="s">
        <v>1597</v>
      </c>
      <c r="AA85" s="27" t="s">
        <v>1625</v>
      </c>
      <c r="AB85" s="26" t="s">
        <v>1603</v>
      </c>
      <c r="AC85" s="51" t="s">
        <v>1626</v>
      </c>
      <c r="AD85" s="25" t="s">
        <v>1622</v>
      </c>
      <c r="AE85" s="26" t="s">
        <v>1597</v>
      </c>
      <c r="AF85" s="27" t="s">
        <v>1625</v>
      </c>
      <c r="AG85" s="26" t="s">
        <v>1603</v>
      </c>
      <c r="AH85" s="51" t="s">
        <v>1626</v>
      </c>
      <c r="AI85" s="26" t="s">
        <v>1622</v>
      </c>
      <c r="AJ85" s="26" t="s">
        <v>1597</v>
      </c>
      <c r="AK85" s="27" t="s">
        <v>1625</v>
      </c>
      <c r="AL85" s="27" t="s">
        <v>1627</v>
      </c>
      <c r="AM85" s="26" t="s">
        <v>1603</v>
      </c>
      <c r="AN85" s="27" t="s">
        <v>1626</v>
      </c>
      <c r="AO85" s="60" t="s">
        <v>1628</v>
      </c>
    </row>
    <row r="86" spans="2:41" x14ac:dyDescent="0.25">
      <c r="E86" s="42"/>
      <c r="F86" s="69" t="e" vm="23">
        <v>#VALUE!</v>
      </c>
      <c r="G86" s="70" t="s">
        <v>1949</v>
      </c>
      <c r="H86" s="71">
        <f>COUNTIFS(AllData[District], $F$86, AllData[River], $G86)</f>
        <v>26</v>
      </c>
      <c r="I86" s="72">
        <f>AVERAGE(P86,U86,Z86,AE86,AJ86)</f>
        <v>4.2173913043478262</v>
      </c>
      <c r="J86" s="73">
        <f>AVERAGE(R86,W86,AB86,AG86, AM86)</f>
        <v>0.38782608695652182</v>
      </c>
      <c r="K86" s="74" cm="1">
        <f t="array" ref="K86">SUM(COUNTIFS(AllData[District], $F$86, AllData[River], $G86, AllData[Nitrate Pollution Category], {"High","Very high"}))/COUNTIFS(AllData[District], $F$86, AllData[River], $G86, AllData[Nitrate (PPM)], "&lt;&gt;0")</f>
        <v>1</v>
      </c>
      <c r="L86" s="74" cm="1">
        <f t="array" ref="L86">SUM(COUNTIFS(AllData[District], $F$86, AllData[River], $G86, AllData[Phosphate Pollution Category], {"High","Very high"}))/COUNTIFS(AllData[District], $F$86, AllData[River], $G86, AllData[Phosphate (PPM)], "&lt;&gt;0")</f>
        <v>0.73076923076923073</v>
      </c>
      <c r="M86" s="75"/>
      <c r="N86" s="75"/>
      <c r="O86" s="71">
        <f>COUNTIFS(AllData[District], $F$86, AllData[River], $G86, AllData[Season], "Summer", AllData[Year], "2023")</f>
        <v>0</v>
      </c>
      <c r="P86" s="72" t="str">
        <f>IFERROR(AVERAGEIFS(AllData[Nitrate (PPM)], AllData[District], $F86, AllData[River],$G86, AllData[Season], O$84, AllData[Year], "2023"), "")</f>
        <v/>
      </c>
      <c r="Q86" s="74" t="str">
        <f>IFERROR((P86-$I86)/$I86, "")</f>
        <v/>
      </c>
      <c r="R86" s="73" t="str">
        <f>IFERROR(AVERAGEIFS(AllData[Phosphate (PPM)], AllData[District], $F86, AllData[River], $G86, AllData[Season], O$84, AllData[Year], "2023"),"")</f>
        <v/>
      </c>
      <c r="S86" s="76" t="str">
        <f>IFERROR((R86-$J86)/$J86, "")</f>
        <v/>
      </c>
      <c r="T86" s="75">
        <f>COUNTIFS(AllData[District], $F$86, AllData[River], $G86, AllData[Season], "Autumn", AllData[Year], "2023")</f>
        <v>0</v>
      </c>
      <c r="U86" s="72" t="str">
        <f>IFERROR(AVERAGEIFS(AllData[Nitrate (PPM)], AllData[District], $F86, AllData[River],$G86, AllData[Season], T$84, AllData[Year], "2023"),"")</f>
        <v/>
      </c>
      <c r="V86" s="74" t="str">
        <f>IFERROR((U86-I86)/I86,"")</f>
        <v/>
      </c>
      <c r="W86" s="73" t="str">
        <f>IFERROR(AVERAGEIFS(AllData[Phosphate (PPM)], AllData[District], $F86, AllData[River], $G86, AllData[Season], T$84, AllData[Year], "2023"),"")</f>
        <v/>
      </c>
      <c r="X86" s="76" t="str">
        <f>IFERROR((W86-J86)/J86,"")</f>
        <v/>
      </c>
      <c r="Y86" s="75">
        <f>COUNTIFS(AllData[District], $F$86, AllData[River], $G86, AllData[Season], "Winter", AllData[Year], "2023")</f>
        <v>0</v>
      </c>
      <c r="Z86" s="72" t="str">
        <f>IFERROR(AVERAGEIFS(AllData[Nitrate (PPM)], AllData[District], $F$86, AllData[River], $G$86, AllData[Season], Y$84, AllData[Year], "2023"), "")</f>
        <v/>
      </c>
      <c r="AA86" s="74" t="str">
        <f>IFERROR((Z86-$I86)/$I86, "")</f>
        <v/>
      </c>
      <c r="AB86" s="73" t="str">
        <f>IFERROR(AVERAGEIFS(AllData[Phosphate (PPM)], AllData[District], $F86, AllData[River], $G86, AllData[Season], Y$84, AllData[Year], "2023"),"")</f>
        <v/>
      </c>
      <c r="AC86" s="74" t="str">
        <f>IFERROR((AB86-$J86)/$J86,"")</f>
        <v/>
      </c>
      <c r="AD86" s="71">
        <f>COUNTIFS(AllData[District], $F$86, AllData[River], $G86, AllData[Season], "Spring", AllData[Year], "2024")</f>
        <v>0</v>
      </c>
      <c r="AE86" s="72" t="str">
        <f>IFERROR(AVERAGEIFS(AllData[Nitrate (PPM)], AllData[District], $F$86, AllData[River], $G$86, AllData[Season], AD$84, AllData[Year], "2024"), "")</f>
        <v/>
      </c>
      <c r="AF86" s="74" t="str">
        <f>IFERROR((AE86-$I86)/$I86,"")</f>
        <v/>
      </c>
      <c r="AG86" s="73" t="str">
        <f>IFERROR(AVERAGEIFS(AllData[Phosphate (PPM)], AllData[District], $F86, AllData[River], $G86, AllData[Season], AD$84, AllData[Year], "2024"),"")</f>
        <v/>
      </c>
      <c r="AH86" s="76" t="str">
        <f>IFERROR((AG86-$J86)/$J86,"")</f>
        <v/>
      </c>
      <c r="AI86" s="75">
        <f>COUNTIFS(AllData[District], $F$86, AllData[River], $G86, AllData[Season], "Summer", AllData[Year], "2024")</f>
        <v>23</v>
      </c>
      <c r="AJ86" s="72">
        <f>IFERROR(AVERAGEIFS(AllData[Nitrate (PPM)], AllData[District], $F$86, AllData[River], $G$86, AllData[Season], AI$84, AllData[Year], "2024"), "")</f>
        <v>4.2173913043478262</v>
      </c>
      <c r="AK86" s="74">
        <f>IFERROR((AJ86-I86)/I86, "")</f>
        <v>0</v>
      </c>
      <c r="AL86" s="74" t="str">
        <f>IFERROR((AJ86-P86)/P86,"")</f>
        <v/>
      </c>
      <c r="AM86" s="73">
        <f>IFERROR(AVERAGEIFS(AllData[Phosphate (PPM)], AllData[District], $F$86, AllData[River], $G$86, AllData[Season], AI$84, AllData[Year], "2024"), "")</f>
        <v>0.38782608695652182</v>
      </c>
      <c r="AN86" s="74">
        <f>IFERROR((AM86-J86)/J86, "")</f>
        <v>0</v>
      </c>
      <c r="AO86" s="77" t="str">
        <f>IFERROR((AM86-R86)/R86,"")</f>
        <v/>
      </c>
    </row>
    <row r="87" spans="2:41" s="88" customFormat="1" x14ac:dyDescent="0.25">
      <c r="E87" s="91"/>
      <c r="F87" s="99"/>
      <c r="G87" s="92" t="s">
        <v>1629</v>
      </c>
      <c r="H87" s="93">
        <f>COUNTIF(AllData[District], $F$86)</f>
        <v>26</v>
      </c>
      <c r="I87" s="94">
        <f>AVERAGE(P87,U87,Z87,AE87,AJ87)</f>
        <v>4.2173913043478262</v>
      </c>
      <c r="J87" s="95">
        <f t="shared" ref="J87:J105" si="48">AVERAGE(R87,W87,AB87,AG87, AM87)</f>
        <v>0.38782608695652182</v>
      </c>
      <c r="K87" s="96" cm="1">
        <f t="array" ref="K87">SUM(COUNTIFS(AllData[District], F86, AllData[Nitrate Pollution Category], {"High","Very high"}))/COUNTIFS(AllData[District], F86, AllData[Nitrate (PPM)], "&lt;&gt;0")</f>
        <v>1</v>
      </c>
      <c r="L87" s="96" cm="1">
        <f t="array" ref="L87">SUM(COUNTIFS(AllData[District], F86, AllData[Phosphate Pollution Category], {"High","Very high"}))/COUNTIFS(AllData[District], F86, AllData[Phosphate (PPM)], "&lt;&gt;0")</f>
        <v>0.73076923076923073</v>
      </c>
      <c r="M87" s="97">
        <v>4</v>
      </c>
      <c r="N87" s="97">
        <v>4</v>
      </c>
      <c r="O87" s="93">
        <f>COUNTIFS(AllData[District], $F$86, AllData[Season], "Summer", AllData[Year], "2023")</f>
        <v>0</v>
      </c>
      <c r="P87" s="94" t="str">
        <f>IFERROR(AVERAGEIFS(AllData[Nitrate (PPM)], AllData[District], $F86, AllData[Season], O$84, AllData[Year], "2023"), "")</f>
        <v/>
      </c>
      <c r="Q87" s="96" t="str">
        <f t="shared" ref="Q87:Q105" si="49">IFERROR((P87-$I87)/$I87, "")</f>
        <v/>
      </c>
      <c r="R87" s="95" t="str">
        <f>IFERROR(AVERAGEIFS(AllData[Phosphate (PPM)], AllData[District], $F86, AllData[Season], O$84, AllData[Year], "2023"),"")</f>
        <v/>
      </c>
      <c r="S87" s="98" t="str">
        <f t="shared" ref="S87:S105" si="50">IFERROR((R87-$J87)/$J87, "")</f>
        <v/>
      </c>
      <c r="T87" s="97">
        <f>COUNTIFS(AllData[District], $F$86, AllData[Season], "Autumn", AllData[Year], "2023")</f>
        <v>0</v>
      </c>
      <c r="U87" s="94" t="str">
        <f>IFERROR(AVERAGEIFS(AllData[Nitrate (PPM)], AllData[District], $F86, AllData[Season], T$84, AllData[Year], "2023"),"")</f>
        <v/>
      </c>
      <c r="V87" s="96" t="str">
        <f>IFERROR((U87-I87)/I87,"")</f>
        <v/>
      </c>
      <c r="W87" s="95" t="str">
        <f>IFERROR(AVERAGEIFS(AllData[Phosphate (PPM)], AllData[District], $F86, AllData[Season], T72, AllData[Year], "2023"),"")</f>
        <v/>
      </c>
      <c r="X87" s="98" t="str">
        <f>IFERROR((W87-J87)/J87,"")</f>
        <v/>
      </c>
      <c r="Y87" s="97">
        <f>COUNTIFS(AllData[District], $F$86, AllData[Season], "Winter", AllData[Year], "2023")</f>
        <v>0</v>
      </c>
      <c r="Z87" s="94" t="str">
        <f>IFERROR(AVERAGEIFS(AllData[Nitrate (PPM)], AllData[District], $F$86, AllData[Season], Y$84, AllData[Year], "2023"), "")</f>
        <v/>
      </c>
      <c r="AA87" s="96" t="str">
        <f t="shared" ref="AA87:AA105" si="51">IFERROR((Z87-$I87)/$I87, "")</f>
        <v/>
      </c>
      <c r="AB87" s="95" t="str">
        <f>IFERROR(AVERAGEIFS(AllData[Phosphate (PPM)], AllData[District], $F86, AllData[Season], Y84, AllData[Year], "2023"),"")</f>
        <v/>
      </c>
      <c r="AC87" s="96" t="str">
        <f t="shared" ref="AC87:AC105" si="52">IFERROR((AB87-$J87)/$J87,"")</f>
        <v/>
      </c>
      <c r="AD87" s="93">
        <f>COUNTIFS(AllData[District], $F$86, AllData[Season], "Spring", AllData[Year], "2024")</f>
        <v>0</v>
      </c>
      <c r="AE87" s="94" t="str">
        <f>IFERROR(AVERAGEIFS(AllData[Nitrate (PPM)], AllData[District], $F$86, AllData[Season], "Spring", AllData[Year], "2024"), "")</f>
        <v/>
      </c>
      <c r="AF87" s="96" t="str">
        <f t="shared" ref="AF87:AF105" si="53">IFERROR((AE87-$I87)/$I87,"")</f>
        <v/>
      </c>
      <c r="AG87" s="95" t="str">
        <f>IFERROR(AVERAGEIFS(AllData[Phosphate (PPM)], AllData[District], $F86, AllData[Season], "Spring", AllData[Year], "2024"),"")</f>
        <v/>
      </c>
      <c r="AH87" s="98" t="str">
        <f t="shared" ref="AH87:AH105" si="54">IFERROR((AG87-$J87)/$J87,"")</f>
        <v/>
      </c>
      <c r="AI87" s="97">
        <f>COUNTIFS(AllData[District], $F$86, AllData[Season], "Summer", AllData[Year], "2024")</f>
        <v>23</v>
      </c>
      <c r="AJ87" s="94">
        <f>AVERAGEIFS(AllData[Nitrate (PPM)], AllData[District], $F86, AllData[Season], AI$84, AllData[Year], "2024")</f>
        <v>4.2173913043478262</v>
      </c>
      <c r="AK87" s="96">
        <f t="shared" ref="AK87:AK88" si="55">IFERROR((AJ87-I87)/I87, "")</f>
        <v>0</v>
      </c>
      <c r="AL87" s="96" t="str">
        <f t="shared" ref="AL87:AL99" si="56">IFERROR((AJ87-P87)/P87,"")</f>
        <v/>
      </c>
      <c r="AM87" s="95">
        <f>IFERROR(AVERAGEIFS(AllData[Phosphate (PPM)], AllData[District], $F86, AllData[Season], AI$84, AllData[Year], "2024"),"")</f>
        <v>0.38782608695652182</v>
      </c>
      <c r="AN87" s="96">
        <f t="shared" ref="AN87:AN88" si="57">IFERROR((AM87-J87)/J87, "")</f>
        <v>0</v>
      </c>
      <c r="AO87" s="109" t="str">
        <f t="shared" ref="AO87:AO99" si="58">IFERROR((AM87-R87)/R87,"")</f>
        <v/>
      </c>
    </row>
    <row r="88" spans="2:41" x14ac:dyDescent="0.25">
      <c r="E88" s="42"/>
      <c r="F88" s="78" t="e" vm="2">
        <v>#VALUE!</v>
      </c>
      <c r="G88" s="79" t="s">
        <v>1568</v>
      </c>
      <c r="H88" s="80">
        <f>COUNTIFS(AllData[District], $F$88, AllData[River], $G88)</f>
        <v>283</v>
      </c>
      <c r="I88" s="72">
        <f t="shared" ref="I88:I105" si="59">AVERAGE(P88,U88,Z88,AE88,AJ88)</f>
        <v>7.3232096331309604</v>
      </c>
      <c r="J88" s="73">
        <f t="shared" si="48"/>
        <v>0.5374825475795626</v>
      </c>
      <c r="K88" s="74" cm="1">
        <f t="array" ref="K88">SUM(COUNTIFS(AllData[District], $F$88, AllData[River], $G88, AllData[Nitrate Pollution Category], {"High","Very high"}))/COUNTIFS(AllData[District], $F$88, AllData[River], $G88, AllData[Nitrate (PPM)], "&lt;&gt;0")</f>
        <v>0.98932384341637014</v>
      </c>
      <c r="L88" s="74" cm="1">
        <f t="array" ref="L88">SUM(COUNTIFS(AllData[District], $F$88, AllData[River], $G88, AllData[Phosphate Pollution Category], {"High","Very high"}))/COUNTIFS(AllData[District], $F$88, AllData[River], $G88, AllData[Phosphate (PPM)], "&lt;&gt;0")</f>
        <v>0.99645390070921991</v>
      </c>
      <c r="M88" s="84"/>
      <c r="N88" s="84"/>
      <c r="O88" s="80">
        <f>COUNTIFS(AllData[District],$F$88,AllData[River],$G88,AllData[Season],O$84, AllData[Year], "2023")</f>
        <v>42</v>
      </c>
      <c r="P88" s="81">
        <f>IFERROR(AVERAGEIFS(AllData[Nitrate (PPM)], AllData[District], $F$88, AllData[River],$G88, AllData[Season], O$84, AllData[Year], "2023"), "")</f>
        <v>6.9761904761904763</v>
      </c>
      <c r="Q88" s="83">
        <f t="shared" si="49"/>
        <v>-4.738621100924565E-2</v>
      </c>
      <c r="R88" s="73">
        <f>IFERROR(AVERAGEIFS(AllData[Phosphate (PPM)], AllData[District], $F$88, AllData[River], $G88, AllData[Season], O$84, AllData[Year], "2023"),"")</f>
        <v>0.60642857142857121</v>
      </c>
      <c r="S88" s="85">
        <f t="shared" si="50"/>
        <v>0.12827583734484449</v>
      </c>
      <c r="T88" s="84">
        <f>COUNTIFS(AllData[District],$F$88,AllData[River],$G88,AllData[Season],T$84, AllData[Year], "2023")</f>
        <v>84</v>
      </c>
      <c r="U88" s="81">
        <f>IFERROR(AVERAGEIFS(AllData[Nitrate (PPM)], AllData[District], $F$88, AllData[River],$G88, AllData[Season], T$84, AllData[Year], "2023"), "")</f>
        <v>7.387349397590361</v>
      </c>
      <c r="V88" s="83">
        <f>IFERROR((U88-I88)/I88,"")</f>
        <v>8.7584225595872152E-3</v>
      </c>
      <c r="W88" s="73">
        <f>IFERROR(AVERAGEIFS(AllData[Phosphate (PPM)], AllData[District], $F$88, AllData[River], $G88, AllData[Season], T$84, AllData[Year], "2023"),"")</f>
        <v>0.63261904761904775</v>
      </c>
      <c r="X88" s="85">
        <f>IFERROR((W88-J88)/J88,"")</f>
        <v>0.17700388685718629</v>
      </c>
      <c r="Y88" s="84">
        <f>COUNTIFS(AllData[District],$F$88,AllData[River],$G88,AllData[Season],Y$84, AllData[Year], "2023")</f>
        <v>67</v>
      </c>
      <c r="Z88" s="81">
        <f>IFERROR(AVERAGEIFS(AllData[Nitrate (PPM)], AllData[District], $F$88, AllData[River],$G88, AllData[Season], Y$84, AllData[Year], "2023"), "")</f>
        <v>7.7761194029850742</v>
      </c>
      <c r="AA88" s="83">
        <f t="shared" si="51"/>
        <v>6.1845801573821267E-2</v>
      </c>
      <c r="AB88" s="73">
        <f>IFERROR(AVERAGEIFS(AllData[Phosphate (PPM)], AllData[District], $F$88, AllData[River], $G88, AllData[Season], Y$84, AllData[Year], "2023"),"")</f>
        <v>0.5417910447761195</v>
      </c>
      <c r="AC88" s="83">
        <f t="shared" si="52"/>
        <v>8.0160690164904833E-3</v>
      </c>
      <c r="AD88" s="80">
        <f>COUNTIFS(AllData[District],$F$88,AllData[River],$G88,AllData[Season],AD$84, AllData[Year], "2024")</f>
        <v>54</v>
      </c>
      <c r="AE88" s="81">
        <f>IFERROR(AVERAGEIFS(AllData[Nitrate (PPM)], AllData[District], $F$88, AllData[River],$G88, AllData[Season], AD$84, AllData[Year], "2024"), "")</f>
        <v>6.5</v>
      </c>
      <c r="AF88" s="83">
        <f t="shared" si="53"/>
        <v>-0.11241104302226644</v>
      </c>
      <c r="AG88" s="73">
        <f>IFERROR(AVERAGEIFS(AllData[Phosphate (PPM)], AllData[District], $F$88, AllData[River], $G88, AllData[Season], AD$84, AllData[Year], "2024"),"")</f>
        <v>0.39962962962962961</v>
      </c>
      <c r="AH88" s="85">
        <f t="shared" si="54"/>
        <v>-0.25647887279451964</v>
      </c>
      <c r="AI88" s="84">
        <f>COUNTIFS(AllData[District],$F$88,AllData[River],$G88,AllData[Season],AI$84, AllData[Year], "2024")</f>
        <v>36</v>
      </c>
      <c r="AJ88" s="81">
        <f>IFERROR(AVERAGEIFS(AllData[Nitrate (PPM)], AllData[District], $F$88, AllData[River],$G88, AllData[Season], AI$84, AllData[Year], "2024"), "")</f>
        <v>7.9763888888888879</v>
      </c>
      <c r="AK88" s="83">
        <f t="shared" si="55"/>
        <v>8.9193029898103252E-2</v>
      </c>
      <c r="AL88" s="83">
        <f t="shared" si="56"/>
        <v>0.14337315130830472</v>
      </c>
      <c r="AM88" s="73">
        <f>IFERROR(AVERAGEIFS(AllData[Phosphate (PPM)], AllData[District], $F$88, AllData[River], $G88, AllData[Season], AI$84, AllData[Year], "2024"),"")</f>
        <v>0.50694444444444453</v>
      </c>
      <c r="AN88" s="83">
        <f t="shared" si="57"/>
        <v>-5.6816920424002354E-2</v>
      </c>
      <c r="AO88" s="86">
        <f t="shared" si="58"/>
        <v>-0.16404920821881908</v>
      </c>
    </row>
    <row r="89" spans="2:41" x14ac:dyDescent="0.25">
      <c r="E89" s="42"/>
      <c r="F89" s="78"/>
      <c r="G89" s="79" t="s">
        <v>1570</v>
      </c>
      <c r="H89" s="80">
        <f>COUNTIFS(AllData[District], $F$88, AllData[River], $G89)</f>
        <v>33</v>
      </c>
      <c r="I89" s="81">
        <f t="shared" si="59"/>
        <v>6.6630036630036633</v>
      </c>
      <c r="J89" s="82">
        <f t="shared" si="48"/>
        <v>0.56505494505494502</v>
      </c>
      <c r="K89" s="83" cm="1">
        <f t="array" ref="K89">SUM(COUNTIFS(AllData[District], $F$88, AllData[River], $G89, AllData[Nitrate Pollution Category], {"High","Very high"}))/COUNTIFS(AllData[District], $F$88, AllData[River], $G89, AllData[Nitrate (PPM)], "&lt;&gt;0")</f>
        <v>1</v>
      </c>
      <c r="L89" s="83" cm="1">
        <f t="array" ref="L89">SUM(COUNTIFS(AllData[District], $F$88, AllData[River], $G89, AllData[Phosphate Pollution Category], {"High","Very high"}))/COUNTIFS(AllData[District], $F$88, AllData[River], $G89, AllData[Phosphate (PPM)], "&lt;&gt;0")</f>
        <v>1</v>
      </c>
      <c r="M89" s="84"/>
      <c r="N89" s="84"/>
      <c r="O89" s="80">
        <f>COUNTIFS(AllData[District],$F$88,AllData[River],$G89,AllData[Season],O$84, AllData[Year], "2023")</f>
        <v>0</v>
      </c>
      <c r="P89" s="81" t="str">
        <f>IFERROR(AVERAGEIFS(AllData[Nitrate (PPM)], AllData[District], $F$88, AllData[River],$G89, AllData[Season], O$84, AllData[Year], "2023"), "")</f>
        <v/>
      </c>
      <c r="Q89" s="146" t="str">
        <f t="shared" si="49"/>
        <v/>
      </c>
      <c r="R89" s="82" t="str">
        <f>IFERROR(AVERAGEIFS(AllData[Phosphate (PPM)], AllData[District], $F$88, AllData[River], $G89, AllData[Season], O$84, AllData[Year], "2023"),"")</f>
        <v/>
      </c>
      <c r="S89" s="85" t="str">
        <f t="shared" si="50"/>
        <v/>
      </c>
      <c r="T89" s="84">
        <f>COUNTIFS(AllData[District],$F$88,AllData[River],$G89,AllData[Season],T$84, AllData[Year], "2023")</f>
        <v>0</v>
      </c>
      <c r="U89" s="81" t="str">
        <f>IFERROR(AVERAGEIFS(AllData[Nitrate (PPM)], AllData[District], $F$88, AllData[River],$G89, AllData[Season], T$84, AllData[Year], "2023"), "")</f>
        <v/>
      </c>
      <c r="V89" s="83" t="str">
        <f t="shared" ref="V89:V95" si="60">IFERROR((U89-I89)/I89,"")</f>
        <v/>
      </c>
      <c r="W89" s="82" t="str">
        <f>IFERROR(AVERAGEIFS(AllData[Phosphate (PPM)], AllData[District], $F$88, AllData[River], $G89, AllData[Season], T$84, AllData[Year], "2023"),"")</f>
        <v/>
      </c>
      <c r="X89" s="85" t="str">
        <f t="shared" ref="X89:X95" si="61">IFERROR((W89-J89)/J89,"")</f>
        <v/>
      </c>
      <c r="Y89" s="84">
        <f>COUNTIFS(AllData[District],$F$88,AllData[River],$G89,AllData[Season],Y$84, AllData[Year], "2023")</f>
        <v>7</v>
      </c>
      <c r="Z89" s="81">
        <f>IFERROR(AVERAGEIFS(AllData[Nitrate (PPM)], AllData[District], $F$88, AllData[River],$G89, AllData[Season], Y$84, AllData[Year], "2023"), "")</f>
        <v>6.1428571428571432</v>
      </c>
      <c r="AA89" s="83">
        <f t="shared" si="51"/>
        <v>-7.806487080813633E-2</v>
      </c>
      <c r="AB89" s="82">
        <f>IFERROR(AVERAGEIFS(AllData[Phosphate (PPM)], AllData[District], $F$88, AllData[River], $G89, AllData[Season], Y$84, AllData[Year], "2023"),"")</f>
        <v>0.61285714285714288</v>
      </c>
      <c r="AC89" s="83">
        <f t="shared" si="52"/>
        <v>8.459743290548434E-2</v>
      </c>
      <c r="AD89" s="80">
        <f>COUNTIFS(AllData[District],$F$88,AllData[River],$G89,AllData[Season],AD$84, AllData[Year], "2024")</f>
        <v>13</v>
      </c>
      <c r="AE89" s="81">
        <f>IFERROR(AVERAGEIFS(AllData[Nitrate (PPM)], AllData[District], $F$88, AllData[River],$G89, AllData[Season], AD$84, AllData[Year], "2024"), "")</f>
        <v>4.6923076923076925</v>
      </c>
      <c r="AF89" s="83">
        <f t="shared" si="53"/>
        <v>-0.29576690489279822</v>
      </c>
      <c r="AG89" s="82">
        <f>IFERROR(AVERAGEIFS(AllData[Phosphate (PPM)], AllData[District], $F$88, AllData[River], $G89, AllData[Season], AD$84, AllData[Year], "2024"),"")</f>
        <v>0.45692307692307693</v>
      </c>
      <c r="AH89" s="85">
        <f t="shared" si="54"/>
        <v>-0.19136522753792293</v>
      </c>
      <c r="AI89" s="84">
        <f>COUNTIFS(AllData[District],$F$88,AllData[River],$G89,AllData[Season],AI$84, AllData[Year], "2024")</f>
        <v>13</v>
      </c>
      <c r="AJ89" s="81">
        <f>IFERROR(AVERAGEIFS(AllData[Nitrate (PPM)], AllData[District], $F$88, AllData[River],$G89, AllData[Season], AI$84, AllData[Year], "2024"), "")</f>
        <v>9.1538461538461533</v>
      </c>
      <c r="AK89" s="83">
        <f t="shared" ref="AK89:AK95" si="62">IFERROR((AJ89-I89)/I89, "")</f>
        <v>0.37383177570093445</v>
      </c>
      <c r="AL89" s="83" t="str">
        <f t="shared" ref="AL89:AL95" si="63">IFERROR((AJ89-P89)/P89,"")</f>
        <v/>
      </c>
      <c r="AM89" s="82">
        <f>IFERROR(AVERAGEIFS(AllData[Phosphate (PPM)], AllData[District], $F$88, AllData[River], $G89, AllData[Season], AI$84, AllData[Year], "2024"),"")</f>
        <v>0.62538461538461543</v>
      </c>
      <c r="AN89" s="83">
        <f t="shared" ref="AN89:AN95" si="64">IFERROR((AM89-J89)/J89, "")</f>
        <v>0.10676779463243888</v>
      </c>
      <c r="AO89" s="86" t="str">
        <f t="shared" ref="AO89:AO95" si="65">IFERROR((AM89-R89)/R89,"")</f>
        <v/>
      </c>
    </row>
    <row r="90" spans="2:41" x14ac:dyDescent="0.25">
      <c r="E90" s="42"/>
      <c r="F90" s="78"/>
      <c r="G90" s="79" t="s">
        <v>1960</v>
      </c>
      <c r="H90" s="80">
        <f>COUNTIFS(AllData[District], $F$88, AllData[River], $G90)</f>
        <v>153</v>
      </c>
      <c r="I90" s="81">
        <f t="shared" si="59"/>
        <v>3.2335355616605619</v>
      </c>
      <c r="J90" s="82">
        <f t="shared" si="48"/>
        <v>0.82058226495726494</v>
      </c>
      <c r="K90" s="83" cm="1">
        <f t="array" ref="K90">SUM(COUNTIFS(AllData[District], $F$88, AllData[River], $G90, AllData[Nitrate Pollution Category], {"High","Very high"}))/COUNTIFS(AllData[District], $F$88, AllData[River], $G90, AllData[Nitrate (PPM)], "&lt;&gt;0")</f>
        <v>0.95862068965517244</v>
      </c>
      <c r="L90" s="83" cm="1">
        <f t="array" ref="L90">SUM(COUNTIFS(AllData[District], $F$88, AllData[River], $G90, AllData[Phosphate Pollution Category], {"High","Very high"}))/COUNTIFS(AllData[District], $F$88, AllData[River], $G90, AllData[Phosphate (PPM)], "&lt;&gt;0")</f>
        <v>0.89261744966442957</v>
      </c>
      <c r="M90" s="84"/>
      <c r="N90" s="84"/>
      <c r="O90" s="80">
        <f>COUNTIFS(AllData[District],$F$88,AllData[River],$G90,AllData[Season],O$84, AllData[Year], "2023")</f>
        <v>0</v>
      </c>
      <c r="P90" s="81" t="str">
        <f>IFERROR(AVERAGEIFS(AllData[Nitrate (PPM)], AllData[District], $F$88, AllData[River],$G90, AllData[Season], O$84, AllData[Year], "2023"), "")</f>
        <v/>
      </c>
      <c r="Q90" s="146" t="str">
        <f t="shared" si="49"/>
        <v/>
      </c>
      <c r="R90" s="82" t="str">
        <f>IFERROR(AVERAGEIFS(AllData[Phosphate (PPM)], AllData[District], $F$88, AllData[River], $G90, AllData[Season], O$84, AllData[Year], "2023"),"")</f>
        <v/>
      </c>
      <c r="S90" s="85" t="str">
        <f t="shared" si="50"/>
        <v/>
      </c>
      <c r="T90" s="84">
        <f>COUNTIFS(AllData[District],$F$88,AllData[River],$G90,AllData[Season],T$84, AllData[Year], "2023")</f>
        <v>1</v>
      </c>
      <c r="U90" s="81">
        <f>IFERROR(AVERAGEIFS(AllData[Nitrate (PPM)], AllData[District], $F$88, AllData[River],$G90, AllData[Season], T$84, AllData[Year], "2023"), "")</f>
        <v>1</v>
      </c>
      <c r="V90" s="83">
        <f t="shared" si="60"/>
        <v>-0.69074099204078143</v>
      </c>
      <c r="W90" s="82">
        <f>IFERROR(AVERAGEIFS(AllData[Phosphate (PPM)], AllData[District], $F$88, AllData[River], $G90, AllData[Season], T$84, AllData[Year], "2023"),"")</f>
        <v>0.18</v>
      </c>
      <c r="X90" s="85">
        <f t="shared" si="61"/>
        <v>-0.78064356532324741</v>
      </c>
      <c r="Y90" s="84">
        <f>COUNTIFS(AllData[District],$F$88,AllData[River],$G90,AllData[Season],Y$84, AllData[Year], "2023")</f>
        <v>18</v>
      </c>
      <c r="Z90" s="81">
        <f>IFERROR(AVERAGEIFS(AllData[Nitrate (PPM)], AllData[District], $F$88, AllData[River],$G90, AllData[Season], Y$84, AllData[Year], "2023"), "")</f>
        <v>3.4444444444444446</v>
      </c>
      <c r="AA90" s="83">
        <f t="shared" si="51"/>
        <v>6.522547185953069E-2</v>
      </c>
      <c r="AB90" s="82">
        <f>IFERROR(AVERAGEIFS(AllData[Phosphate (PPM)], AllData[District], $F$88, AllData[River], $G90, AllData[Season], Y$84, AllData[Year], "2023"),"")</f>
        <v>0.97444444444444445</v>
      </c>
      <c r="AC90" s="83">
        <f t="shared" si="52"/>
        <v>0.1875036617994571</v>
      </c>
      <c r="AD90" s="80">
        <f>COUNTIFS(AllData[District],$F$88,AllData[River],$G90,AllData[Season],AD$84, AllData[Year], "2024")</f>
        <v>78</v>
      </c>
      <c r="AE90" s="81">
        <f>IFERROR(AVERAGEIFS(AllData[Nitrate (PPM)], AllData[District], $F$88, AllData[River],$G90, AllData[Season], AD$84, AllData[Year], "2024"), "")</f>
        <v>4.2307692307692308</v>
      </c>
      <c r="AF90" s="83">
        <f t="shared" si="53"/>
        <v>0.3084034952120786</v>
      </c>
      <c r="AG90" s="82">
        <f>IFERROR(AVERAGEIFS(AllData[Phosphate (PPM)], AllData[District], $F$88, AllData[River], $G90, AllData[Season], AD$84, AllData[Year], "2024"),"")</f>
        <v>0.89538461538461522</v>
      </c>
      <c r="AH90" s="85">
        <f t="shared" si="54"/>
        <v>9.1157649417692346E-2</v>
      </c>
      <c r="AI90" s="84">
        <f>COUNTIFS(AllData[District],$F$88,AllData[River],$G90,AllData[Season],AI$84, AllData[Year], "2024")</f>
        <v>56</v>
      </c>
      <c r="AJ90" s="81">
        <f>IFERROR(AVERAGEIFS(AllData[Nitrate (PPM)], AllData[District], $F$88, AllData[River],$G90, AllData[Season], AI$84, AllData[Year], "2024"), "")</f>
        <v>4.2589285714285712</v>
      </c>
      <c r="AK90" s="83">
        <f t="shared" si="62"/>
        <v>0.31711202496917185</v>
      </c>
      <c r="AL90" s="83" t="str">
        <f t="shared" si="63"/>
        <v/>
      </c>
      <c r="AM90" s="82">
        <f>IFERROR(AVERAGEIFS(AllData[Phosphate (PPM)], AllData[District], $F$88, AllData[River], $G90, AllData[Season], AI$84, AllData[Year], "2024"),"")</f>
        <v>1.2324999999999999</v>
      </c>
      <c r="AN90" s="83">
        <f t="shared" si="64"/>
        <v>0.50198225410609776</v>
      </c>
      <c r="AO90" s="86" t="str">
        <f t="shared" si="65"/>
        <v/>
      </c>
    </row>
    <row r="91" spans="2:41" x14ac:dyDescent="0.25">
      <c r="E91" s="42"/>
      <c r="F91" s="78"/>
      <c r="G91" s="79" t="s">
        <v>557</v>
      </c>
      <c r="H91" s="80">
        <f>COUNTIFS(AllData[District], $F$88, AllData[River], $G91)</f>
        <v>29</v>
      </c>
      <c r="I91" s="81">
        <f t="shared" si="59"/>
        <v>4.6355311355311359</v>
      </c>
      <c r="J91" s="82">
        <f t="shared" si="48"/>
        <v>0.67761904761904745</v>
      </c>
      <c r="K91" s="83" cm="1">
        <f t="array" ref="K91">SUM(COUNTIFS(AllData[District], $F$88, AllData[River], $G91, AllData[Nitrate Pollution Category], {"High","Very high"}))/COUNTIFS(AllData[District], $F$88, AllData[River], $G91, AllData[Nitrate (PPM)], "&lt;&gt;0")</f>
        <v>0.89655172413793105</v>
      </c>
      <c r="L91" s="83" cm="1">
        <f t="array" ref="L91">SUM(COUNTIFS(AllData[District], $F$88, AllData[River], $G91, AllData[Phosphate Pollution Category], {"High","Very high"}))/COUNTIFS(AllData[District], $F$88, AllData[River], $G91, AllData[Phosphate (PPM)], "&lt;&gt;0")</f>
        <v>1</v>
      </c>
      <c r="M91" s="84"/>
      <c r="N91" s="84"/>
      <c r="O91" s="80">
        <f>COUNTIFS(AllData[District],$F$88,AllData[River],$G91,AllData[Season],O$84, AllData[Year], "2023")</f>
        <v>0</v>
      </c>
      <c r="P91" s="81" t="str">
        <f>IFERROR(AVERAGEIFS(AllData[Nitrate (PPM)], AllData[District], $F$88, AllData[River],$G91, AllData[Season], O$84, AllData[Year], "2023"), "")</f>
        <v/>
      </c>
      <c r="Q91" s="146" t="str">
        <f t="shared" si="49"/>
        <v/>
      </c>
      <c r="R91" s="82" t="str">
        <f>IFERROR(AVERAGEIFS(AllData[Phosphate (PPM)], AllData[District], $F$88, AllData[River], $G91, AllData[Season], O$84, AllData[Year], "2023"),"")</f>
        <v/>
      </c>
      <c r="S91" s="85" t="str">
        <f t="shared" si="50"/>
        <v/>
      </c>
      <c r="T91" s="84">
        <f>COUNTIFS(AllData[District],$F$88,AllData[River],$G91,AllData[Season],T$84, AllData[Year], "2023")</f>
        <v>0</v>
      </c>
      <c r="U91" s="81" t="str">
        <f>IFERROR(AVERAGEIFS(AllData[Nitrate (PPM)], AllData[District], $F$88, AllData[River],$G91, AllData[Season], T$84, AllData[Year], "2023"), "")</f>
        <v/>
      </c>
      <c r="V91" s="83" t="str">
        <f t="shared" si="60"/>
        <v/>
      </c>
      <c r="W91" s="82" t="str">
        <f>IFERROR(AVERAGEIFS(AllData[Phosphate (PPM)], AllData[District], $F$88, AllData[River], $G91, AllData[Season], T$84, AllData[Year], "2023"),"")</f>
        <v/>
      </c>
      <c r="X91" s="85" t="str">
        <f t="shared" si="61"/>
        <v/>
      </c>
      <c r="Y91" s="84">
        <f>COUNTIFS(AllData[District],$F$88,AllData[River],$G91,AllData[Season],Y$84, AllData[Year], "2023")</f>
        <v>7</v>
      </c>
      <c r="Z91" s="81">
        <f>IFERROR(AVERAGEIFS(AllData[Nitrate (PPM)], AllData[District], $F$88, AllData[River],$G91, AllData[Season], Y$84, AllData[Year], "2023"), "")</f>
        <v>5.7142857142857144</v>
      </c>
      <c r="AA91" s="83">
        <f t="shared" si="51"/>
        <v>0.23271434215725001</v>
      </c>
      <c r="AB91" s="82">
        <f>IFERROR(AVERAGEIFS(AllData[Phosphate (PPM)], AllData[District], $F$88, AllData[River], $G91, AllData[Season], Y$84, AllData[Year], "2023"),"")</f>
        <v>0.6328571428571429</v>
      </c>
      <c r="AC91" s="83">
        <f t="shared" si="52"/>
        <v>-6.6057624736471962E-2</v>
      </c>
      <c r="AD91" s="80">
        <f>COUNTIFS(AllData[District],$F$88,AllData[River],$G91,AllData[Season],AD$84, AllData[Year], "2024")</f>
        <v>13</v>
      </c>
      <c r="AE91" s="81">
        <f>IFERROR(AVERAGEIFS(AllData[Nitrate (PPM)], AllData[District], $F$88, AllData[River],$G91, AllData[Season], AD$84, AllData[Year], "2024"), "")</f>
        <v>3.1923076923076925</v>
      </c>
      <c r="AF91" s="83">
        <f t="shared" si="53"/>
        <v>-0.31133939154484397</v>
      </c>
      <c r="AG91" s="82">
        <f>IFERROR(AVERAGEIFS(AllData[Phosphate (PPM)], AllData[District], $F$88, AllData[River], $G91, AllData[Season], AD$84, AllData[Year], "2024"),"")</f>
        <v>0.65999999999999992</v>
      </c>
      <c r="AH91" s="85">
        <f t="shared" si="54"/>
        <v>-2.6001405481377252E-2</v>
      </c>
      <c r="AI91" s="84">
        <f>COUNTIFS(AllData[District],$F$88,AllData[River],$G91,AllData[Season],AI$84, AllData[Year], "2024")</f>
        <v>9</v>
      </c>
      <c r="AJ91" s="81">
        <f>IFERROR(AVERAGEIFS(AllData[Nitrate (PPM)], AllData[District], $F$88, AllData[River],$G91, AllData[Season], AI$84, AllData[Year], "2024"), "")</f>
        <v>5</v>
      </c>
      <c r="AK91" s="83">
        <f t="shared" si="62"/>
        <v>7.8625049387593737E-2</v>
      </c>
      <c r="AL91" s="83" t="str">
        <f t="shared" si="63"/>
        <v/>
      </c>
      <c r="AM91" s="82">
        <f>IFERROR(AVERAGEIFS(AllData[Phosphate (PPM)], AllData[District], $F$88, AllData[River], $G91, AllData[Season], AI$84, AllData[Year], "2024"),"")</f>
        <v>0.73999999999999988</v>
      </c>
      <c r="AN91" s="83">
        <f t="shared" si="64"/>
        <v>9.2059030217849697E-2</v>
      </c>
      <c r="AO91" s="86" t="str">
        <f t="shared" si="65"/>
        <v/>
      </c>
    </row>
    <row r="92" spans="2:41" x14ac:dyDescent="0.25">
      <c r="E92" s="42"/>
      <c r="F92" s="78"/>
      <c r="G92" s="79" t="s">
        <v>618</v>
      </c>
      <c r="H92" s="80">
        <f>COUNTIFS(AllData[District], $F$88, AllData[River], $G92)</f>
        <v>7</v>
      </c>
      <c r="I92" s="81">
        <f t="shared" si="59"/>
        <v>2.229166666666667</v>
      </c>
      <c r="J92" s="82">
        <f t="shared" si="48"/>
        <v>0.65</v>
      </c>
      <c r="K92" s="83" cm="1">
        <f t="array" ref="K92">SUM(COUNTIFS(AllData[District], $F$88, AllData[River], $G92, AllData[Nitrate Pollution Category], {"High","Very high"}))/COUNTIFS(AllData[District], $F$88, AllData[River], $G92, AllData[Nitrate (PPM)], "&lt;&gt;0")</f>
        <v>1</v>
      </c>
      <c r="L92" s="83" cm="1">
        <f t="array" ref="L92">SUM(COUNTIFS(AllData[District], $F$88, AllData[River], $G92, AllData[Phosphate Pollution Category], {"High","Very high"}))/COUNTIFS(AllData[District], $F$88, AllData[River], $G92, AllData[Phosphate (PPM)], "&lt;&gt;0")</f>
        <v>1</v>
      </c>
      <c r="M92" s="84"/>
      <c r="N92" s="84"/>
      <c r="O92" s="80">
        <f>COUNTIFS(AllData[District],$F$88,AllData[River],$G92,AllData[Season],O$84, AllData[Year], "2023")</f>
        <v>0</v>
      </c>
      <c r="P92" s="81" t="str">
        <f>IFERROR(AVERAGEIFS(AllData[Nitrate (PPM)], AllData[District], $F$88, AllData[River],$G92, AllData[Season], O$84, AllData[Year], "2023"), "")</f>
        <v/>
      </c>
      <c r="Q92" s="146" t="str">
        <f t="shared" si="49"/>
        <v/>
      </c>
      <c r="R92" s="82" t="str">
        <f>IFERROR(AVERAGEIFS(AllData[Phosphate (PPM)], AllData[District], $F$88, AllData[River], $G92, AllData[Season], O$84, AllData[Year], "2023"),"")</f>
        <v/>
      </c>
      <c r="S92" s="85" t="str">
        <f t="shared" si="50"/>
        <v/>
      </c>
      <c r="T92" s="84">
        <f>COUNTIFS(AllData[District],$F$88,AllData[River],$G92,AllData[Season],T$84, AllData[Year], "2023")</f>
        <v>0</v>
      </c>
      <c r="U92" s="81" t="str">
        <f>IFERROR(AVERAGEIFS(AllData[Nitrate (PPM)], AllData[District], $F$88, AllData[River],$G92, AllData[Season], T$84, AllData[Year], "2023"), "")</f>
        <v/>
      </c>
      <c r="V92" s="83" t="str">
        <f t="shared" si="60"/>
        <v/>
      </c>
      <c r="W92" s="82" t="str">
        <f>IFERROR(AVERAGEIFS(AllData[Phosphate (PPM)], AllData[District], $F$88, AllData[River], $G92, AllData[Season], T$84, AllData[Year], "2023"),"")</f>
        <v/>
      </c>
      <c r="X92" s="85" t="str">
        <f t="shared" si="61"/>
        <v/>
      </c>
      <c r="Y92" s="84">
        <f>COUNTIFS(AllData[District],$F$88,AllData[River],$G92,AllData[Season],Y$84, AllData[Year], "2023")</f>
        <v>4</v>
      </c>
      <c r="Z92" s="81">
        <f>IFERROR(AVERAGEIFS(AllData[Nitrate (PPM)], AllData[District], $F$88, AllData[River],$G92, AllData[Season], Y$84, AllData[Year], "2023"), "")</f>
        <v>2.125</v>
      </c>
      <c r="AA92" s="83">
        <f t="shared" si="51"/>
        <v>-4.6728971962616946E-2</v>
      </c>
      <c r="AB92" s="82">
        <f>IFERROR(AVERAGEIFS(AllData[Phosphate (PPM)], AllData[District], $F$88, AllData[River], $G92, AllData[Season], Y$84, AllData[Year], "2023"),"")</f>
        <v>0.57000000000000006</v>
      </c>
      <c r="AC92" s="83">
        <f t="shared" si="52"/>
        <v>-0.12307692307692301</v>
      </c>
      <c r="AD92" s="80">
        <f>COUNTIFS(AllData[District],$F$88,AllData[River],$G92,AllData[Season],AD$84, AllData[Year], "2024")</f>
        <v>3</v>
      </c>
      <c r="AE92" s="81">
        <f>IFERROR(AVERAGEIFS(AllData[Nitrate (PPM)], AllData[District], $F$88, AllData[River],$G92, AllData[Season], AD$84, AllData[Year], "2024"), "")</f>
        <v>2.3333333333333335</v>
      </c>
      <c r="AF92" s="83">
        <f t="shared" si="53"/>
        <v>4.6728971962616751E-2</v>
      </c>
      <c r="AG92" s="82">
        <f>IFERROR(AVERAGEIFS(AllData[Phosphate (PPM)], AllData[District], $F$88, AllData[River], $G92, AllData[Season], AD$84, AllData[Year], "2024"),"")</f>
        <v>0.73</v>
      </c>
      <c r="AH92" s="85">
        <f t="shared" si="54"/>
        <v>0.12307692307692301</v>
      </c>
      <c r="AI92" s="84">
        <f>COUNTIFS(AllData[District],$F$88,AllData[River],$G92,AllData[Season],AI$84, AllData[Year], "2024")</f>
        <v>0</v>
      </c>
      <c r="AJ92" s="81" t="str">
        <f>IFERROR(AVERAGEIFS(AllData[Nitrate (PPM)], AllData[District], $F$88, AllData[River],$G92, AllData[Season], AI$84, AllData[Year], "2024"), "")</f>
        <v/>
      </c>
      <c r="AK92" s="83" t="str">
        <f t="shared" si="62"/>
        <v/>
      </c>
      <c r="AL92" s="83" t="str">
        <f t="shared" si="63"/>
        <v/>
      </c>
      <c r="AM92" s="82" t="str">
        <f>IFERROR(AVERAGEIFS(AllData[Phosphate (PPM)], AllData[District], $F$88, AllData[River], $G92, AllData[Season], AI$84, AllData[Year], "2024"),"")</f>
        <v/>
      </c>
      <c r="AN92" s="83" t="str">
        <f t="shared" si="64"/>
        <v/>
      </c>
      <c r="AO92" s="86" t="str">
        <f t="shared" si="65"/>
        <v/>
      </c>
    </row>
    <row r="93" spans="2:41" x14ac:dyDescent="0.25">
      <c r="E93" s="42"/>
      <c r="F93" s="78"/>
      <c r="G93" s="79" t="s">
        <v>615</v>
      </c>
      <c r="H93" s="80">
        <f>COUNTIFS(AllData[District], $F$88, AllData[River], $G93)</f>
        <v>8</v>
      </c>
      <c r="I93" s="81">
        <f t="shared" si="59"/>
        <v>2.0625</v>
      </c>
      <c r="J93" s="82">
        <f t="shared" si="48"/>
        <v>0.29749999999999999</v>
      </c>
      <c r="K93" s="83" cm="1">
        <f t="array" ref="K93">SUM(COUNTIFS(AllData[District], $F$88, AllData[River], $G93, AllData[Nitrate Pollution Category], {"High","Very high"}))/COUNTIFS(AllData[District], $F$88, AllData[River], $G93, AllData[Nitrate (PPM)], "&lt;&gt;0")</f>
        <v>1</v>
      </c>
      <c r="L93" s="83" cm="1">
        <f t="array" ref="L93">SUM(COUNTIFS(AllData[District], $F$88, AllData[River], $G93, AllData[Phosphate Pollution Category], {"High","Very high"}))/COUNTIFS(AllData[District], $F$88, AllData[River], $G93, AllData[Phosphate (PPM)], "&lt;&gt;0")</f>
        <v>1</v>
      </c>
      <c r="M93" s="84"/>
      <c r="N93" s="84"/>
      <c r="O93" s="80">
        <f>COUNTIFS(AllData[District],$F$88,AllData[River],$G93,AllData[Season],O$84, AllData[Year], "2023")</f>
        <v>0</v>
      </c>
      <c r="P93" s="81" t="str">
        <f>IFERROR(AVERAGEIFS(AllData[Nitrate (PPM)], AllData[District], $F$88, AllData[River],$G93, AllData[Season], O$84, AllData[Year], "2023"), "")</f>
        <v/>
      </c>
      <c r="Q93" s="146" t="str">
        <f t="shared" si="49"/>
        <v/>
      </c>
      <c r="R93" s="82" t="str">
        <f>IFERROR(AVERAGEIFS(AllData[Phosphate (PPM)], AllData[District], $F$88, AllData[River], $G93, AllData[Season], O$84, AllData[Year], "2023"),"")</f>
        <v/>
      </c>
      <c r="S93" s="85" t="str">
        <f t="shared" si="50"/>
        <v/>
      </c>
      <c r="T93" s="84">
        <f>COUNTIFS(AllData[District],$F$88,AllData[River],$G93,AllData[Season],T$84, AllData[Year], "2023")</f>
        <v>0</v>
      </c>
      <c r="U93" s="81" t="str">
        <f>IFERROR(AVERAGEIFS(AllData[Nitrate (PPM)], AllData[District], $F$88, AllData[River],$G93, AllData[Season], T$84, AllData[Year], "2023"), "")</f>
        <v/>
      </c>
      <c r="V93" s="83" t="str">
        <f t="shared" si="60"/>
        <v/>
      </c>
      <c r="W93" s="82" t="str">
        <f>IFERROR(AVERAGEIFS(AllData[Phosphate (PPM)], AllData[District], $F$88, AllData[River], $G93, AllData[Season], T$84, AllData[Year], "2023"),"")</f>
        <v/>
      </c>
      <c r="X93" s="85" t="str">
        <f t="shared" si="61"/>
        <v/>
      </c>
      <c r="Y93" s="84">
        <f>COUNTIFS(AllData[District],$F$88,AllData[River],$G93,AllData[Season],Y$84, AllData[Year], "2023")</f>
        <v>4</v>
      </c>
      <c r="Z93" s="81">
        <f>IFERROR(AVERAGEIFS(AllData[Nitrate (PPM)], AllData[District], $F$88, AllData[River],$G93, AllData[Season], Y$84, AllData[Year], "2023"), "")</f>
        <v>2.125</v>
      </c>
      <c r="AA93" s="83">
        <f t="shared" si="51"/>
        <v>3.0303030303030304E-2</v>
      </c>
      <c r="AB93" s="82">
        <f>IFERROR(AVERAGEIFS(AllData[Phosphate (PPM)], AllData[District], $F$88, AllData[River], $G93, AllData[Season], Y$84, AllData[Year], "2023"),"")</f>
        <v>0.28499999999999998</v>
      </c>
      <c r="AC93" s="83">
        <f t="shared" si="52"/>
        <v>-4.2016806722689114E-2</v>
      </c>
      <c r="AD93" s="80">
        <f>COUNTIFS(AllData[District],$F$88,AllData[River],$G93,AllData[Season],AD$84, AllData[Year], "2024")</f>
        <v>4</v>
      </c>
      <c r="AE93" s="81">
        <f>IFERROR(AVERAGEIFS(AllData[Nitrate (PPM)], AllData[District], $F$88, AllData[River],$G93, AllData[Season], AD$84, AllData[Year], "2024"), "")</f>
        <v>2</v>
      </c>
      <c r="AF93" s="83">
        <f t="shared" si="53"/>
        <v>-3.0303030303030304E-2</v>
      </c>
      <c r="AG93" s="82">
        <f>IFERROR(AVERAGEIFS(AllData[Phosphate (PPM)], AllData[District], $F$88, AllData[River], $G93, AllData[Season], AD$84, AllData[Year], "2024"),"")</f>
        <v>0.31000000000000005</v>
      </c>
      <c r="AH93" s="85">
        <f t="shared" si="54"/>
        <v>4.2016806722689301E-2</v>
      </c>
      <c r="AI93" s="84">
        <f>COUNTIFS(AllData[District],$F$88,AllData[River],$G93,AllData[Season],AI$84, AllData[Year], "2024")</f>
        <v>0</v>
      </c>
      <c r="AJ93" s="81" t="str">
        <f>IFERROR(AVERAGEIFS(AllData[Nitrate (PPM)], AllData[District], $F$88, AllData[River],$G93, AllData[Season], AI$84, AllData[Year], "2024"), "")</f>
        <v/>
      </c>
      <c r="AK93" s="83" t="str">
        <f t="shared" si="62"/>
        <v/>
      </c>
      <c r="AL93" s="83" t="str">
        <f t="shared" si="63"/>
        <v/>
      </c>
      <c r="AM93" s="82" t="str">
        <f>IFERROR(AVERAGEIFS(AllData[Phosphate (PPM)], AllData[District], $F$88, AllData[River], $G93, AllData[Season], AI$84, AllData[Year], "2024"),"")</f>
        <v/>
      </c>
      <c r="AN93" s="83" t="str">
        <f t="shared" si="64"/>
        <v/>
      </c>
      <c r="AO93" s="86" t="str">
        <f t="shared" si="65"/>
        <v/>
      </c>
    </row>
    <row r="94" spans="2:41" x14ac:dyDescent="0.25">
      <c r="E94" s="42"/>
      <c r="F94" s="78"/>
      <c r="G94" s="79" t="s">
        <v>1588</v>
      </c>
      <c r="H94" s="80">
        <f>COUNTIFS(AllData[District], $F$88, AllData[River], $G94)</f>
        <v>33</v>
      </c>
      <c r="I94" s="81">
        <f t="shared" si="59"/>
        <v>8.0549450549450547</v>
      </c>
      <c r="J94" s="82">
        <f t="shared" si="48"/>
        <v>0.49717948717948718</v>
      </c>
      <c r="K94" s="83" cm="1">
        <f t="array" ref="K94">SUM(COUNTIFS(AllData[District], $F$88, AllData[River], $G94, AllData[Nitrate Pollution Category], {"High","Very high"}))/COUNTIFS(AllData[District], $F$88, AllData[River], $G94, AllData[Nitrate (PPM)], "&lt;&gt;0")</f>
        <v>1</v>
      </c>
      <c r="L94" s="83" cm="1">
        <f t="array" ref="L94">SUM(COUNTIFS(AllData[District], $F$88, AllData[River], $G94, AllData[Phosphate Pollution Category], {"High","Very high"}))/COUNTIFS(AllData[District], $F$88, AllData[River], $G94, AllData[Phosphate (PPM)], "&lt;&gt;0")</f>
        <v>1</v>
      </c>
      <c r="M94" s="84"/>
      <c r="N94" s="84"/>
      <c r="O94" s="80">
        <f>COUNTIFS(AllData[District],$F$88,AllData[River],$G94,AllData[Season],O$84, AllData[Year], "2023")</f>
        <v>0</v>
      </c>
      <c r="P94" s="81" t="str">
        <f>IFERROR(AVERAGEIFS(AllData[Nitrate (PPM)], AllData[District], $F$88, AllData[River],$G94, AllData[Season], O$84, AllData[Year], "2023"), "")</f>
        <v/>
      </c>
      <c r="Q94" s="146" t="str">
        <f t="shared" si="49"/>
        <v/>
      </c>
      <c r="R94" s="82" t="str">
        <f>IFERROR(AVERAGEIFS(AllData[Phosphate (PPM)], AllData[District], $F$88, AllData[River], $G94, AllData[Season], O$84, AllData[Year], "2023"),"")</f>
        <v/>
      </c>
      <c r="S94" s="85" t="str">
        <f t="shared" si="50"/>
        <v/>
      </c>
      <c r="T94" s="84">
        <f>COUNTIFS(AllData[District],$F$88,AllData[River],$G94,AllData[Season],T$84, AllData[Year], "2023")</f>
        <v>0</v>
      </c>
      <c r="U94" s="81" t="str">
        <f>IFERROR(AVERAGEIFS(AllData[Nitrate (PPM)], AllData[District], $F$88, AllData[River],$G94, AllData[Season], T$84, AllData[Year], "2023"), "")</f>
        <v/>
      </c>
      <c r="V94" s="83" t="str">
        <f t="shared" si="60"/>
        <v/>
      </c>
      <c r="W94" s="82" t="str">
        <f>IFERROR(AVERAGEIFS(AllData[Phosphate (PPM)], AllData[District], $F$88, AllData[River], $G94, AllData[Season], T$84, AllData[Year], "2023"),"")</f>
        <v/>
      </c>
      <c r="X94" s="85" t="str">
        <f t="shared" si="61"/>
        <v/>
      </c>
      <c r="Y94" s="84">
        <f>COUNTIFS(AllData[District],$F$88,AllData[River],$G94,AllData[Season],Y$84, AllData[Year], "2023")</f>
        <v>7</v>
      </c>
      <c r="Z94" s="81">
        <f>IFERROR(AVERAGEIFS(AllData[Nitrate (PPM)], AllData[District], $F$88, AllData[River],$G94, AllData[Season], Y$84, AllData[Year], "2023"), "")</f>
        <v>7.8571428571428568</v>
      </c>
      <c r="AA94" s="83">
        <f t="shared" si="51"/>
        <v>-2.4556616643929084E-2</v>
      </c>
      <c r="AB94" s="82">
        <f>IFERROR(AVERAGEIFS(AllData[Phosphate (PPM)], AllData[District], $F$88, AllData[River], $G94, AllData[Season], Y$84, AllData[Year], "2023"),"")</f>
        <v>0.55999999999999994</v>
      </c>
      <c r="AC94" s="83">
        <f t="shared" si="52"/>
        <v>0.12635379061371829</v>
      </c>
      <c r="AD94" s="80">
        <f>COUNTIFS(AllData[District],$F$88,AllData[River],$G94,AllData[Season],AD$84, AllData[Year], "2024")</f>
        <v>13</v>
      </c>
      <c r="AE94" s="81">
        <f>IFERROR(AVERAGEIFS(AllData[Nitrate (PPM)], AllData[District], $F$88, AllData[River],$G94, AllData[Season], AD$84, AllData[Year], "2024"), "")</f>
        <v>6.384615384615385</v>
      </c>
      <c r="AF94" s="83">
        <f t="shared" si="53"/>
        <v>-0.20736698499317865</v>
      </c>
      <c r="AG94" s="82">
        <f>IFERROR(AVERAGEIFS(AllData[Phosphate (PPM)], AllData[District], $F$88, AllData[River], $G94, AllData[Season], AD$84, AllData[Year], "2024"),"")</f>
        <v>0.5823076923076923</v>
      </c>
      <c r="AH94" s="85">
        <f t="shared" si="54"/>
        <v>0.17122227952552863</v>
      </c>
      <c r="AI94" s="84">
        <f>COUNTIFS(AllData[District],$F$88,AllData[River],$G94,AllData[Season],AI$84, AllData[Year], "2024")</f>
        <v>13</v>
      </c>
      <c r="AJ94" s="81">
        <f>IFERROR(AVERAGEIFS(AllData[Nitrate (PPM)], AllData[District], $F$88, AllData[River],$G94, AllData[Season], AI$84, AllData[Year], "2024"), "")</f>
        <v>9.9230769230769234</v>
      </c>
      <c r="AK94" s="83">
        <f t="shared" si="62"/>
        <v>0.23192360163710785</v>
      </c>
      <c r="AL94" s="83" t="str">
        <f t="shared" si="63"/>
        <v/>
      </c>
      <c r="AM94" s="82">
        <f>IFERROR(AVERAGEIFS(AllData[Phosphate (PPM)], AllData[District], $F$88, AllData[River], $G94, AllData[Season], AI$84, AllData[Year], "2024"),"")</f>
        <v>0.34923076923076923</v>
      </c>
      <c r="AN94" s="83">
        <f t="shared" si="64"/>
        <v>-0.29757607013924703</v>
      </c>
      <c r="AO94" s="86" t="str">
        <f t="shared" si="65"/>
        <v/>
      </c>
    </row>
    <row r="95" spans="2:41" x14ac:dyDescent="0.25">
      <c r="E95" s="42"/>
      <c r="F95" s="78"/>
      <c r="G95" s="79" t="s">
        <v>1579</v>
      </c>
      <c r="H95" s="80">
        <f>COUNTIFS(AllData[District], $F$88, AllData[River], $G95)</f>
        <v>278</v>
      </c>
      <c r="I95" s="81">
        <f t="shared" si="59"/>
        <v>4.1013516481971397</v>
      </c>
      <c r="J95" s="82">
        <f t="shared" si="48"/>
        <v>0.68400077814993643</v>
      </c>
      <c r="K95" s="83" cm="1">
        <f t="array" ref="K95">SUM(COUNTIFS(AllData[District], $F$88, AllData[River], $G95, AllData[Nitrate Pollution Category], {"High","Very high"}))/COUNTIFS(AllData[District], $F$88, AllData[River], $G95, AllData[Nitrate (PPM)], "&lt;&gt;0")</f>
        <v>0.92057761732851984</v>
      </c>
      <c r="L95" s="83" cm="1">
        <f t="array" ref="L95">SUM(COUNTIFS(AllData[District], $F$88, AllData[River], $G95, AllData[Phosphate Pollution Category], {"High","Very high"}))/COUNTIFS(AllData[District], $F$88, AllData[River], $G95, AllData[Phosphate (PPM)], "&lt;&gt;0")</f>
        <v>0.98561151079136688</v>
      </c>
      <c r="M95" s="84"/>
      <c r="N95" s="84"/>
      <c r="O95" s="80">
        <f>COUNTIFS(AllData[District],$F$88,AllData[River],$G95,AllData[Season],O$84, AllData[Year], "2023")</f>
        <v>2</v>
      </c>
      <c r="P95" s="81">
        <f>IFERROR(AVERAGEIFS(AllData[Nitrate (PPM)], AllData[District], $F$88, AllData[River],$G95, AllData[Season], O$84, AllData[Year], "2023"), "")</f>
        <v>3.5</v>
      </c>
      <c r="Q95" s="146">
        <f t="shared" si="49"/>
        <v>-0.14662279652647686</v>
      </c>
      <c r="R95" s="82">
        <f>IFERROR(AVERAGEIFS(AllData[Phosphate (PPM)], AllData[District], $F$88, AllData[River], $G95, AllData[Season], O$84, AllData[Year], "2023"),"")</f>
        <v>0.66500000000000004</v>
      </c>
      <c r="S95" s="85">
        <f t="shared" si="50"/>
        <v>-2.7778883821344611E-2</v>
      </c>
      <c r="T95" s="84">
        <f>COUNTIFS(AllData[District],$F$88,AllData[River],$G95,AllData[Season],T$84, AllData[Year], "2023")</f>
        <v>45</v>
      </c>
      <c r="U95" s="81">
        <f>IFERROR(AVERAGEIFS(AllData[Nitrate (PPM)], AllData[District], $F$88, AllData[River],$G95, AllData[Season], T$84, AllData[Year], "2023"), "")</f>
        <v>5.7159090909090908</v>
      </c>
      <c r="V95" s="83">
        <f t="shared" si="60"/>
        <v>0.39366471865968228</v>
      </c>
      <c r="W95" s="82">
        <f>IFERROR(AVERAGEIFS(AllData[Phosphate (PPM)], AllData[District], $F$88, AllData[River], $G95, AllData[Season], T$84, AllData[Year], "2023"),"")</f>
        <v>0.51777777777777767</v>
      </c>
      <c r="X95" s="85">
        <f t="shared" si="61"/>
        <v>-0.24301580594945146</v>
      </c>
      <c r="Y95" s="84">
        <f>COUNTIFS(AllData[District],$F$88,AllData[River],$G95,AllData[Season],Y$84, AllData[Year], "2023")</f>
        <v>79</v>
      </c>
      <c r="Z95" s="81">
        <f>IFERROR(AVERAGEIFS(AllData[Nitrate (PPM)], AllData[District], $F$88, AllData[River],$G95, AllData[Season], Y$84, AllData[Year], "2023"), "")</f>
        <v>4.0594936708860754</v>
      </c>
      <c r="AA95" s="83">
        <f t="shared" si="51"/>
        <v>-1.0205898177364075E-2</v>
      </c>
      <c r="AB95" s="82">
        <f>IFERROR(AVERAGEIFS(AllData[Phosphate (PPM)], AllData[District], $F$88, AllData[River], $G95, AllData[Season], Y$84, AllData[Year], "2023"),"")</f>
        <v>0.53126582278481005</v>
      </c>
      <c r="AC95" s="83">
        <f t="shared" si="52"/>
        <v>-0.22329646433771469</v>
      </c>
      <c r="AD95" s="80">
        <f>COUNTIFS(AllData[District],$F$88,AllData[River],$G95,AllData[Season],AD$84, AllData[Year], "2024")</f>
        <v>97</v>
      </c>
      <c r="AE95" s="81">
        <f>IFERROR(AVERAGEIFS(AllData[Nitrate (PPM)], AllData[District], $F$88, AllData[River],$G95, AllData[Season], AD$84, AllData[Year], "2024"), "")</f>
        <v>3.8887628865979385</v>
      </c>
      <c r="AF95" s="83">
        <f t="shared" si="53"/>
        <v>-5.1833829389550251E-2</v>
      </c>
      <c r="AG95" s="82">
        <f>IFERROR(AVERAGEIFS(AllData[Phosphate (PPM)], AllData[District], $F$88, AllData[River], $G95, AllData[Season], AD$84, AllData[Year], "2024"),"")</f>
        <v>0.61670103092783513</v>
      </c>
      <c r="AH95" s="85">
        <f t="shared" si="54"/>
        <v>-9.8391331372650659E-2</v>
      </c>
      <c r="AI95" s="84">
        <f>COUNTIFS(AllData[District],$F$88,AllData[River],$G95,AllData[Season],AI$84, AllData[Year], "2024")</f>
        <v>54</v>
      </c>
      <c r="AJ95" s="81">
        <f>IFERROR(AVERAGEIFS(AllData[Nitrate (PPM)], AllData[District], $F$88, AllData[River],$G95, AllData[Season], AI$84, AllData[Year], "2024"), "")</f>
        <v>3.3425925925925926</v>
      </c>
      <c r="AK95" s="83">
        <f t="shared" si="62"/>
        <v>-0.18500219456629141</v>
      </c>
      <c r="AL95" s="83">
        <f t="shared" si="63"/>
        <v>-4.4973544973544985E-2</v>
      </c>
      <c r="AM95" s="82">
        <f>IFERROR(AVERAGEIFS(AllData[Phosphate (PPM)], AllData[District], $F$88, AllData[River], $G95, AllData[Season], AI$84, AllData[Year], "2024"),"")</f>
        <v>1.0892592592592591</v>
      </c>
      <c r="AN95" s="83">
        <f t="shared" si="64"/>
        <v>0.59248248548116123</v>
      </c>
      <c r="AO95" s="86">
        <f t="shared" si="65"/>
        <v>0.6379838485101641</v>
      </c>
    </row>
    <row r="96" spans="2:41" s="88" customFormat="1" x14ac:dyDescent="0.25">
      <c r="E96" s="91"/>
      <c r="F96" s="101"/>
      <c r="G96" s="108" t="s">
        <v>1629</v>
      </c>
      <c r="H96" s="102">
        <f>COUNTIFS(AllData[District], $F$88)</f>
        <v>824</v>
      </c>
      <c r="I96" s="105">
        <f t="shared" si="59"/>
        <v>5.8327715379489433</v>
      </c>
      <c r="J96" s="106">
        <f t="shared" si="48"/>
        <v>0.66695982369446905</v>
      </c>
      <c r="K96" s="103" cm="1">
        <f t="array" ref="K96">SUM(COUNTIFS(AllData[District], F88, AllData[Nitrate Pollution Category], {"High","Very high"}))/COUNTIFS(AllData[District], F88, AllData[Nitrate (PPM)], "&lt;&gt;0")</f>
        <v>0.95817958179581797</v>
      </c>
      <c r="L96" s="103" cm="1">
        <f t="array" ref="L96">SUM(COUNTIFS(AllData[District], F88, AllData[Phosphate Pollution Category], {"High","Very high"}))/COUNTIFS(AllData[District], F88, AllData[Phosphate (PPM)], "&lt;&gt;0")</f>
        <v>0.97435897435897434</v>
      </c>
      <c r="M96" s="104">
        <v>3</v>
      </c>
      <c r="N96" s="104">
        <v>3</v>
      </c>
      <c r="O96" s="102">
        <f>COUNTIFS(AllData[District], $F$88, AllData[Season], O$84, AllData[Year], "2023")</f>
        <v>44</v>
      </c>
      <c r="P96" s="105">
        <f>IFERROR(AVERAGEIFS(AllData[Nitrate (PPM)], AllData[District], $F88, AllData[Season], O$84, AllData[Year], "2023"), "")</f>
        <v>6.8181818181818183</v>
      </c>
      <c r="Q96" s="103">
        <f t="shared" si="49"/>
        <v>0.16894374720861915</v>
      </c>
      <c r="R96" s="106">
        <f>IFERROR(AVERAGEIFS(AllData[Phosphate (PPM)], AllData[District], $F88, AllData[Season], O$84, AllData[Year], "2023"),"")</f>
        <v>0.60909090909090891</v>
      </c>
      <c r="S96" s="107">
        <f t="shared" si="50"/>
        <v>-8.676521815513373E-2</v>
      </c>
      <c r="T96" s="104">
        <f>COUNTIFS(AllData[District], $F$88, AllData[Season], T$84, AllData[Year], "2023")</f>
        <v>130</v>
      </c>
      <c r="U96" s="105">
        <f>IFERROR(AVERAGEIFS(AllData[Nitrate (PPM)], AllData[District], $F88, AllData[Season], T$84, AllData[Year], "2023"), "")</f>
        <v>6.7628906249999998</v>
      </c>
      <c r="V96" s="103">
        <f t="shared" ref="V96:V100" si="66">IFERROR((U96-$I96)/$I96, "")</f>
        <v>0.15946434400859918</v>
      </c>
      <c r="W96" s="106">
        <f>IFERROR(AVERAGEIFS(AllData[Phosphate (PPM)], AllData[District], $F88, AllData[Season], T$84, AllData[Year], "2023"),"")</f>
        <v>0.58938461538461584</v>
      </c>
      <c r="X96" s="107">
        <f t="shared" ref="X96:X100" si="67">IFERROR((W96-$J96)/$J96, "")</f>
        <v>-0.11631166609128471</v>
      </c>
      <c r="Y96" s="104">
        <f>COUNTIFS(AllData[District], $F$88, AllData[Season], Y$84, AllData[Year], "2023")</f>
        <v>193</v>
      </c>
      <c r="Z96" s="105">
        <f>IFERROR(AVERAGEIFS(AllData[Nitrate (PPM)], AllData[District], $F88, AllData[Season], Y$84, AllData[Year], "2023"), "")</f>
        <v>5.4854922279792753</v>
      </c>
      <c r="AA96" s="103">
        <f t="shared" si="51"/>
        <v>-5.9539330095515208E-2</v>
      </c>
      <c r="AB96" s="106">
        <f>IFERROR(AVERAGEIFS(AllData[Phosphate (PPM)], AllData[District], $F88, AllData[Season], Y$84, AllData[Year], "2023"),"")</f>
        <v>0.57963730569948191</v>
      </c>
      <c r="AC96" s="107">
        <f t="shared" si="52"/>
        <v>-0.13092620408720324</v>
      </c>
      <c r="AD96" s="102">
        <f>COUNTIFS(AllData[District], $F$88, AllData[Season], AD$84, AllData[Year], "2024")</f>
        <v>275</v>
      </c>
      <c r="AE96" s="105">
        <f>IFERROR(AVERAGEIFS(AllData[Nitrate (PPM)], AllData[District], $F88, AllData[Season], AD$84, AllData[Year], "2024"), "")</f>
        <v>4.5771272727272727</v>
      </c>
      <c r="AF96" s="103">
        <f t="shared" si="53"/>
        <v>-0.21527403517388749</v>
      </c>
      <c r="AG96" s="106">
        <f>IFERROR(AVERAGEIFS(AllData[Phosphate (PPM)], AllData[District], $F88, AllData[Season], AD$84, AllData[Year], "2024"),"")</f>
        <v>0.64276363636363643</v>
      </c>
      <c r="AH96" s="107">
        <f t="shared" si="54"/>
        <v>-3.6278328125978351E-2</v>
      </c>
      <c r="AI96" s="104">
        <f>COUNTIFS(AllData[District], $F$88, AllData[Season], AI$84, AllData[Year], "2024")</f>
        <v>181</v>
      </c>
      <c r="AJ96" s="105">
        <f>IFERROR(AVERAGEIFS(AllData[Nitrate (PPM)], AllData[District], $F88, AllData[Season], AI$84, AllData[Year], "2024"), "")</f>
        <v>5.5201657458563531</v>
      </c>
      <c r="AK96" s="103">
        <f t="shared" ref="AK96:AK100" si="68">IFERROR((AJ96-$I96)/$I96, "")</f>
        <v>-5.3594725947815197E-2</v>
      </c>
      <c r="AL96" s="103">
        <f t="shared" si="56"/>
        <v>-0.1903756906077349</v>
      </c>
      <c r="AM96" s="106">
        <f>IFERROR(AVERAGEIFS(AllData[Phosphate (PPM)], AllData[District], $F88, AllData[Season], AI$84, AllData[Year], "2024"),"")</f>
        <v>0.91392265193370192</v>
      </c>
      <c r="AN96" s="103">
        <f t="shared" ref="AN96:AN100" si="69">IFERROR((AM96-$J96)/$J96, "")</f>
        <v>0.37028141645959967</v>
      </c>
      <c r="AO96" s="110">
        <f t="shared" si="58"/>
        <v>0.50047002556279463</v>
      </c>
    </row>
    <row r="97" spans="5:41" x14ac:dyDescent="0.25">
      <c r="E97" s="42"/>
      <c r="F97" s="69" t="e" vm="1">
        <v>#VALUE!</v>
      </c>
      <c r="G97" s="70" t="s">
        <v>1568</v>
      </c>
      <c r="H97" s="71">
        <f>COUNTIFS(AllData[District], $F$97, AllData[River], $G97)</f>
        <v>136</v>
      </c>
      <c r="I97" s="72">
        <f t="shared" si="59"/>
        <v>8.044642568472355</v>
      </c>
      <c r="J97" s="73">
        <f t="shared" si="48"/>
        <v>0.84799778844885232</v>
      </c>
      <c r="K97" s="74" cm="1">
        <f t="array" ref="K97">SUM(COUNTIFS(AllData[District], $F$97, AllData[River], $G97, AllData[Nitrate Pollution Category], {"High","Very high"}))/COUNTIFS(AllData[District], $F$97, AllData[River], $G97, AllData[Nitrate (PPM)], "&lt;&gt;0")</f>
        <v>0.98529411764705888</v>
      </c>
      <c r="L97" s="74" cm="1">
        <f t="array" ref="L97">SUM(COUNTIFS(AllData[District], $F$97, AllData[River], $G97, AllData[Phosphate Pollution Category], {"High","Very high"}))/COUNTIFS(AllData[District], $F$97, AllData[River], $G97, AllData[Phosphate (PPM)], "&lt;&gt;0")</f>
        <v>0.99264705882352944</v>
      </c>
      <c r="M97" s="75"/>
      <c r="N97" s="75"/>
      <c r="O97" s="71">
        <f>COUNTIFS(AllData[District],$F$97,AllData[River],$G97,AllData[Season],O$84, AllData[Year], "2023")</f>
        <v>14</v>
      </c>
      <c r="P97" s="81">
        <f>IFERROR(AVERAGEIFS(AllData[Nitrate (PPM)], AllData[District], $F$97, AllData[River],$G97, AllData[Season], O$84, AllData[Year], "2023"), "")</f>
        <v>8.9230769230769234</v>
      </c>
      <c r="Q97" s="74">
        <f t="shared" si="49"/>
        <v>0.10919495143851735</v>
      </c>
      <c r="R97" s="73">
        <f>IFERROR(AVERAGEIFS(AllData[Phosphate (PPM)], AllData[District], $F$97, AllData[River], $G97, AllData[Season], O$84, AllData[Year], "2023"),"")</f>
        <v>1.0514285714285714</v>
      </c>
      <c r="S97" s="76">
        <f t="shared" si="50"/>
        <v>0.23989541688762217</v>
      </c>
      <c r="T97" s="75">
        <f>COUNTIFS(AllData[District],$F$97,AllData[River],$G97,AllData[Season],T$84, AllData[Year], "2023")</f>
        <v>15</v>
      </c>
      <c r="U97" s="81">
        <f>IFERROR(AVERAGEIFS(AllData[Nitrate (PPM)], AllData[District], $F$97, AllData[River],$G97, AllData[Season], T$84, AllData[Year], "2023"), "")</f>
        <v>8.1999999999999993</v>
      </c>
      <c r="V97" s="74">
        <f t="shared" si="66"/>
        <v>1.9311912270223584E-2</v>
      </c>
      <c r="W97" s="73">
        <f>IFERROR(AVERAGEIFS(AllData[Phosphate (PPM)], AllData[District], $F$97, AllData[River], $G97, AllData[Season], T$84, AllData[Year], "2023"),"")</f>
        <v>0.95533333333333337</v>
      </c>
      <c r="X97" s="76">
        <f t="shared" si="67"/>
        <v>0.12657526510867201</v>
      </c>
      <c r="Y97" s="75">
        <f>COUNTIFS(AllData[District],$F$97,AllData[River],$G97,AllData[Season],Y$84, AllData[Year], "2023")</f>
        <v>22</v>
      </c>
      <c r="Z97" s="81">
        <f>IFERROR(AVERAGEIFS(AllData[Nitrate (PPM)], AllData[District], $F$97, AllData[River],$G97, AllData[Season], Y$84, AllData[Year], "2023"), "")</f>
        <v>6.1363636363636367</v>
      </c>
      <c r="AA97" s="74">
        <f t="shared" si="51"/>
        <v>-0.23721115212594121</v>
      </c>
      <c r="AB97" s="73">
        <f>IFERROR(AVERAGEIFS(AllData[Phosphate (PPM)], AllData[District], $F$97, AllData[River], $G97, AllData[Season], Y$84, AllData[Year], "2023"),"")</f>
        <v>0.71181818181818179</v>
      </c>
      <c r="AC97" s="76">
        <f t="shared" si="52"/>
        <v>-0.1605895775739801</v>
      </c>
      <c r="AD97" s="71">
        <f>COUNTIFS(AllData[District],$F$97,AllData[River],$G97,AllData[Season],AD$84, AllData[Year], "2024")</f>
        <v>37</v>
      </c>
      <c r="AE97" s="81">
        <f>IFERROR(AVERAGEIFS(AllData[Nitrate (PPM)], AllData[District], $F$97, AllData[River],$G97, AllData[Season], AD$84, AllData[Year], "2024"), "")</f>
        <v>7.7297297297297298</v>
      </c>
      <c r="AF97" s="74">
        <f t="shared" si="53"/>
        <v>-3.9145659494779252E-2</v>
      </c>
      <c r="AG97" s="73">
        <f>IFERROR(AVERAGEIFS(AllData[Phosphate (PPM)], AllData[District], $F$97, AllData[River], $G97, AllData[Season], AD$84, AllData[Year], "2024"),"")</f>
        <v>0.57162162162162167</v>
      </c>
      <c r="AH97" s="76">
        <f t="shared" si="54"/>
        <v>-0.32591614104651701</v>
      </c>
      <c r="AI97" s="75">
        <f>COUNTIFS(AllData[District],$F$97,AllData[River],$G97,AllData[Season],AI$84, AllData[Year], "2024")</f>
        <v>47</v>
      </c>
      <c r="AJ97" s="81">
        <f>IFERROR(AVERAGEIFS(AllData[Nitrate (PPM)], AllData[District], $F$97, AllData[River],$G97, AllData[Season], AI$84, AllData[Year], "2024"), "")</f>
        <v>9.2340425531914896</v>
      </c>
      <c r="AK97" s="74">
        <f t="shared" si="68"/>
        <v>0.14784994791197997</v>
      </c>
      <c r="AL97" s="74">
        <f t="shared" si="56"/>
        <v>3.4849596478356559E-2</v>
      </c>
      <c r="AM97" s="73">
        <f>IFERROR(AVERAGEIFS(AllData[Phosphate (PPM)], AllData[District], $F$97, AllData[River], $G97, AllData[Season], AI$84, AllData[Year], "2024"),"")</f>
        <v>0.94978723404255305</v>
      </c>
      <c r="AN97" s="74">
        <f t="shared" si="69"/>
        <v>0.12003503662420252</v>
      </c>
      <c r="AO97" s="77">
        <f t="shared" si="58"/>
        <v>-9.6669750231267434E-2</v>
      </c>
    </row>
    <row r="98" spans="5:41" x14ac:dyDescent="0.25">
      <c r="E98" s="42"/>
      <c r="F98" s="69"/>
      <c r="G98" s="69" t="s">
        <v>1573</v>
      </c>
      <c r="H98" s="71">
        <f>COUNTIFS(AllData[District], $F$97, AllData[River], $G98)</f>
        <v>103</v>
      </c>
      <c r="I98" s="72">
        <f t="shared" si="59"/>
        <v>5.9779970527556729</v>
      </c>
      <c r="J98" s="73">
        <f t="shared" si="48"/>
        <v>0.51026793987621577</v>
      </c>
      <c r="K98" s="74" cm="1">
        <f t="array" ref="K98">SUM(COUNTIFS(AllData[District], $F$97, AllData[River], $G98, AllData[Nitrate Pollution Category], {"High","Very high"}))/COUNTIFS(AllData[District], $F$97, AllData[River], $G98, AllData[Nitrate (PPM)], "&lt;&gt;0")</f>
        <v>1</v>
      </c>
      <c r="L98" s="74" cm="1">
        <f t="array" ref="L98">SUM(COUNTIFS(AllData[District], $F$97, AllData[River], $G98, AllData[Phosphate Pollution Category], {"High","Very high"}))/COUNTIFS(AllData[District], $F$97, AllData[River], $G98, AllData[Phosphate (PPM)], "&lt;&gt;0")</f>
        <v>0.99029126213592233</v>
      </c>
      <c r="M98" s="75"/>
      <c r="N98" s="75"/>
      <c r="O98" s="71">
        <f>COUNTIFS(AllData[District],$F$97,AllData[River],$G98,AllData[Season],O$84, AllData[Year], "2023")</f>
        <v>2</v>
      </c>
      <c r="P98" s="72">
        <f>IFERROR(AVERAGEIFS(AllData[Nitrate (PPM)], AllData[District], $F$97, AllData[River],$G98, AllData[Season], O$84, AllData[Year], "2023"), "")</f>
        <v>6</v>
      </c>
      <c r="Q98" s="74">
        <f t="shared" si="49"/>
        <v>3.6806554185543419E-3</v>
      </c>
      <c r="R98" s="73">
        <f>IFERROR(AVERAGEIFS(AllData[Phosphate (PPM)], AllData[District], $F$97, AllData[River], $G98, AllData[Season], O$84, AllData[Year], "2023"),"")</f>
        <v>0.64</v>
      </c>
      <c r="S98" s="76">
        <f t="shared" si="50"/>
        <v>0.25424301623820522</v>
      </c>
      <c r="T98" s="75">
        <f>COUNTIFS(AllData[District],$F$97,AllData[River],$G98,AllData[Season],T$84, AllData[Year], "2023")</f>
        <v>9</v>
      </c>
      <c r="U98" s="72">
        <f>IFERROR(AVERAGEIFS(AllData[Nitrate (PPM)], AllData[District], $F$97, AllData[River],$G98, AllData[Season], T$84, AllData[Year], "2023"), "")</f>
        <v>6.5555555555555554</v>
      </c>
      <c r="V98" s="74">
        <f t="shared" si="66"/>
        <v>9.6614049438790817E-2</v>
      </c>
      <c r="W98" s="73">
        <f>IFERROR(AVERAGEIFS(AllData[Phosphate (PPM)], AllData[District], $F$97, AllData[River], $G98, AllData[Season], T$84, AllData[Year], "2023"),"")</f>
        <v>0.54333333333333345</v>
      </c>
      <c r="X98" s="76">
        <f t="shared" si="67"/>
        <v>6.4800060660559822E-2</v>
      </c>
      <c r="Y98" s="75">
        <f>COUNTIFS(AllData[District],$F$97,AllData[River],$G98,AllData[Season],Y$84, AllData[Year], "2023")</f>
        <v>13</v>
      </c>
      <c r="Z98" s="72">
        <f>IFERROR(AVERAGEIFS(AllData[Nitrate (PPM)], AllData[District], $F$97, AllData[River],$G98, AllData[Season], Y$84, AllData[Year], "2023"), "")</f>
        <v>4.8461538461538458</v>
      </c>
      <c r="AA98" s="74">
        <f t="shared" si="51"/>
        <v>-0.18933485523886001</v>
      </c>
      <c r="AB98" s="73">
        <f>IFERROR(AVERAGEIFS(AllData[Phosphate (PPM)], AllData[District], $F$97, AllData[River], $G98, AllData[Season], Y$84, AllData[Year], "2023"),"")</f>
        <v>0.40846153846153849</v>
      </c>
      <c r="AC98" s="76">
        <f t="shared" si="52"/>
        <v>-0.19951557497297237</v>
      </c>
      <c r="AD98" s="71">
        <f>COUNTIFS(AllData[District],$F$97,AllData[River],$G98,AllData[Season],AD$84, AllData[Year], "2024")</f>
        <v>29</v>
      </c>
      <c r="AE98" s="72">
        <f>IFERROR(AVERAGEIFS(AllData[Nitrate (PPM)], AllData[District], $F$97, AllData[River],$G98, AllData[Season], AD$84, AllData[Year], "2024"), "")</f>
        <v>6.4482758620689653</v>
      </c>
      <c r="AF98" s="74">
        <f t="shared" si="53"/>
        <v>7.8668290593503762E-2</v>
      </c>
      <c r="AG98" s="73">
        <f>IFERROR(AVERAGEIFS(AllData[Phosphate (PPM)], AllData[District], $F$97, AllData[River], $G98, AllData[Season], AD$84, AllData[Year], "2024"),"")</f>
        <v>0.35034482758620683</v>
      </c>
      <c r="AH98" s="76">
        <f t="shared" si="54"/>
        <v>-0.31341007300753437</v>
      </c>
      <c r="AI98" s="75">
        <f>COUNTIFS(AllData[District],$F$97,AllData[River],$G98,AllData[Season],AI$84, AllData[Year], "2024")</f>
        <v>50</v>
      </c>
      <c r="AJ98" s="72">
        <f>IFERROR(AVERAGEIFS(AllData[Nitrate (PPM)], AllData[District], $F$97, AllData[River],$G98, AllData[Season], AI$84, AllData[Year], "2024"), "")</f>
        <v>6.04</v>
      </c>
      <c r="AK98" s="74">
        <f t="shared" si="68"/>
        <v>1.0371859788011377E-2</v>
      </c>
      <c r="AL98" s="74">
        <f t="shared" si="56"/>
        <v>6.6666666666666723E-3</v>
      </c>
      <c r="AM98" s="73">
        <f>IFERROR(AVERAGEIFS(AllData[Phosphate (PPM)], AllData[District], $F$97, AllData[River], $G98, AllData[Season], AI$84, AllData[Year], "2024"),"")</f>
        <v>0.60919999999999996</v>
      </c>
      <c r="AN98" s="74">
        <f t="shared" si="69"/>
        <v>0.19388257108174148</v>
      </c>
      <c r="AO98" s="77">
        <f t="shared" si="58"/>
        <v>-4.8125000000000077E-2</v>
      </c>
    </row>
    <row r="99" spans="5:41" x14ac:dyDescent="0.25">
      <c r="E99" s="42"/>
      <c r="F99" s="69"/>
      <c r="G99" s="69" t="s">
        <v>1569</v>
      </c>
      <c r="H99" s="71">
        <f>COUNTIFS(AllData[District], $F$97, AllData[River], $G99)</f>
        <v>55</v>
      </c>
      <c r="I99" s="72">
        <f t="shared" si="59"/>
        <v>5.131794871794872</v>
      </c>
      <c r="J99" s="73">
        <f t="shared" si="48"/>
        <v>0.61311235431235445</v>
      </c>
      <c r="K99" s="74" cm="1">
        <f t="array" ref="K99">SUM(COUNTIFS(AllData[District], $F$97, AllData[River], $G99, AllData[Nitrate Pollution Category], {"High","Very high"}))/COUNTIFS(AllData[District], $F$97, AllData[River], $G99, AllData[Nitrate (PPM)], "&lt;&gt;0")</f>
        <v>1</v>
      </c>
      <c r="L99" s="74" cm="1">
        <f t="array" ref="L99">SUM(COUNTIFS(AllData[District], $F$97, AllData[River], $G99, AllData[Phosphate Pollution Category], {"High","Very high"}))/COUNTIFS(AllData[District], $F$97, AllData[River], $G99, AllData[Phosphate (PPM)], "&lt;&gt;0")</f>
        <v>0.98181818181818181</v>
      </c>
      <c r="M99" s="75"/>
      <c r="N99" s="75"/>
      <c r="O99" s="71">
        <f>COUNTIFS(AllData[District],$F$97,AllData[River],$G99,AllData[Season],O$84, AllData[Year], "2023")</f>
        <v>5</v>
      </c>
      <c r="P99" s="72">
        <f>IFERROR(AVERAGEIFS(AllData[Nitrate (PPM)], AllData[District], $F$97, AllData[River],$G99, AllData[Season], O$84, AllData[Year], "2023"), "")</f>
        <v>7.8</v>
      </c>
      <c r="Q99" s="74">
        <f t="shared" si="49"/>
        <v>0.51993604476866184</v>
      </c>
      <c r="R99" s="73">
        <f>IFERROR(AVERAGEIFS(AllData[Phosphate (PPM)], AllData[District], $F$97, AllData[River], $G99, AllData[Season], O$84, AllData[Year], "2023"),"")</f>
        <v>0.754</v>
      </c>
      <c r="S99" s="76">
        <f t="shared" si="50"/>
        <v>0.22979090976834132</v>
      </c>
      <c r="T99" s="75">
        <f>COUNTIFS(AllData[District],$F$97,AllData[River],$G99,AllData[Season],T$84, AllData[Year], "2023")</f>
        <v>12</v>
      </c>
      <c r="U99" s="72">
        <f>IFERROR(AVERAGEIFS(AllData[Nitrate (PPM)], AllData[District], $F$97, AllData[River],$G99, AllData[Season], T$84, AllData[Year], "2023"), "")</f>
        <v>5.083333333333333</v>
      </c>
      <c r="V99" s="74">
        <f t="shared" si="66"/>
        <v>-9.4433896272610226E-3</v>
      </c>
      <c r="W99" s="73">
        <f>IFERROR(AVERAGEIFS(AllData[Phosphate (PPM)], AllData[District], $F$97, AllData[River], $G99, AllData[Season], T$84, AllData[Year], "2023"),"")</f>
        <v>0.60181818181818181</v>
      </c>
      <c r="X99" s="76">
        <f t="shared" si="67"/>
        <v>-1.8421048629561201E-2</v>
      </c>
      <c r="Y99" s="75">
        <f>COUNTIFS(AllData[District],$F$97,AllData[River],$G99,AllData[Season],Y$84, AllData[Year], "2023")</f>
        <v>13</v>
      </c>
      <c r="Z99" s="72">
        <f>IFERROR(AVERAGEIFS(AllData[Nitrate (PPM)], AllData[District], $F$97, AllData[River],$G99, AllData[Season], Y$84, AllData[Year], "2023"), "")</f>
        <v>3.7692307692307692</v>
      </c>
      <c r="AA99" s="74">
        <f t="shared" si="51"/>
        <v>-0.2655141401019287</v>
      </c>
      <c r="AB99" s="73">
        <f>IFERROR(AVERAGEIFS(AllData[Phosphate (PPM)], AllData[District], $F$97, AllData[River], $G99, AllData[Season], Y$84, AllData[Year], "2023"),"")</f>
        <v>0.44307692307692303</v>
      </c>
      <c r="AC99" s="76">
        <f t="shared" si="52"/>
        <v>-0.27733160168683479</v>
      </c>
      <c r="AD99" s="71">
        <f>COUNTIFS(AllData[District],$F$97,AllData[River],$G99,AllData[Season],AD$84, AllData[Year], "2024")</f>
        <v>13</v>
      </c>
      <c r="AE99" s="72">
        <f>IFERROR(AVERAGEIFS(AllData[Nitrate (PPM)], AllData[District], $F$97, AllData[River],$G99, AllData[Season], AD$84, AllData[Year], "2024"), "")</f>
        <v>3.9230769230769229</v>
      </c>
      <c r="AF99" s="74">
        <f t="shared" si="53"/>
        <v>-0.23553512541221153</v>
      </c>
      <c r="AG99" s="73">
        <f>IFERROR(AVERAGEIFS(AllData[Phosphate (PPM)], AllData[District], $F$97, AllData[River], $G99, AllData[Season], AD$84, AllData[Year], "2024"),"")</f>
        <v>0.41000000000000003</v>
      </c>
      <c r="AH99" s="76">
        <f t="shared" si="54"/>
        <v>-0.33128080503313001</v>
      </c>
      <c r="AI99" s="75">
        <f>COUNTIFS(AllData[District],$F$97,AllData[River],$G99,AllData[Season],AI$84, AllData[Year], "2024")</f>
        <v>12</v>
      </c>
      <c r="AJ99" s="72">
        <f>IFERROR(AVERAGEIFS(AllData[Nitrate (PPM)], AllData[District], $F$97, AllData[River],$G99, AllData[Season], AI$84, AllData[Year], "2024"), "")</f>
        <v>5.083333333333333</v>
      </c>
      <c r="AK99" s="74">
        <f t="shared" si="68"/>
        <v>-9.4433896272610226E-3</v>
      </c>
      <c r="AL99" s="74">
        <f t="shared" si="56"/>
        <v>-0.34829059829059833</v>
      </c>
      <c r="AM99" s="73">
        <f>IFERROR(AVERAGEIFS(AllData[Phosphate (PPM)], AllData[District], $F$97, AllData[River], $G99, AllData[Season], AI$84, AllData[Year], "2024"),"")</f>
        <v>0.8566666666666668</v>
      </c>
      <c r="AN99" s="74">
        <f t="shared" si="69"/>
        <v>0.39724254558118377</v>
      </c>
      <c r="AO99" s="77">
        <f t="shared" si="58"/>
        <v>0.13616268788682598</v>
      </c>
    </row>
    <row r="100" spans="5:41" s="88" customFormat="1" x14ac:dyDescent="0.25">
      <c r="E100" s="91"/>
      <c r="F100" s="99"/>
      <c r="G100" s="99" t="s">
        <v>1629</v>
      </c>
      <c r="H100" s="93">
        <f>COUNTIFS(AllData[District], $F$97)</f>
        <v>294</v>
      </c>
      <c r="I100" s="94">
        <f t="shared" si="59"/>
        <v>6.8381342662485967</v>
      </c>
      <c r="J100" s="95">
        <f t="shared" si="48"/>
        <v>0.69673790127245872</v>
      </c>
      <c r="K100" s="96" cm="1">
        <f t="array" ref="K100">SUM(COUNTIFS(AllData[District], F97, AllData[Nitrate Pollution Category], {"High","Very high"}))/COUNTIFS(AllData[District], F97, AllData[Nitrate (PPM)], "&lt;&gt;0")</f>
        <v>0.99319727891156462</v>
      </c>
      <c r="L100" s="96" cm="1">
        <f t="array" ref="L100">SUM(COUNTIFS(AllData[District], F97, AllData[Phosphate Pollution Category], {"High","Very high"}))/COUNTIFS(AllData[District], F97, AllData[Phosphate (PPM)], "&lt;&gt;0")</f>
        <v>0.98979591836734693</v>
      </c>
      <c r="M100" s="97">
        <v>2</v>
      </c>
      <c r="N100" s="100">
        <v>2</v>
      </c>
      <c r="O100" s="93">
        <f>COUNTIFS(AllData[District], $F$97, AllData[Season], O$84, AllData[Year], "2023")</f>
        <v>21</v>
      </c>
      <c r="P100" s="94">
        <f>IFERROR(AVERAGEIFS(AllData[Nitrate (PPM)], AllData[District], $F97, AllData[Season], O$84, AllData[Year], "2023"), "")</f>
        <v>8.35</v>
      </c>
      <c r="Q100" s="96">
        <f t="shared" si="49"/>
        <v>0.22109330921061501</v>
      </c>
      <c r="R100" s="95">
        <f>IFERROR(AVERAGEIFS(AllData[Phosphate (PPM)], AllData[District], $F97, AllData[Season], O$84, AllData[Year], "2023"),"")</f>
        <v>0.94142857142857139</v>
      </c>
      <c r="S100" s="98">
        <f t="shared" si="50"/>
        <v>0.35119471713715</v>
      </c>
      <c r="T100" s="97">
        <f>COUNTIFS(AllData[District], $F$97, AllData[Season], T$84, AllData[Year], "2023")</f>
        <v>36</v>
      </c>
      <c r="U100" s="94">
        <f>IFERROR(AVERAGEIFS(AllData[Nitrate (PPM)], AllData[District], $F97, AllData[Season], T$84, AllData[Year], "2023"), "")</f>
        <v>6.75</v>
      </c>
      <c r="V100" s="96">
        <f t="shared" si="66"/>
        <v>-1.2888642254892014E-2</v>
      </c>
      <c r="W100" s="95">
        <f>IFERROR(AVERAGEIFS(AllData[Phosphate (PPM)], AllData[District], $F97, AllData[Season], T$84, AllData[Year], "2023"),"")</f>
        <v>0.73828571428571432</v>
      </c>
      <c r="X100" s="98">
        <f t="shared" si="67"/>
        <v>5.9631911709376602E-2</v>
      </c>
      <c r="Y100" s="97">
        <f>COUNTIFS(AllData[District], $F$97, AllData[Season], Y$84, AllData[Year], "2023")</f>
        <v>48</v>
      </c>
      <c r="Z100" s="94">
        <f>IFERROR(AVERAGEIFS(AllData[Nitrate (PPM)], AllData[District], $F97, AllData[Season], Y$84, AllData[Year], "2023"), "")</f>
        <v>5.145833333333333</v>
      </c>
      <c r="AA100" s="96">
        <f t="shared" si="51"/>
        <v>-0.24747992171900723</v>
      </c>
      <c r="AB100" s="95">
        <f>IFERROR(AVERAGEIFS(AllData[Phosphate (PPM)], AllData[District], $F97, AllData[Season], Y$84, AllData[Year], "2023"),"")</f>
        <v>0.55687500000000001</v>
      </c>
      <c r="AC100" s="98">
        <f t="shared" si="52"/>
        <v>-0.20073961961452913</v>
      </c>
      <c r="AD100" s="93">
        <f>COUNTIFS(AllData[District], $F$97, AllData[Season], AD$84, AllData[Year], "2024")</f>
        <v>79</v>
      </c>
      <c r="AE100" s="94">
        <f>IFERROR(AVERAGEIFS(AllData[Nitrate (PPM)], AllData[District], $F97, AllData[Season], AD$84, AllData[Year], "2024"), "")</f>
        <v>6.6329113924050631</v>
      </c>
      <c r="AF100" s="96">
        <f t="shared" si="53"/>
        <v>-3.0011530317043469E-2</v>
      </c>
      <c r="AG100" s="95">
        <f>IFERROR(AVERAGEIFS(AllData[Phosphate (PPM)], AllData[District], $F97, AllData[Season], AD$84, AllData[Year], "2024"),"")</f>
        <v>0.46379746835443036</v>
      </c>
      <c r="AH100" s="98">
        <f t="shared" si="54"/>
        <v>-0.33433007231644374</v>
      </c>
      <c r="AI100" s="97">
        <f>COUNTIFS(AllData[District], $F$97, AllData[Season], AI$84, AllData[Year], "2024")</f>
        <v>109</v>
      </c>
      <c r="AJ100" s="94">
        <f>IFERROR(AVERAGEIFS(AllData[Nitrate (PPM)], AllData[District], $F97, AllData[Season], AI$84, AllData[Year], "2024"), "")</f>
        <v>7.3119266055045875</v>
      </c>
      <c r="AK100" s="96">
        <f t="shared" si="68"/>
        <v>6.9286785080327692E-2</v>
      </c>
      <c r="AL100" s="96">
        <f t="shared" ref="AL100:AL101" si="70">IFERROR((AJ100-P100)/P100,"")</f>
        <v>-0.12432016700543859</v>
      </c>
      <c r="AM100" s="95">
        <f>IFERROR(AVERAGEIFS(AllData[Phosphate (PPM)], AllData[District], $F97, AllData[Season], AI$84, AllData[Year], "2024"),"")</f>
        <v>0.78330275229357771</v>
      </c>
      <c r="AN100" s="96">
        <f t="shared" si="69"/>
        <v>0.12424306308444658</v>
      </c>
      <c r="AO100" s="109">
        <f t="shared" ref="AO100:AO101" si="71">IFERROR((AM100-R100)/R100,"")</f>
        <v>-0.16796369255613897</v>
      </c>
    </row>
    <row r="101" spans="5:41" x14ac:dyDescent="0.25">
      <c r="E101" s="42"/>
      <c r="F101" s="78" t="e" vm="17">
        <v>#VALUE!</v>
      </c>
      <c r="G101" s="78" t="s">
        <v>1568</v>
      </c>
      <c r="H101" s="80">
        <f>COUNTIFS(AllData[District], $F$101, AllData[River], $G101)</f>
        <v>35</v>
      </c>
      <c r="I101" s="81">
        <f t="shared" si="59"/>
        <v>7.6267806267806266</v>
      </c>
      <c r="J101" s="82">
        <f t="shared" si="48"/>
        <v>0.65359686609686607</v>
      </c>
      <c r="K101" s="83" cm="1">
        <f t="array" ref="K101">SUM(COUNTIFS(AllData[District], $F$101, AllData[River], $G101, AllData[Nitrate Pollution Category], {"High","Very high"}))/COUNTIFS(AllData[District], $F$101, AllData[River], $G101, AllData[Nitrate (PPM)], "&lt;&gt;0")</f>
        <v>1</v>
      </c>
      <c r="L101" s="83" cm="1">
        <f t="array" ref="L101">SUM(COUNTIFS(AllData[District], $F$101, AllData[River], $G101, AllData[Phosphate Pollution Category], {"High","Very high"}))/COUNTIFS(AllData[District], $F$101, AllData[River], $G101, AllData[Phosphate (PPM)], "&lt;&gt;0")</f>
        <v>1</v>
      </c>
      <c r="M101" s="84"/>
      <c r="N101" s="84"/>
      <c r="O101" s="80">
        <f>COUNTIFS(AllData[District],$F$101,AllData[River],$G101,AllData[Season],O$84, AllData[Year], "2023")</f>
        <v>0</v>
      </c>
      <c r="P101" s="81" t="str">
        <f>IFERROR(AVERAGEIFS(AllData[Nitrate (PPM)], AllData[District], $F$101, AllData[River],$G101, AllData[Season], O$84, AllData[Year], "2023"), "")</f>
        <v/>
      </c>
      <c r="Q101" s="83" t="str">
        <f t="shared" si="49"/>
        <v/>
      </c>
      <c r="R101" s="82" t="str">
        <f>IFERROR(AVERAGEIFS(AllData[Phosphate (PPM)], AllData[District], $F$101, AllData[River], $G101, AllData[Season], O$84, AllData[Year], "2023"),"")</f>
        <v/>
      </c>
      <c r="S101" s="85" t="str">
        <f t="shared" si="50"/>
        <v/>
      </c>
      <c r="T101" s="84">
        <f>COUNTIFS(AllData[District],$F$101,AllData[River],$G101,AllData[Season],T$84, AllData[Year], "2023")</f>
        <v>0</v>
      </c>
      <c r="U101" s="81" t="str">
        <f>IFERROR(AVERAGEIFS(AllData[Nitrate (PPM)], AllData[District], $F$101, AllData[River],$G101, AllData[Season], T$84, AllData[Year], "2023"), "")</f>
        <v/>
      </c>
      <c r="V101" s="83" t="str">
        <f>IFERROR((U101-I101)/I101,"")</f>
        <v/>
      </c>
      <c r="W101" s="82" t="str">
        <f>IFERROR(AVERAGEIFS(AllData[Phosphate (PPM)], AllData[District], $F$101, AllData[River], $G101, AllData[Season], T$84, AllData[Year], "2023"),"")</f>
        <v/>
      </c>
      <c r="X101" s="85" t="str">
        <f>IFERROR((W101-J101)/J101,"")</f>
        <v/>
      </c>
      <c r="Y101" s="84">
        <f>COUNTIFS(AllData[District],$F$101,AllData[River],$G101,AllData[Season],Y$84, AllData[Year], "2023")</f>
        <v>4</v>
      </c>
      <c r="Z101" s="81">
        <f>IFERROR(AVERAGEIFS(AllData[Nitrate (PPM)], AllData[District], $F$101, AllData[River],$G101, AllData[Season], Y$84, AllData[Year], "2023"), "")</f>
        <v>7.5</v>
      </c>
      <c r="AA101" s="83">
        <f t="shared" si="51"/>
        <v>-1.6623085543518844E-2</v>
      </c>
      <c r="AB101" s="82">
        <f>IFERROR(AVERAGEIFS(AllData[Phosphate (PPM)], AllData[District], $F$101, AllData[River], $G101, AllData[Season], Y$84, AllData[Year], "2023"),"")</f>
        <v>0.59250000000000003</v>
      </c>
      <c r="AC101" s="83">
        <f t="shared" si="52"/>
        <v>-9.3477905519533513E-2</v>
      </c>
      <c r="AD101" s="80">
        <f>COUNTIFS(AllData[District],$F$101,AllData[River],$G101,AllData[Season],AD$84, AllData[Year], "2024")</f>
        <v>18</v>
      </c>
      <c r="AE101" s="81">
        <f>IFERROR(AVERAGEIFS(AllData[Nitrate (PPM)], AllData[District], $F$101, AllData[River],$G101, AllData[Season], AD$84, AllData[Year], "2024"), "")</f>
        <v>6.6111111111111107</v>
      </c>
      <c r="AF101" s="83">
        <f t="shared" si="53"/>
        <v>-0.13317146059021295</v>
      </c>
      <c r="AG101" s="82">
        <f>IFERROR(AVERAGEIFS(AllData[Phosphate (PPM)], AllData[District], $F$101, AllData[River], $G101, AllData[Season], AD$84, AllData[Year], "2024"),"")</f>
        <v>0.52444444444444449</v>
      </c>
      <c r="AH101" s="85">
        <f t="shared" si="54"/>
        <v>-0.19760257178662879</v>
      </c>
      <c r="AI101" s="84">
        <f>COUNTIFS(AllData[District],$F$101,AllData[River],$G101,AllData[Season],AI$84, AllData[Year], "2024")</f>
        <v>13</v>
      </c>
      <c r="AJ101" s="81">
        <f>IFERROR(AVERAGEIFS(AllData[Nitrate (PPM)], AllData[District], $F$101, AllData[River],$G101, AllData[Season], AI$84, AllData[Year], "2024"), "")</f>
        <v>8.7692307692307701</v>
      </c>
      <c r="AK101" s="83">
        <f t="shared" ref="AK101" si="72">IFERROR((AJ101-I101)/I101, "")</f>
        <v>0.14979454613373192</v>
      </c>
      <c r="AL101" s="83" t="str">
        <f t="shared" si="70"/>
        <v/>
      </c>
      <c r="AM101" s="82">
        <f>IFERROR(AVERAGEIFS(AllData[Phosphate (PPM)], AllData[District], $F$101, AllData[River], $G101, AllData[Season], AI$84, AllData[Year], "2024"),"")</f>
        <v>0.8438461538461538</v>
      </c>
      <c r="AN101" s="83">
        <f t="shared" ref="AN101" si="73">IFERROR((AM101-J101)/J101, "")</f>
        <v>0.29108047730616249</v>
      </c>
      <c r="AO101" s="86" t="str">
        <f t="shared" si="71"/>
        <v/>
      </c>
    </row>
    <row r="102" spans="5:41" x14ac:dyDescent="0.25">
      <c r="E102" s="42"/>
      <c r="F102" s="78"/>
      <c r="G102" s="78" t="s">
        <v>1583</v>
      </c>
      <c r="H102" s="80">
        <f>COUNTIFS(AllData[District], $F$101, AllData[River], $G102)</f>
        <v>23</v>
      </c>
      <c r="I102" s="81">
        <f t="shared" si="59"/>
        <v>4.9666666666666668</v>
      </c>
      <c r="J102" s="82">
        <f t="shared" si="48"/>
        <v>0.72647619047619061</v>
      </c>
      <c r="K102" s="83" cm="1">
        <f t="array" ref="K102">SUM(COUNTIFS(AllData[District], $F$101, AllData[River], $G102, AllData[Nitrate Pollution Category], {"High","Very high"}))/COUNTIFS(AllData[District], $F$101, AllData[River], $G102, AllData[Nitrate (PPM)], "&lt;&gt;0")</f>
        <v>0.95652173913043481</v>
      </c>
      <c r="L102" s="83" cm="1">
        <f t="array" ref="L102">SUM(COUNTIFS(AllData[District], $F$101, AllData[River], $G102, AllData[Phosphate Pollution Category], {"High","Very high"}))/COUNTIFS(AllData[District], $F$101, AllData[River], $G102, AllData[Phosphate (PPM)], "&lt;&gt;0")</f>
        <v>0.95652173913043481</v>
      </c>
      <c r="M102" s="84"/>
      <c r="N102" s="84"/>
      <c r="O102" s="80">
        <f>COUNTIFS(AllData[District],$F$101,AllData[River],$G102,AllData[Season],O$84, AllData[Year], "2023")</f>
        <v>0</v>
      </c>
      <c r="P102" s="81" t="str">
        <f>IFERROR(AVERAGEIFS(AllData[Nitrate (PPM)], AllData[District], $F$101, AllData[River],$G102, AllData[Season], O$84, AllData[Year], "2023"), "")</f>
        <v/>
      </c>
      <c r="Q102" s="81" t="str">
        <f t="shared" si="49"/>
        <v/>
      </c>
      <c r="R102" s="82" t="str">
        <f>IFERROR(AVERAGEIFS(AllData[Phosphate (PPM)], AllData[District], $F$101, AllData[River], $G102, AllData[Season], O$84, AllData[Year], "2023"),"")</f>
        <v/>
      </c>
      <c r="S102" s="163" t="str">
        <f t="shared" si="50"/>
        <v/>
      </c>
      <c r="T102" s="84">
        <f>COUNTIFS(AllData[District],$F$101,AllData[River],$G102,AllData[Season],T$84, AllData[Year], "2023")</f>
        <v>0</v>
      </c>
      <c r="U102" s="81" t="str">
        <f>IFERROR(AVERAGEIFS(AllData[Nitrate (PPM)], AllData[District], $F$101, AllData[River],$G102, AllData[Season], T$84, AllData[Year], "2023"), "")</f>
        <v/>
      </c>
      <c r="V102" s="83" t="str">
        <f t="shared" ref="V102:V104" si="74">IFERROR((U102-I102)/I102,"")</f>
        <v/>
      </c>
      <c r="W102" s="82" t="str">
        <f>IFERROR(AVERAGEIFS(AllData[Phosphate (PPM)], AllData[District], $F$101, AllData[River], $G102, AllData[Season], T$84, AllData[Year], "2023"),"")</f>
        <v/>
      </c>
      <c r="X102" s="85" t="str">
        <f t="shared" ref="X102:X104" si="75">IFERROR((W102-J102)/J102,"")</f>
        <v/>
      </c>
      <c r="Y102" s="84">
        <f>COUNTIFS(AllData[District],$F$101,AllData[River],$G102,AllData[Season],Y$84, AllData[Year], "2023")</f>
        <v>1</v>
      </c>
      <c r="Z102" s="81" t="str">
        <f>IFERROR(AVERAGEIFS(AllData[Nitrate (PPM)], AllData[District], $F$101, AllData[River],$G102, AllData[Season], Y$84, AllData[Year], "2023"), "")</f>
        <v/>
      </c>
      <c r="AA102" s="83" t="str">
        <f t="shared" si="51"/>
        <v/>
      </c>
      <c r="AB102" s="82">
        <f>IFERROR(AVERAGEIFS(AllData[Phosphate (PPM)], AllData[District], $F$101, AllData[River], $G102, AllData[Season], Y$84, AllData[Year], "2023"),"")</f>
        <v>0.21</v>
      </c>
      <c r="AC102" s="83">
        <f t="shared" si="52"/>
        <v>-0.71093340325117993</v>
      </c>
      <c r="AD102" s="80">
        <f>COUNTIFS(AllData[District],$F$101,AllData[River],$G102,AllData[Season],AD$84, AllData[Year], "2024")</f>
        <v>15</v>
      </c>
      <c r="AE102" s="81">
        <f>IFERROR(AVERAGEIFS(AllData[Nitrate (PPM)], AllData[District], $F$101, AllData[River],$G102, AllData[Season], AD$84, AllData[Year], "2024"), "")</f>
        <v>4.9333333333333336</v>
      </c>
      <c r="AF102" s="83">
        <f t="shared" si="53"/>
        <v>-6.7114093959731299E-3</v>
      </c>
      <c r="AG102" s="82">
        <f>IFERROR(AVERAGEIFS(AllData[Phosphate (PPM)], AllData[District], $F$101, AllData[River], $G102, AllData[Season], AD$84, AllData[Year], "2024"),"")</f>
        <v>0.86799999999999999</v>
      </c>
      <c r="AH102" s="85">
        <f t="shared" si="54"/>
        <v>0.194808599895123</v>
      </c>
      <c r="AI102" s="84">
        <f>COUNTIFS(AllData[District],$F$101,AllData[River],$G102,AllData[Season],AI$84, AllData[Year], "2024")</f>
        <v>7</v>
      </c>
      <c r="AJ102" s="81">
        <f>IFERROR(AVERAGEIFS(AllData[Nitrate (PPM)], AllData[District], $F$101, AllData[River],$G102, AllData[Season], AI$84, AllData[Year], "2024"), "")</f>
        <v>5</v>
      </c>
      <c r="AK102" s="83">
        <f t="shared" ref="AK102:AK104" si="76">IFERROR((AJ102-I102)/I102, "")</f>
        <v>6.7114093959731299E-3</v>
      </c>
      <c r="AL102" s="83" t="str">
        <f t="shared" ref="AL102:AL104" si="77">IFERROR((AJ102-P102)/P102,"")</f>
        <v/>
      </c>
      <c r="AM102" s="82">
        <f>IFERROR(AVERAGEIFS(AllData[Phosphate (PPM)], AllData[District], $F$101, AllData[River], $G102, AllData[Season], AI$84, AllData[Year], "2024"),"")</f>
        <v>1.1014285714285716</v>
      </c>
      <c r="AN102" s="83">
        <f t="shared" ref="AN102:AN104" si="78">IFERROR((AM102-J102)/J102, "")</f>
        <v>0.51612480335605671</v>
      </c>
      <c r="AO102" s="86" t="str">
        <f t="shared" ref="AO102:AO104" si="79">IFERROR((AM102-R102)/R102,"")</f>
        <v/>
      </c>
    </row>
    <row r="103" spans="5:41" x14ac:dyDescent="0.25">
      <c r="E103" s="42"/>
      <c r="F103" s="78"/>
      <c r="G103" s="78" t="s">
        <v>1586</v>
      </c>
      <c r="H103" s="80">
        <f>COUNTIFS(AllData[District], $F$101, AllData[River], $G103)</f>
        <v>29</v>
      </c>
      <c r="I103" s="81">
        <f t="shared" si="59"/>
        <v>6.9086538461538467</v>
      </c>
      <c r="J103" s="82">
        <f t="shared" si="48"/>
        <v>0.90418269230769222</v>
      </c>
      <c r="K103" s="83" cm="1">
        <f t="array" ref="K103">SUM(COUNTIFS(AllData[District], $F$101, AllData[River], $G103, AllData[Nitrate Pollution Category], {"High","Very high"}))/COUNTIFS(AllData[District], $F$101, AllData[River], $G103, AllData[Nitrate (PPM)], "&lt;&gt;0")</f>
        <v>1</v>
      </c>
      <c r="L103" s="83" cm="1">
        <f t="array" ref="L103">SUM(COUNTIFS(AllData[District], $F$101, AllData[River], $G103, AllData[Phosphate Pollution Category], {"High","Very high"}))/COUNTIFS(AllData[District], $F$101, AllData[River], $G103, AllData[Phosphate (PPM)], "&lt;&gt;0")</f>
        <v>1</v>
      </c>
      <c r="M103" s="84"/>
      <c r="N103" s="84"/>
      <c r="O103" s="80">
        <f>COUNTIFS(AllData[District],$F$101,AllData[River],$G103,AllData[Season],O$84, AllData[Year], "2023")</f>
        <v>0</v>
      </c>
      <c r="P103" s="81" t="str">
        <f>IFERROR(AVERAGEIFS(AllData[Nitrate (PPM)], AllData[District], $F$101, AllData[River],$G103, AllData[Season], O$84, AllData[Year], "2023"), "")</f>
        <v/>
      </c>
      <c r="Q103" s="81" t="str">
        <f t="shared" si="49"/>
        <v/>
      </c>
      <c r="R103" s="82" t="str">
        <f>IFERROR(AVERAGEIFS(AllData[Phosphate (PPM)], AllData[District], $F$101, AllData[River], $G103, AllData[Season], O$84, AllData[Year], "2023"),"")</f>
        <v/>
      </c>
      <c r="S103" s="163" t="str">
        <f t="shared" si="50"/>
        <v/>
      </c>
      <c r="T103" s="84">
        <f>COUNTIFS(AllData[District],$F$101,AllData[River],$G103,AllData[Season],T$84, AllData[Year], "2023")</f>
        <v>0</v>
      </c>
      <c r="U103" s="81" t="str">
        <f>IFERROR(AVERAGEIFS(AllData[Nitrate (PPM)], AllData[District], $F$101, AllData[River],$G103, AllData[Season], T$84, AllData[Year], "2023"), "")</f>
        <v/>
      </c>
      <c r="V103" s="83" t="str">
        <f t="shared" si="74"/>
        <v/>
      </c>
      <c r="W103" s="82" t="str">
        <f>IFERROR(AVERAGEIFS(AllData[Phosphate (PPM)], AllData[District], $F$101, AllData[River], $G103, AllData[Season], T$84, AllData[Year], "2023"),"")</f>
        <v/>
      </c>
      <c r="X103" s="85" t="str">
        <f t="shared" si="75"/>
        <v/>
      </c>
      <c r="Y103" s="84">
        <f>COUNTIFS(AllData[District],$F$101,AllData[River],$G103,AllData[Season],Y$84, AllData[Year], "2023")</f>
        <v>0</v>
      </c>
      <c r="Z103" s="81" t="str">
        <f>IFERROR(AVERAGEIFS(AllData[Nitrate (PPM)], AllData[District], $F$101, AllData[River],$G103, AllData[Season], Y$84, AllData[Year], "2023"), "")</f>
        <v/>
      </c>
      <c r="AA103" s="83" t="str">
        <f t="shared" si="51"/>
        <v/>
      </c>
      <c r="AB103" s="82" t="str">
        <f>IFERROR(AVERAGEIFS(AllData[Phosphate (PPM)], AllData[District], $F$101, AllData[River], $G103, AllData[Season], Y$84, AllData[Year], "2023"),"")</f>
        <v/>
      </c>
      <c r="AC103" s="83" t="str">
        <f t="shared" si="52"/>
        <v/>
      </c>
      <c r="AD103" s="80">
        <f>COUNTIFS(AllData[District],$F$101,AllData[River],$G103,AllData[Season],AD$84, AllData[Year], "2024")</f>
        <v>13</v>
      </c>
      <c r="AE103" s="81">
        <f>IFERROR(AVERAGEIFS(AllData[Nitrate (PPM)], AllData[District], $F$101, AllData[River],$G103, AllData[Season], AD$84, AllData[Year], "2024"), "")</f>
        <v>5.6923076923076925</v>
      </c>
      <c r="AF103" s="83">
        <f t="shared" si="53"/>
        <v>-0.17606123869171889</v>
      </c>
      <c r="AG103" s="82">
        <f>IFERROR(AVERAGEIFS(AllData[Phosphate (PPM)], AllData[District], $F$101, AllData[River], $G103, AllData[Season], AD$84, AllData[Year], "2024"),"")</f>
        <v>0.64461538461538459</v>
      </c>
      <c r="AH103" s="85">
        <f t="shared" si="54"/>
        <v>-0.28707396182272554</v>
      </c>
      <c r="AI103" s="84">
        <f>COUNTIFS(AllData[District],$F$101,AllData[River],$G103,AllData[Season],AI$84, AllData[Year], "2024")</f>
        <v>16</v>
      </c>
      <c r="AJ103" s="81">
        <f>IFERROR(AVERAGEIFS(AllData[Nitrate (PPM)], AllData[District], $F$101, AllData[River],$G103, AllData[Season], AI$84, AllData[Year], "2024"), "")</f>
        <v>8.125</v>
      </c>
      <c r="AK103" s="83">
        <f t="shared" si="76"/>
        <v>0.17606123869171877</v>
      </c>
      <c r="AL103" s="83" t="str">
        <f t="shared" si="77"/>
        <v/>
      </c>
      <c r="AM103" s="82">
        <f>IFERROR(AVERAGEIFS(AllData[Phosphate (PPM)], AllData[District], $F$101, AllData[River], $G103, AllData[Season], AI$84, AllData[Year], "2024"),"")</f>
        <v>1.1637499999999998</v>
      </c>
      <c r="AN103" s="83">
        <f t="shared" si="78"/>
        <v>0.28707396182272554</v>
      </c>
      <c r="AO103" s="86" t="str">
        <f t="shared" si="79"/>
        <v/>
      </c>
    </row>
    <row r="104" spans="5:41" x14ac:dyDescent="0.25">
      <c r="E104" s="42"/>
      <c r="F104" s="78"/>
      <c r="G104" s="78" t="s">
        <v>1652</v>
      </c>
      <c r="H104" s="80">
        <f>COUNTIFS(AllData[District], $F$101, AllData[River], $G104)</f>
        <v>6</v>
      </c>
      <c r="I104" s="81">
        <f t="shared" si="59"/>
        <v>4.833333333333333</v>
      </c>
      <c r="J104" s="82">
        <f t="shared" si="48"/>
        <v>1.76</v>
      </c>
      <c r="K104" s="83" cm="1">
        <f t="array" ref="K104">SUM(COUNTIFS(AllData[District], $F$101, AllData[River], $G104, AllData[Nitrate Pollution Category], {"High","Very high"}))/COUNTIFS(AllData[District], $F$101, AllData[River], $G104, AllData[Nitrate (PPM)], "&lt;&gt;0")</f>
        <v>0.83333333333333337</v>
      </c>
      <c r="L104" s="83" cm="1">
        <f t="array" ref="L104">SUM(COUNTIFS(AllData[District], $F$101, AllData[River], $G104, AllData[Phosphate Pollution Category], {"High","Very high"}))/COUNTIFS(AllData[District], $F$101, AllData[River], $G104, AllData[Phosphate (PPM)], "&lt;&gt;0")</f>
        <v>1</v>
      </c>
      <c r="M104" s="84"/>
      <c r="N104" s="84"/>
      <c r="O104" s="80">
        <f>COUNTIFS(AllData[District],$F$101,AllData[River],$G104,AllData[Season],O$84, AllData[Year], "2023")</f>
        <v>0</v>
      </c>
      <c r="P104" s="81" t="str">
        <f>IFERROR(AVERAGEIFS(AllData[Nitrate (PPM)], AllData[District], $F$101, AllData[River],$G104, AllData[Season], O$84, AllData[Year], "2023"), "")</f>
        <v/>
      </c>
      <c r="Q104" s="83" t="str">
        <f t="shared" si="49"/>
        <v/>
      </c>
      <c r="R104" s="82" t="str">
        <f>IFERROR(AVERAGEIFS(AllData[Phosphate (PPM)], AllData[District], $F$101, AllData[River], $G104, AllData[Season], O$84, AllData[Year], "2023"),"")</f>
        <v/>
      </c>
      <c r="S104" s="85" t="str">
        <f t="shared" si="50"/>
        <v/>
      </c>
      <c r="T104" s="84">
        <f>COUNTIFS(AllData[District],$F$101,AllData[River],$G104,AllData[Season],T$84, AllData[Year], "2023")</f>
        <v>0</v>
      </c>
      <c r="U104" s="81" t="str">
        <f>IFERROR(AVERAGEIFS(AllData[Nitrate (PPM)], AllData[District], $F$101, AllData[River],$G104, AllData[Season], T$84, AllData[Year], "2023"), "")</f>
        <v/>
      </c>
      <c r="V104" s="83" t="str">
        <f t="shared" si="74"/>
        <v/>
      </c>
      <c r="W104" s="82" t="str">
        <f>IFERROR(AVERAGEIFS(AllData[Phosphate (PPM)], AllData[District], $F$101, AllData[River], $G104, AllData[Season], T$84, AllData[Year], "2023"),"")</f>
        <v/>
      </c>
      <c r="X104" s="85" t="str">
        <f t="shared" si="75"/>
        <v/>
      </c>
      <c r="Y104" s="84">
        <f>COUNTIFS(AllData[District],$F$101,AllData[River],$G104,AllData[Season],Y$84, AllData[Year], "2023")</f>
        <v>0</v>
      </c>
      <c r="Z104" s="81" t="str">
        <f>IFERROR(AVERAGEIFS(AllData[Nitrate (PPM)], AllData[District], $F$101, AllData[River],$G104, AllData[Season], Y$84, AllData[Year], "2023"), "")</f>
        <v/>
      </c>
      <c r="AA104" s="83" t="str">
        <f t="shared" si="51"/>
        <v/>
      </c>
      <c r="AB104" s="82" t="str">
        <f>IFERROR(AVERAGEIFS(AllData[Phosphate (PPM)], AllData[District], $F$101, AllData[River], $G104, AllData[Season], Y$84, AllData[Year], "2023"),"")</f>
        <v/>
      </c>
      <c r="AC104" s="83" t="str">
        <f t="shared" si="52"/>
        <v/>
      </c>
      <c r="AD104" s="80">
        <f>COUNTIFS(AllData[District],$F$101,AllData[River],$G104,AllData[Season],AD$84, AllData[Year], "2024")</f>
        <v>0</v>
      </c>
      <c r="AE104" s="81" t="str">
        <f>IFERROR(AVERAGEIFS(AllData[Nitrate (PPM)], AllData[District], $F$101, AllData[River],$G104, AllData[Season], AD$84, AllData[Year], "2024"), "")</f>
        <v/>
      </c>
      <c r="AF104" s="83" t="str">
        <f t="shared" si="53"/>
        <v/>
      </c>
      <c r="AG104" s="82" t="str">
        <f>IFERROR(AVERAGEIFS(AllData[Phosphate (PPM)], AllData[District], $F$101, AllData[River], $G104, AllData[Season], AD$84, AllData[Year], "2024"),"")</f>
        <v/>
      </c>
      <c r="AH104" s="85" t="str">
        <f t="shared" si="54"/>
        <v/>
      </c>
      <c r="AI104" s="84">
        <f>COUNTIFS(AllData[District],$F$101,AllData[River],$G104,AllData[Season],AI$84, AllData[Year], "2024")</f>
        <v>6</v>
      </c>
      <c r="AJ104" s="81">
        <f>IFERROR(AVERAGEIFS(AllData[Nitrate (PPM)], AllData[District], $F$101, AllData[River],$G104, AllData[Season], AI$84, AllData[Year], "2024"), "")</f>
        <v>4.833333333333333</v>
      </c>
      <c r="AK104" s="83">
        <f t="shared" si="76"/>
        <v>0</v>
      </c>
      <c r="AL104" s="83" t="str">
        <f t="shared" si="77"/>
        <v/>
      </c>
      <c r="AM104" s="82">
        <f>IFERROR(AVERAGEIFS(AllData[Phosphate (PPM)], AllData[District], $F$101, AllData[River], $G104, AllData[Season], AI$84, AllData[Year], "2024"),"")</f>
        <v>1.76</v>
      </c>
      <c r="AN104" s="83">
        <f t="shared" si="78"/>
        <v>0</v>
      </c>
      <c r="AO104" s="86" t="str">
        <f t="shared" si="79"/>
        <v/>
      </c>
    </row>
    <row r="105" spans="5:41" s="88" customFormat="1" ht="15.75" thickBot="1" x14ac:dyDescent="0.3">
      <c r="E105" s="91"/>
      <c r="F105" s="138"/>
      <c r="G105" s="139" t="s">
        <v>1629</v>
      </c>
      <c r="H105" s="140">
        <f>COUNTIFS(AllData[District], $F$101)</f>
        <v>93</v>
      </c>
      <c r="I105" s="144">
        <f t="shared" si="59"/>
        <v>6.8792270531400961</v>
      </c>
      <c r="J105" s="145">
        <f t="shared" si="48"/>
        <v>0.77531953071083504</v>
      </c>
      <c r="K105" s="141" cm="1">
        <f t="array" ref="K105">SUM(COUNTIFS(AllData[District], F101, AllData[Nitrate Pollution Category], {"High","Very high"}))/COUNTIFS(AllData[District], F101, AllData[Nitrate (PPM)], "&lt;&gt;0")</f>
        <v>0.978494623655914</v>
      </c>
      <c r="L105" s="141" cm="1">
        <f t="array" ref="L105">SUM(COUNTIFS(AllData[District], F101, AllData[Phosphate Pollution Category], {"High","Very high"}))/COUNTIFS(AllData[District], F101, AllData[Phosphate (PPM)], "&lt;&gt;0")</f>
        <v>0.989247311827957</v>
      </c>
      <c r="M105" s="142">
        <v>1</v>
      </c>
      <c r="N105" s="143">
        <v>1</v>
      </c>
      <c r="O105" s="140">
        <f>COUNTIFS(AllData[District], $F$101, AllData[Season], O$84, AllData[Year], "2023")</f>
        <v>0</v>
      </c>
      <c r="P105" s="144" t="str">
        <f>IFERROR(AVERAGEIFS(AllData[Nitrate (PPM)], AllData[District], $F101, AllData[Season], O$84, AllData[Year], "2023"), "")</f>
        <v/>
      </c>
      <c r="Q105" s="141" t="str">
        <f t="shared" si="49"/>
        <v/>
      </c>
      <c r="R105" s="145" t="str">
        <f>IFERROR(AVERAGEIFS(AllData[Phosphate (PPM)], AllData[District], $F101, AllData[Season], O$84, AllData[Year], "2023"),"")</f>
        <v/>
      </c>
      <c r="S105" s="172" t="str">
        <f t="shared" si="50"/>
        <v/>
      </c>
      <c r="T105" s="142">
        <f>COUNTIFS(AllData[District], $F$101, AllData[Season], T$84, AllData[Year], "2023")</f>
        <v>0</v>
      </c>
      <c r="U105" s="144" t="str">
        <f>IFERROR(AVERAGEIFS(AllData[Nitrate (PPM)], AllData[District], $F101, AllData[Season], T$84, AllData[Year], "2023"), "")</f>
        <v/>
      </c>
      <c r="V105" s="141" t="str">
        <f t="shared" ref="V105" si="80">IFERROR((U105-$I105)/$I105, "")</f>
        <v/>
      </c>
      <c r="W105" s="145" t="str">
        <f>IFERROR(AVERAGEIFS(AllData[Phosphate (PPM)], AllData[District], $F101, AllData[Season], T$84, AllData[Year], "2023"),"")</f>
        <v/>
      </c>
      <c r="X105" s="172" t="str">
        <f t="shared" ref="X105" si="81">IFERROR((W105-$J105)/$J105, "")</f>
        <v/>
      </c>
      <c r="Y105" s="142">
        <f>COUNTIFS(AllData[District], $F$101, AllData[Season], Y$84, AllData[Year], "2023")</f>
        <v>5</v>
      </c>
      <c r="Z105" s="144">
        <f>IFERROR(AVERAGEIFS(AllData[Nitrate (PPM)], AllData[District], $F101, AllData[Season], Y$84, AllData[Year], "2023"), "")</f>
        <v>7.5</v>
      </c>
      <c r="AA105" s="141">
        <f t="shared" si="51"/>
        <v>9.0238764044943909E-2</v>
      </c>
      <c r="AB105" s="145">
        <f>IFERROR(AVERAGEIFS(AllData[Phosphate (PPM)], AllData[District], $F101, AllData[Season], Y$84, AllData[Year], "2023"),"")</f>
        <v>0.51600000000000001</v>
      </c>
      <c r="AC105" s="141">
        <f t="shared" si="52"/>
        <v>-0.33446794571663052</v>
      </c>
      <c r="AD105" s="140">
        <f>COUNTIFS(AllData[District], $F$101, AllData[Season], AD$84, AllData[Year], "2024")</f>
        <v>46</v>
      </c>
      <c r="AE105" s="144">
        <f>IFERROR(AVERAGEIFS(AllData[Nitrate (PPM)], AllData[District], $F101, AllData[Season], AD$84, AllData[Year], "2024"), "")</f>
        <v>5.8043478260869561</v>
      </c>
      <c r="AF105" s="141">
        <f t="shared" si="53"/>
        <v>-0.15625</v>
      </c>
      <c r="AG105" s="145">
        <f>IFERROR(AVERAGEIFS(AllData[Phosphate (PPM)], AllData[District], $F101, AllData[Season], AD$84, AllData[Year], "2024"),"")</f>
        <v>0.6704347826086956</v>
      </c>
      <c r="AH105" s="172">
        <f t="shared" si="54"/>
        <v>-0.13527938346397403</v>
      </c>
      <c r="AI105" s="142">
        <f>COUNTIFS(AllData[District], $F$101, AllData[Season], AI$84, AllData[Year], "2024")</f>
        <v>42</v>
      </c>
      <c r="AJ105" s="144">
        <f>IFERROR(AVERAGEIFS(AllData[Nitrate (PPM)], AllData[District], $F101, AllData[Season], AI$84, AllData[Year], "2024"), "")</f>
        <v>7.333333333333333</v>
      </c>
      <c r="AK105" s="141">
        <f t="shared" ref="AK105" si="82">IFERROR((AJ105-$I105)/$I105, "")</f>
        <v>6.6011235955056216E-2</v>
      </c>
      <c r="AL105" s="141" t="str">
        <f t="shared" ref="AL105" si="83">IFERROR((AJ105-P105)/P105,"")</f>
        <v/>
      </c>
      <c r="AM105" s="145">
        <f>IFERROR(AVERAGEIFS(AllData[Phosphate (PPM)], AllData[District], $F101, AllData[Season], AI$84, AllData[Year], "2024"),"")</f>
        <v>1.1395238095238096</v>
      </c>
      <c r="AN105" s="141">
        <f t="shared" ref="AN105" si="84">IFERROR((AM105-$J105)/$J105, "")</f>
        <v>0.46974732918060469</v>
      </c>
      <c r="AO105" s="173" t="str">
        <f t="shared" ref="AO105" si="85">IFERROR((AM105-R105)/R105,"")</f>
        <v/>
      </c>
    </row>
    <row r="106" spans="5:41" s="88" customFormat="1" ht="16.5" hidden="1" thickTop="1" thickBot="1" x14ac:dyDescent="0.3">
      <c r="E106" s="91"/>
      <c r="F106" s="164"/>
      <c r="G106" s="165"/>
      <c r="H106" s="166"/>
      <c r="I106" s="167"/>
      <c r="J106" s="168"/>
      <c r="K106" s="169"/>
      <c r="L106" s="169"/>
      <c r="M106" s="170"/>
      <c r="N106" s="171"/>
      <c r="O106" s="87"/>
      <c r="P106" s="111"/>
      <c r="Q106" s="89"/>
      <c r="R106" s="112"/>
      <c r="S106" s="90"/>
      <c r="T106" s="113"/>
      <c r="U106" s="111"/>
      <c r="V106" s="89"/>
      <c r="W106" s="112"/>
      <c r="X106" s="90"/>
      <c r="Y106" s="113"/>
      <c r="Z106" s="111"/>
      <c r="AA106" s="89"/>
      <c r="AB106" s="112"/>
      <c r="AC106" s="89"/>
      <c r="AD106" s="87"/>
      <c r="AE106" s="111"/>
      <c r="AF106" s="89"/>
      <c r="AG106" s="112"/>
      <c r="AH106" s="90"/>
      <c r="AI106" s="113"/>
      <c r="AJ106" s="111"/>
      <c r="AK106" s="89"/>
      <c r="AL106" s="89"/>
      <c r="AM106" s="112"/>
      <c r="AN106" s="89"/>
      <c r="AO106" s="91"/>
    </row>
    <row r="107" spans="5:41" ht="21" thickTop="1" thickBot="1" x14ac:dyDescent="0.3">
      <c r="E107" s="42"/>
      <c r="F107" s="46"/>
      <c r="G107" s="22"/>
      <c r="H107" s="48">
        <f>SUM(H87,H96,H100,H105)</f>
        <v>1237</v>
      </c>
      <c r="I107" s="43">
        <f>AVERAGE(I87,I96,I100,I105)</f>
        <v>5.9418810404213653</v>
      </c>
      <c r="J107" s="44">
        <f>AVERAGE(J87,J96,J100,J105)</f>
        <v>0.63171083565857111</v>
      </c>
      <c r="K107" s="49" cm="1">
        <f t="array" ref="K107">SUM(COUNTIF(AllData[Nitrate Pollution Category], {"High","Very high"}))/COUNTA(AllData[Nitrate (PPM)])</f>
        <v>0.96350364963503654</v>
      </c>
      <c r="L107" s="49" cm="1">
        <f t="array" ref="L107">SUM(COUNTIF(AllData[Phosphate Pollution Category], {"High","Very high"}))/COUNTA(AllData[Phosphate (PPM)])</f>
        <v>0.970873786407767</v>
      </c>
      <c r="M107" s="44"/>
      <c r="N107" s="44"/>
      <c r="O107" s="53">
        <f>COUNTIFS(AllData[Season], "Summer", AllData[Year], "2023")</f>
        <v>65</v>
      </c>
      <c r="P107" s="54">
        <f>AVERAGE(P87,P96,P100,P105)</f>
        <v>7.584090909090909</v>
      </c>
      <c r="Q107" s="55">
        <f>(P107-$I107)/$I107</f>
        <v>0.27637878602717486</v>
      </c>
      <c r="R107" s="56">
        <f>AVERAGE(R87,R96,R100,R105)</f>
        <v>0.77525974025974009</v>
      </c>
      <c r="S107" s="57">
        <f>(R107-$J107)/$J107</f>
        <v>0.22723831300363306</v>
      </c>
      <c r="T107" s="129">
        <f>COUNTIFS(AllData[Season], "Autumn", AllData[Year], "2023")</f>
        <v>166</v>
      </c>
      <c r="U107" s="54">
        <f>AVERAGE(U87,U96,U100,U105)</f>
        <v>6.7564453125000004</v>
      </c>
      <c r="V107" s="55">
        <f>(U107-$I107)/$I107</f>
        <v>0.13708862000725458</v>
      </c>
      <c r="W107" s="56">
        <f>AVERAGE(W87,W96,W100,W105)</f>
        <v>0.66383516483516503</v>
      </c>
      <c r="X107" s="57">
        <f>(W107-$J107)/$J107</f>
        <v>5.0852901934321994E-2</v>
      </c>
      <c r="Y107" s="129">
        <f>COUNTIFS(AllData[Season], "Winter", AllData[Year], "2023")</f>
        <v>246</v>
      </c>
      <c r="Z107" s="54">
        <f>AVERAGE(Z87,Z96,Z100,Z105)</f>
        <v>6.0437751871042025</v>
      </c>
      <c r="AA107" s="55">
        <f>(Z107-$I107)/$I107</f>
        <v>1.714846628360156E-2</v>
      </c>
      <c r="AB107" s="56">
        <f>AVERAGE(AB87,AB96,AB100,AB105)</f>
        <v>0.55083743523316064</v>
      </c>
      <c r="AC107" s="62">
        <f>(AB107-$J107)/$J107</f>
        <v>-0.12802281654880646</v>
      </c>
      <c r="AD107" s="53">
        <f>COUNTIFS(AllData[Season], "Spring", AllData[Year], "2024")</f>
        <v>400</v>
      </c>
      <c r="AE107" s="54">
        <f>AVERAGE(AE87,AE96,AE100,AE105)</f>
        <v>5.671462163739764</v>
      </c>
      <c r="AF107" s="55">
        <f>(AE107-$I107)/$I107</f>
        <v>-4.5510651398437414E-2</v>
      </c>
      <c r="AG107" s="56">
        <f>AVERAGE(AG87,AG96,AG100,AG105)</f>
        <v>0.59233196244225417</v>
      </c>
      <c r="AH107" s="57">
        <f>(AG107-$J107)/$J107</f>
        <v>-6.2336865213438494E-2</v>
      </c>
      <c r="AI107" s="129">
        <f>COUNTIFS(AllData[Season], "Summer", AllData[Year], "2024")</f>
        <v>355</v>
      </c>
      <c r="AJ107" s="54">
        <f>AVERAGE(AJ87,AJ96,AJ100,AJ105)</f>
        <v>6.0957042472605245</v>
      </c>
      <c r="AK107" s="55">
        <f>(AJ107-$I107)/$I107</f>
        <v>2.5887964735869382E-2</v>
      </c>
      <c r="AL107" s="55">
        <f>(AJ107-P107)/P107</f>
        <v>-0.19625116308222032</v>
      </c>
      <c r="AM107" s="56">
        <f>AVERAGE(AM87,AM96,AM100,AM105)</f>
        <v>0.80614382517690286</v>
      </c>
      <c r="AN107" s="55">
        <f>(AM107-$J107)/$J107</f>
        <v>0.27612790484507344</v>
      </c>
      <c r="AO107" s="62">
        <f>IFERROR((AM107-R107)/R107,"")</f>
        <v>3.9837080804448172E-2</v>
      </c>
    </row>
  </sheetData>
  <autoFilter ref="B11:AO77" xr:uid="{15B109FA-FCE8-4FB2-8DE0-509B32FC351D}"/>
  <mergeCells count="27">
    <mergeCell ref="D2:K2"/>
    <mergeCell ref="F3:G3"/>
    <mergeCell ref="H3:I3"/>
    <mergeCell ref="J3:K3"/>
    <mergeCell ref="F4:G4"/>
    <mergeCell ref="H4:I4"/>
    <mergeCell ref="J4:K4"/>
    <mergeCell ref="H84:N84"/>
    <mergeCell ref="O84:S84"/>
    <mergeCell ref="T84:X84"/>
    <mergeCell ref="Y84:AC84"/>
    <mergeCell ref="AI10:AO10"/>
    <mergeCell ref="B8:F9"/>
    <mergeCell ref="B82:F83"/>
    <mergeCell ref="O9:AC9"/>
    <mergeCell ref="H10:N10"/>
    <mergeCell ref="O10:S10"/>
    <mergeCell ref="T10:X10"/>
    <mergeCell ref="Y10:AC10"/>
    <mergeCell ref="O83:AC83"/>
    <mergeCell ref="AD9:AO9"/>
    <mergeCell ref="O8:AO8"/>
    <mergeCell ref="O82:AO82"/>
    <mergeCell ref="AD10:AH10"/>
    <mergeCell ref="AD84:AH84"/>
    <mergeCell ref="AD83:AO83"/>
    <mergeCell ref="AI84:AO84"/>
  </mergeCells>
  <conditionalFormatting sqref="I86:I105 I12:I77 P12:P77 Z12:Z77 U12:U77 AE12:AE77 P86:P105 U86:U105 Z86:Z105 AE86:AE105 AJ12:AJ77 AJ86:AJ105">
    <cfRule type="colorScale" priority="165">
      <colorScale>
        <cfvo type="min"/>
        <cfvo type="max"/>
        <color rgb="FFFCFCFF"/>
        <color rgb="FFF8696B"/>
      </colorScale>
    </cfRule>
  </conditionalFormatting>
  <conditionalFormatting sqref="J12:J77 J86:J105 R12:R77 W12:W77 AB12:AB77 AG12:AG77 R86:R105 W86:W105 AB86:AB105 AG86:AG105 AM12:AM77 AM86:AM105">
    <cfRule type="colorScale" priority="181">
      <colorScale>
        <cfvo type="min"/>
        <cfvo type="max"/>
        <color rgb="FFFCFCFF"/>
        <color theme="4"/>
      </colorScale>
    </cfRule>
  </conditionalFormatting>
  <conditionalFormatting sqref="K12:K77 K86:K105">
    <cfRule type="dataBar" priority="177">
      <dataBar>
        <cfvo type="min"/>
        <cfvo type="max"/>
        <color theme="0"/>
      </dataBar>
      <extLst>
        <ext xmlns:x14="http://schemas.microsoft.com/office/spreadsheetml/2009/9/main" uri="{B025F937-C7B1-47D3-B67F-A62EFF666E3E}">
          <x14:id>{8380C27F-1944-4B53-9E17-AFA1C920BFB8}</x14:id>
        </ext>
      </extLst>
    </cfRule>
  </conditionalFormatting>
  <conditionalFormatting sqref="L12:L77 L86:L105">
    <cfRule type="dataBar" priority="179">
      <dataBar>
        <cfvo type="min"/>
        <cfvo type="max"/>
        <color theme="0"/>
      </dataBar>
      <extLst>
        <ext xmlns:x14="http://schemas.microsoft.com/office/spreadsheetml/2009/9/main" uri="{B025F937-C7B1-47D3-B67F-A62EFF666E3E}">
          <x14:id>{8936B2EC-78A3-435C-95E9-CFA6894C16A6}</x14:id>
        </ext>
      </extLst>
    </cfRule>
  </conditionalFormatting>
  <conditionalFormatting sqref="Q12:Q77 S12:S77 V12:V77 X12:X77 AA12:AA77 AC12:AC77 AF12:AF77 AH12:AH77 AK12:AL77 AN12:AO77 Q86:Q105 S86:S105 V86:V105 X86:X105 AA86:AA105 AC86:AC105 AF86:AF105 AH86:AH105 AK86:AL105 AN86:AO105">
    <cfRule type="cellIs" dxfId="1" priority="28" operator="lessThan">
      <formula>0</formula>
    </cfRule>
    <cfRule type="cellIs" dxfId="0" priority="29" operator="greaterThan">
      <formula>0</formula>
    </cfRule>
  </conditionalFormatting>
  <hyperlinks>
    <hyperlink ref="F6" r:id="rId1" xr:uid="{FDAA15FD-AEDC-43E9-A953-5FE4A294E3ED}"/>
    <hyperlink ref="F5" r:id="rId2" xr:uid="{167F6873-8998-4411-A3D6-2936D804AD95}"/>
  </hyperlinks>
  <pageMargins left="0.7" right="0.7" top="0.75" bottom="0.75" header="0.3" footer="0.3"/>
  <pageSetup paperSize="9" scale="25" orientation="landscape" r:id="rId3"/>
  <extLst>
    <ext xmlns:x14="http://schemas.microsoft.com/office/spreadsheetml/2009/9/main" uri="{78C0D931-6437-407d-A8EE-F0AAD7539E65}">
      <x14:conditionalFormattings>
        <x14:conditionalFormatting xmlns:xm="http://schemas.microsoft.com/office/excel/2006/main">
          <x14:cfRule type="dataBar" id="{8380C27F-1944-4B53-9E17-AFA1C920BFB8}">
            <x14:dataBar minLength="0" maxLength="100" border="1" negativeBarBorderColorSameAsPositive="0">
              <x14:cfvo type="autoMin"/>
              <x14:cfvo type="autoMax"/>
              <x14:borderColor rgb="FFFF555A"/>
              <x14:negativeFillColor rgb="FFFF0000"/>
              <x14:negativeBorderColor rgb="FFFF0000"/>
              <x14:axisColor rgb="FF000000"/>
            </x14:dataBar>
          </x14:cfRule>
          <xm:sqref>K12:K77 K86:K105</xm:sqref>
        </x14:conditionalFormatting>
        <x14:conditionalFormatting xmlns:xm="http://schemas.microsoft.com/office/excel/2006/main">
          <x14:cfRule type="dataBar" id="{8936B2EC-78A3-435C-95E9-CFA6894C16A6}">
            <x14:dataBar minLength="0" maxLength="100" border="1" negativeBarBorderColorSameAsPositive="0">
              <x14:cfvo type="autoMin"/>
              <x14:cfvo type="autoMax"/>
              <x14:borderColor rgb="FF638EC6"/>
              <x14:negativeFillColor rgb="FFFF0000"/>
              <x14:negativeBorderColor rgb="FFFF0000"/>
              <x14:axisColor rgb="FF000000"/>
            </x14:dataBar>
          </x14:cfRule>
          <xm:sqref>L12:L77 L86:L105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3CC00-BE99-42A5-A7BD-7ADBF32307B4}">
  <dimension ref="A1:E68"/>
  <sheetViews>
    <sheetView topLeftCell="A25" workbookViewId="0">
      <selection activeCell="E47" sqref="E47"/>
    </sheetView>
  </sheetViews>
  <sheetFormatPr defaultRowHeight="15" x14ac:dyDescent="0.25"/>
  <cols>
    <col min="1" max="1" width="53.28515625" bestFit="1" customWidth="1"/>
    <col min="2" max="2" width="10.140625" bestFit="1" customWidth="1"/>
    <col min="3" max="3" width="10.7109375" bestFit="1" customWidth="1"/>
    <col min="5" max="5" width="78.140625" bestFit="1" customWidth="1"/>
    <col min="6" max="6" width="15" bestFit="1" customWidth="1"/>
  </cols>
  <sheetData>
    <row r="1" spans="1:5" x14ac:dyDescent="0.25">
      <c r="A1" s="23" t="s">
        <v>6</v>
      </c>
      <c r="B1" s="23" t="s">
        <v>10</v>
      </c>
      <c r="C1" s="23" t="s">
        <v>11</v>
      </c>
    </row>
    <row r="2" spans="1:5" x14ac:dyDescent="0.25">
      <c r="A2" s="13" t="s">
        <v>25</v>
      </c>
      <c r="B2" s="137" cm="1">
        <f t="array" ref="B2:C67">Tables!C12:D77</f>
        <v>51.991389555555564</v>
      </c>
      <c r="C2" s="137">
        <v>-2.1620794000000005</v>
      </c>
      <c r="E2" t="str">
        <f>ROUND(B2,4)&amp;", "&amp;ROUND(C2,4)&amp;" {"&amp;A2&amp;"} &lt;default-dot&gt;"</f>
        <v>51.9914, -2.1621 {Abbey Mill} &lt;default-dot&gt;</v>
      </c>
    </row>
    <row r="3" spans="1:5" x14ac:dyDescent="0.25">
      <c r="A3" s="13" t="s">
        <v>286</v>
      </c>
      <c r="B3" s="137">
        <v>52.212366690476216</v>
      </c>
      <c r="C3" s="137">
        <v>-1.6602567619047619</v>
      </c>
      <c r="E3" t="str">
        <f t="shared" ref="E3:E66" si="0">ROUND(B3,4)&amp;", "&amp;ROUND(C3,4)&amp;" {"&amp;A3&amp;"} &lt;default-dot&gt;"</f>
        <v>52.2124, -1.6603 {Alveston Weir} &lt;default-dot&gt;</v>
      </c>
    </row>
    <row r="4" spans="1:5" x14ac:dyDescent="0.25">
      <c r="A4" s="13" t="s">
        <v>741</v>
      </c>
      <c r="B4" s="137">
        <v>52.123045961538452</v>
      </c>
      <c r="C4" s="137">
        <v>-2.0572161923076919</v>
      </c>
      <c r="E4" t="str">
        <f t="shared" si="0"/>
        <v>52.123, -2.0572 {Avon Smiths Meadow Wyre Piddle} &lt;default-dot&gt;</v>
      </c>
    </row>
    <row r="5" spans="1:5" x14ac:dyDescent="0.25">
      <c r="A5" s="13" t="s">
        <v>65</v>
      </c>
      <c r="B5" s="137">
        <v>52.177054657142854</v>
      </c>
      <c r="C5" s="137">
        <v>-1.7358669999999996</v>
      </c>
      <c r="E5" t="str">
        <f t="shared" si="0"/>
        <v>52.1771, -1.7359 {Avonbank Drive} &lt;default-dot&gt;</v>
      </c>
    </row>
    <row r="6" spans="1:5" x14ac:dyDescent="0.25">
      <c r="A6" s="13" t="s">
        <v>49</v>
      </c>
      <c r="B6" s="137">
        <v>52.16120999999999</v>
      </c>
      <c r="C6" s="137">
        <v>-1.8301499999999999</v>
      </c>
      <c r="E6" t="str">
        <f t="shared" si="0"/>
        <v>52.1612, -1.8302 {Barton} &lt;default-dot&gt;</v>
      </c>
    </row>
    <row r="7" spans="1:5" x14ac:dyDescent="0.25">
      <c r="A7" s="13" t="s">
        <v>534</v>
      </c>
      <c r="B7" s="137">
        <v>52.24489999999998</v>
      </c>
      <c r="C7" s="137">
        <v>-1.6617000000000013</v>
      </c>
      <c r="E7" t="str">
        <f t="shared" si="0"/>
        <v>52.2449, -1.6617 {Bell Brook 1} &lt;default-dot&gt;</v>
      </c>
    </row>
    <row r="8" spans="1:5" x14ac:dyDescent="0.25">
      <c r="A8" s="13" t="s">
        <v>567</v>
      </c>
      <c r="B8" s="137">
        <v>51.997435214285723</v>
      </c>
      <c r="C8" s="137">
        <v>-2.1562056785714288</v>
      </c>
      <c r="E8" t="str">
        <f t="shared" si="0"/>
        <v>51.9974, -2.1562 {Black Bear} &lt;default-dot&gt;</v>
      </c>
    </row>
    <row r="9" spans="1:5" x14ac:dyDescent="0.25">
      <c r="A9" s="13" t="s">
        <v>1571</v>
      </c>
      <c r="B9" s="137">
        <v>52.033540000000002</v>
      </c>
      <c r="C9" s="137">
        <v>-2.116123</v>
      </c>
      <c r="E9" t="str">
        <f t="shared" si="0"/>
        <v>52.0335, -2.1161 {Bredon Dock Lane} &lt;default-dot&gt;</v>
      </c>
    </row>
    <row r="10" spans="1:5" x14ac:dyDescent="0.25">
      <c r="A10" s="13" t="s">
        <v>1649</v>
      </c>
      <c r="B10" s="137">
        <v>52.032660333333332</v>
      </c>
      <c r="C10" s="137">
        <v>-2.1157033333333337</v>
      </c>
      <c r="E10" t="str">
        <f t="shared" si="0"/>
        <v>52.0327, -2.1157 {Bredon Marina} &lt;default-dot&gt;</v>
      </c>
    </row>
    <row r="11" spans="1:5" x14ac:dyDescent="0.25">
      <c r="A11" s="13" t="s">
        <v>1863</v>
      </c>
      <c r="B11" s="137" t="str">
        <v>Unknown</v>
      </c>
      <c r="C11" s="137" t="str">
        <v>Unknown</v>
      </c>
    </row>
    <row r="12" spans="1:5" x14ac:dyDescent="0.25">
      <c r="A12" s="13" t="s">
        <v>1572</v>
      </c>
      <c r="B12" s="137">
        <v>52.017659444444448</v>
      </c>
      <c r="C12" s="137">
        <v>-2.0390003333333335</v>
      </c>
      <c r="E12" t="str">
        <f t="shared" si="0"/>
        <v>52.0177, -2.039 {Carrant Back Lane Beckford} &lt;default-dot&gt;</v>
      </c>
    </row>
    <row r="13" spans="1:5" x14ac:dyDescent="0.25">
      <c r="A13" s="13" t="s">
        <v>1574</v>
      </c>
      <c r="B13" s="137">
        <v>52.015557999999999</v>
      </c>
      <c r="C13" s="137">
        <v>-2.0442779999999998</v>
      </c>
      <c r="E13" t="str">
        <f t="shared" si="0"/>
        <v>52.0156, -2.0443 {Carrant Beckford Sewage Works} &lt;default-dot&gt;</v>
      </c>
    </row>
    <row r="14" spans="1:5" x14ac:dyDescent="0.25">
      <c r="A14" s="13" t="s">
        <v>600</v>
      </c>
      <c r="B14" s="137">
        <v>51.996416567567572</v>
      </c>
      <c r="C14" s="137">
        <v>-2.1556626756756749</v>
      </c>
      <c r="E14" t="str">
        <f t="shared" si="0"/>
        <v>51.9964, -2.1557 {Carrant Bredon Rd} &lt;default-dot&gt;</v>
      </c>
    </row>
    <row r="15" spans="1:5" x14ac:dyDescent="0.25">
      <c r="A15" s="13" t="s">
        <v>1575</v>
      </c>
      <c r="B15" s="137">
        <v>52.011600000000001</v>
      </c>
      <c r="C15" s="137">
        <v>-2.1206</v>
      </c>
      <c r="E15" t="str">
        <f t="shared" si="0"/>
        <v>52.0116, -2.1206 {Carrant M5 Bridge} &lt;default-dot&gt;</v>
      </c>
    </row>
    <row r="16" spans="1:5" x14ac:dyDescent="0.25">
      <c r="A16" s="13" t="s">
        <v>1577</v>
      </c>
      <c r="B16" s="137">
        <v>51.999974666666674</v>
      </c>
      <c r="C16" s="137">
        <v>-2.141273</v>
      </c>
      <c r="E16" t="str">
        <f t="shared" si="0"/>
        <v>52, -2.1413 {Carrant Mitton Bridge} &lt;default-dot&gt;</v>
      </c>
    </row>
    <row r="17" spans="1:5" x14ac:dyDescent="0.25">
      <c r="A17" s="13" t="s">
        <v>1097</v>
      </c>
      <c r="B17" s="137">
        <v>51.999946066666674</v>
      </c>
      <c r="C17" s="137">
        <v>-2.1414862000000006</v>
      </c>
      <c r="E17" t="str">
        <f t="shared" si="0"/>
        <v>51.9999, -2.1415 {Carrant Mitton Path} &lt;default-dot&gt;</v>
      </c>
    </row>
    <row r="18" spans="1:5" x14ac:dyDescent="0.25">
      <c r="A18" s="13" t="s">
        <v>1938</v>
      </c>
      <c r="B18" s="137">
        <v>52.048665</v>
      </c>
      <c r="C18" s="137">
        <v>-1.7862663333333331</v>
      </c>
      <c r="E18" t="str">
        <f t="shared" si="0"/>
        <v>52.0487, -1.7863 {Chipping Campden Craves} &lt;default-dot&gt;</v>
      </c>
    </row>
    <row r="19" spans="1:5" x14ac:dyDescent="0.25">
      <c r="A19" s="13" t="s">
        <v>1650</v>
      </c>
      <c r="B19" s="137" t="str">
        <v>Unknown</v>
      </c>
      <c r="C19" s="137" t="str">
        <v>Unknown</v>
      </c>
    </row>
    <row r="20" spans="1:5" x14ac:dyDescent="0.25">
      <c r="A20" s="13" t="s">
        <v>1651</v>
      </c>
      <c r="B20" s="137">
        <v>52.052216999999999</v>
      </c>
      <c r="C20" s="137">
        <v>-1.7616225000000001</v>
      </c>
      <c r="E20" t="str">
        <f t="shared" si="0"/>
        <v>52.0522, -1.7616 {Chipping Campden Sewage Works} &lt;default-dot&gt;</v>
      </c>
    </row>
    <row r="21" spans="1:5" x14ac:dyDescent="0.25">
      <c r="A21" s="13" t="s">
        <v>1578</v>
      </c>
      <c r="B21" s="137">
        <v>52.166358517241363</v>
      </c>
      <c r="C21" s="137">
        <v>-1.7080419310344837</v>
      </c>
      <c r="E21" t="str">
        <f t="shared" si="0"/>
        <v>52.1664, -1.708 {Clifford Chambers Mill Bridge} &lt;default-dot&gt;</v>
      </c>
    </row>
    <row r="22" spans="1:5" x14ac:dyDescent="0.25">
      <c r="A22" s="13" t="s">
        <v>1580</v>
      </c>
      <c r="B22" s="137">
        <v>52.172840000000001</v>
      </c>
      <c r="C22" s="137">
        <v>-1.71377</v>
      </c>
      <c r="E22" t="str">
        <f t="shared" si="0"/>
        <v>52.1728, -1.7138 {Clifford Chambers Road Bridge} &lt;default-dot&gt;</v>
      </c>
    </row>
    <row r="23" spans="1:5" x14ac:dyDescent="0.25">
      <c r="A23" s="13" t="s">
        <v>818</v>
      </c>
      <c r="B23" s="137">
        <v>52.067966827586183</v>
      </c>
      <c r="C23" s="137">
        <v>-1.6118101379310343</v>
      </c>
      <c r="E23" t="str">
        <f t="shared" si="0"/>
        <v>52.068, -1.6118 {Fell Mill Footbridge} &lt;default-dot&gt;</v>
      </c>
    </row>
    <row r="24" spans="1:5" x14ac:dyDescent="0.25">
      <c r="A24" s="13" t="s">
        <v>37</v>
      </c>
      <c r="B24" s="137">
        <v>52.211679999999973</v>
      </c>
      <c r="C24" s="137">
        <v>-1.6244400000000001</v>
      </c>
      <c r="E24" t="str">
        <f t="shared" si="0"/>
        <v>52.2117, -1.6244 {Hampton Lucy} &lt;default-dot&gt;</v>
      </c>
    </row>
    <row r="25" spans="1:5" x14ac:dyDescent="0.25">
      <c r="A25" s="13" t="s">
        <v>34</v>
      </c>
      <c r="B25" s="137">
        <v>52.23814999999999</v>
      </c>
      <c r="C25" s="137">
        <v>-1.6245800000000008</v>
      </c>
      <c r="E25" t="str">
        <f t="shared" si="0"/>
        <v>52.2382, -1.6246 {Hampton Wood} &lt;default-dot&gt;</v>
      </c>
    </row>
    <row r="26" spans="1:5" x14ac:dyDescent="0.25">
      <c r="A26" s="13" t="s">
        <v>592</v>
      </c>
      <c r="B26" s="137">
        <v>51.984954782608689</v>
      </c>
      <c r="C26" s="137">
        <v>-2.1744283478260868</v>
      </c>
      <c r="E26" t="str">
        <f t="shared" si="0"/>
        <v>51.985, -2.1744 {Lower Lode} &lt;default-dot&gt;</v>
      </c>
    </row>
    <row r="27" spans="1:5" x14ac:dyDescent="0.25">
      <c r="A27" s="13" t="s">
        <v>216</v>
      </c>
      <c r="B27" s="137">
        <v>52.183699000000011</v>
      </c>
      <c r="C27" s="137">
        <v>-1.7078160000000004</v>
      </c>
      <c r="E27" t="str">
        <f t="shared" si="0"/>
        <v>52.1837, -1.7078 {Lucy's Mill Bridge} &lt;default-dot&gt;</v>
      </c>
    </row>
    <row r="28" spans="1:5" x14ac:dyDescent="0.25">
      <c r="A28" s="13" t="s">
        <v>845</v>
      </c>
      <c r="B28" s="137">
        <v>52.15202992857143</v>
      </c>
      <c r="C28" s="137">
        <v>-2.0954780000000004</v>
      </c>
      <c r="E28" t="str">
        <f t="shared" si="0"/>
        <v>52.152, -2.0955 {Mill Bridge Peopleton} &lt;default-dot&gt;</v>
      </c>
    </row>
    <row r="29" spans="1:5" x14ac:dyDescent="0.25">
      <c r="A29" s="13" t="s">
        <v>865</v>
      </c>
      <c r="B29" s="137">
        <v>52.104196285714281</v>
      </c>
      <c r="C29" s="137">
        <v>-2.0709292857142856</v>
      </c>
      <c r="E29" t="str">
        <f t="shared" si="0"/>
        <v>52.1042, -2.0709 {Pershore Bridges} &lt;default-dot&gt;</v>
      </c>
    </row>
    <row r="30" spans="1:5" x14ac:dyDescent="0.25">
      <c r="A30" s="13" t="s">
        <v>1585</v>
      </c>
      <c r="B30" s="137">
        <v>52.108220000000003</v>
      </c>
      <c r="C30" s="137">
        <v>-2.0715195</v>
      </c>
      <c r="E30" t="str">
        <f t="shared" si="0"/>
        <v>52.1082, -2.0715 {Pershore Leisure Centre} &lt;default-dot&gt;</v>
      </c>
    </row>
    <row r="31" spans="1:5" x14ac:dyDescent="0.25">
      <c r="A31" s="13" t="s">
        <v>1541</v>
      </c>
      <c r="B31" s="137">
        <v>52.148406999999999</v>
      </c>
      <c r="C31" s="137">
        <v>-2.055247</v>
      </c>
      <c r="E31" t="str">
        <f t="shared" si="0"/>
        <v>52.1484, -2.0552 {Piddle Brook Long Lane Pinvin} &lt;default-dot&gt;</v>
      </c>
    </row>
    <row r="32" spans="1:5" x14ac:dyDescent="0.25">
      <c r="A32" s="13" t="s">
        <v>1537</v>
      </c>
      <c r="B32" s="137">
        <v>52.196624999999997</v>
      </c>
      <c r="C32" s="137">
        <v>-1.9924109999999999</v>
      </c>
      <c r="E32" t="str">
        <f t="shared" si="0"/>
        <v>52.1966, -1.9924 {Piddle Brook North of Radford} &lt;default-dot&gt;</v>
      </c>
    </row>
    <row r="33" spans="1:5" x14ac:dyDescent="0.25">
      <c r="A33" s="13" t="s">
        <v>1539</v>
      </c>
      <c r="B33" s="137">
        <v>52.169983999999999</v>
      </c>
      <c r="C33" s="137">
        <v>-2.058351</v>
      </c>
      <c r="E33" t="str">
        <f t="shared" si="0"/>
        <v>52.17, -2.0584 {Piddle Brook Norton Beachamp Bridge} &lt;default-dot&gt;</v>
      </c>
    </row>
    <row r="34" spans="1:5" x14ac:dyDescent="0.25">
      <c r="A34" s="13" t="s">
        <v>744</v>
      </c>
      <c r="B34" s="137">
        <v>52.126401720000004</v>
      </c>
      <c r="C34" s="137">
        <v>-2.0565162000000003</v>
      </c>
      <c r="E34" t="str">
        <f t="shared" si="0"/>
        <v>52.1264, -2.0565 {Piddle Brook Wyre Piddle Bridge} &lt;default-dot&gt;</v>
      </c>
    </row>
    <row r="35" spans="1:5" x14ac:dyDescent="0.25">
      <c r="A35" s="13" t="s">
        <v>69</v>
      </c>
      <c r="B35" s="137">
        <v>52.17355294117646</v>
      </c>
      <c r="C35" s="137">
        <v>-1.7433199411764708</v>
      </c>
      <c r="E35" t="str">
        <f t="shared" si="0"/>
        <v>52.1736, -1.7433 {Pitch 16} &lt;default-dot&gt;</v>
      </c>
    </row>
    <row r="36" spans="1:5" x14ac:dyDescent="0.25">
      <c r="A36" s="13" t="s">
        <v>618</v>
      </c>
      <c r="B36" s="137">
        <v>52.286200000000001</v>
      </c>
      <c r="C36" s="137">
        <v>-1.7478</v>
      </c>
      <c r="E36" t="str">
        <f t="shared" si="0"/>
        <v>52.2862, -1.7478 {Preston Bagot Brook} &lt;default-dot&gt;</v>
      </c>
    </row>
    <row r="37" spans="1:5" x14ac:dyDescent="0.25">
      <c r="A37" s="13" t="s">
        <v>615</v>
      </c>
      <c r="B37" s="137">
        <v>52.286540000000002</v>
      </c>
      <c r="C37" s="137">
        <v>-1.74576</v>
      </c>
      <c r="E37" t="str">
        <f t="shared" si="0"/>
        <v>52.2865, -1.7458 {Preston Bagot Canal} &lt;default-dot&gt;</v>
      </c>
    </row>
    <row r="38" spans="1:5" x14ac:dyDescent="0.25">
      <c r="A38" s="13" t="s">
        <v>1587</v>
      </c>
      <c r="B38" s="137">
        <v>52.146529500000007</v>
      </c>
      <c r="C38" s="137">
        <v>-1.6996899999999999</v>
      </c>
      <c r="E38" t="str">
        <f t="shared" si="0"/>
        <v>52.1465, -1.6997 {Preston-on-Stour River Bridge} &lt;default-dot&gt;</v>
      </c>
    </row>
    <row r="39" spans="1:5" x14ac:dyDescent="0.25">
      <c r="A39" s="13" t="s">
        <v>570</v>
      </c>
      <c r="B39" s="137">
        <v>52.252500000000033</v>
      </c>
      <c r="C39" s="137">
        <v>-1.6685000000000012</v>
      </c>
      <c r="E39" t="str">
        <f t="shared" si="0"/>
        <v>52.2525, -1.6685 {Sherbourne Brook 1} &lt;default-dot&gt;</v>
      </c>
    </row>
    <row r="40" spans="1:5" x14ac:dyDescent="0.25">
      <c r="A40" s="13" t="s">
        <v>868</v>
      </c>
      <c r="B40" s="137" t="str">
        <v>Unknown</v>
      </c>
      <c r="C40" s="137" t="str">
        <v>Unknown</v>
      </c>
    </row>
    <row r="41" spans="1:5" x14ac:dyDescent="0.25">
      <c r="A41" s="13" t="s">
        <v>1859</v>
      </c>
      <c r="B41" s="137">
        <v>52.090077380952394</v>
      </c>
      <c r="C41" s="137">
        <v>-1.6926051666666673</v>
      </c>
      <c r="E41" t="str">
        <f t="shared" si="0"/>
        <v>52.0901, -1.6926 {Site 1  :  Middle Street} &lt;default-dot&gt;</v>
      </c>
    </row>
    <row r="42" spans="1:5" x14ac:dyDescent="0.25">
      <c r="A42" s="13" t="s">
        <v>1860</v>
      </c>
      <c r="B42" s="137">
        <v>52.092990199999988</v>
      </c>
      <c r="C42" s="137">
        <v>-1.6862810999999998</v>
      </c>
      <c r="E42" t="str">
        <f t="shared" si="0"/>
        <v>52.093, -1.6863 {Site 2  :  Cross Leys culvert} &lt;default-dot&gt;</v>
      </c>
    </row>
    <row r="43" spans="1:5" x14ac:dyDescent="0.25">
      <c r="A43" s="13" t="s">
        <v>1861</v>
      </c>
      <c r="B43" s="137">
        <v>52.094341024390218</v>
      </c>
      <c r="C43" s="137">
        <v>-1.6731015853658531</v>
      </c>
      <c r="E43" t="str">
        <f t="shared" si="0"/>
        <v>52.0943, -1.6731 {Site 3  :  Severn Trent Water processing plant outflow} &lt;default-dot&gt;</v>
      </c>
    </row>
    <row r="44" spans="1:5" x14ac:dyDescent="0.25">
      <c r="A44" s="13" t="s">
        <v>1576</v>
      </c>
      <c r="B44" s="137">
        <v>52.013255999999998</v>
      </c>
      <c r="C44" s="137">
        <v>-1.5387710000000001</v>
      </c>
      <c r="E44" t="str">
        <f t="shared" si="0"/>
        <v>52.0133, -1.5388 {Stour Ascott Village} &lt;default-dot&gt;</v>
      </c>
    </row>
    <row r="45" spans="1:5" x14ac:dyDescent="0.25">
      <c r="A45" s="13" t="s">
        <v>1581</v>
      </c>
      <c r="B45" s="137">
        <v>52.029943500000002</v>
      </c>
      <c r="C45" s="137">
        <v>-1.5807020000000001</v>
      </c>
      <c r="E45" t="str">
        <f t="shared" si="0"/>
        <v>52.0299, -1.5807 {Stour Cherington Sewage Works} &lt;default-dot&gt;</v>
      </c>
    </row>
    <row r="46" spans="1:5" x14ac:dyDescent="0.25">
      <c r="A46" s="13" t="s">
        <v>1589</v>
      </c>
      <c r="B46" s="137">
        <v>52.113052370370362</v>
      </c>
      <c r="C46" s="137">
        <v>-1.6333685185185185</v>
      </c>
      <c r="E46" t="str">
        <f t="shared" si="0"/>
        <v>52.1131, -1.6334 {Stour Newbold Mill} &lt;default-dot&gt;</v>
      </c>
    </row>
    <row r="47" spans="1:5" x14ac:dyDescent="0.25">
      <c r="A47" s="13" t="s">
        <v>1584</v>
      </c>
      <c r="B47" s="137">
        <v>52.06201572727273</v>
      </c>
      <c r="C47" s="137">
        <v>-1.6218167272727273</v>
      </c>
      <c r="E47" t="str">
        <f t="shared" si="0"/>
        <v>52.062, -1.6218 {Stour Shipston Mill Bridge} &lt;default-dot&gt;</v>
      </c>
    </row>
    <row r="48" spans="1:5" x14ac:dyDescent="0.25">
      <c r="A48" s="13" t="s">
        <v>1582</v>
      </c>
      <c r="B48" s="137">
        <v>52.045653647058806</v>
      </c>
      <c r="C48" s="137">
        <v>-1.6719221470588235</v>
      </c>
      <c r="E48" t="str">
        <f t="shared" si="0"/>
        <v>52.0457, -1.6719 {Stour Stretton-on-Fosse Sewage Works} &lt;default-dot&gt;</v>
      </c>
    </row>
    <row r="49" spans="1:5" x14ac:dyDescent="0.25">
      <c r="A49" s="13" t="s">
        <v>544</v>
      </c>
      <c r="B49" s="137">
        <v>52.046517558823524</v>
      </c>
      <c r="C49" s="137">
        <v>-1.6734143529411767</v>
      </c>
      <c r="E49" t="str">
        <f t="shared" si="0"/>
        <v>52.0465, -1.6734 {Stour Stretton-on-Fosse Village} &lt;default-dot&gt;</v>
      </c>
    </row>
    <row r="50" spans="1:5" x14ac:dyDescent="0.25">
      <c r="A50" s="13" t="s">
        <v>853</v>
      </c>
      <c r="B50" s="137">
        <v>52.017437000000001</v>
      </c>
      <c r="C50" s="137">
        <v>-1.544745</v>
      </c>
      <c r="E50" t="str">
        <f t="shared" si="0"/>
        <v>52.0174, -1.5447 {Stour Whichford} &lt;default-dot&gt;</v>
      </c>
    </row>
    <row r="51" spans="1:5" x14ac:dyDescent="0.25">
      <c r="A51" s="13" t="s">
        <v>517</v>
      </c>
      <c r="B51" s="137">
        <v>52.053154375000005</v>
      </c>
      <c r="C51" s="137">
        <v>-1.6191991562500001</v>
      </c>
      <c r="E51" t="str">
        <f t="shared" si="0"/>
        <v>52.0532, -1.6192 {Stour Willington} &lt;default-dot&gt;</v>
      </c>
    </row>
    <row r="52" spans="1:5" x14ac:dyDescent="0.25">
      <c r="A52" s="13" t="s">
        <v>1590</v>
      </c>
      <c r="B52" s="137">
        <v>52.1907</v>
      </c>
      <c r="C52" s="137">
        <v>-1.7032</v>
      </c>
      <c r="E52" t="str">
        <f t="shared" si="0"/>
        <v>52.1907, -1.7032 {Stratford RSC} &lt;default-dot&gt;</v>
      </c>
    </row>
    <row r="53" spans="1:5" x14ac:dyDescent="0.25">
      <c r="A53" s="13" t="s">
        <v>284</v>
      </c>
      <c r="B53" s="137">
        <v>52.206446825000015</v>
      </c>
      <c r="C53" s="137">
        <v>-1.6541684000000003</v>
      </c>
      <c r="E53" t="str">
        <f t="shared" si="0"/>
        <v>52.2064, -1.6542 {Swiffen Bank} &lt;default-dot&gt;</v>
      </c>
    </row>
    <row r="54" spans="1:5" x14ac:dyDescent="0.25">
      <c r="A54" s="13" t="s">
        <v>1569</v>
      </c>
      <c r="B54" s="137">
        <v>51.9885442</v>
      </c>
      <c r="C54" s="137">
        <v>-2.1639010000000001</v>
      </c>
      <c r="E54" t="str">
        <f t="shared" si="0"/>
        <v>51.9885, -2.1639 {Swilgate} &lt;default-dot&gt;</v>
      </c>
    </row>
    <row r="55" spans="1:5" x14ac:dyDescent="0.25">
      <c r="A55" s="13" t="s">
        <v>1223</v>
      </c>
      <c r="B55" s="137">
        <v>51.980561000000002</v>
      </c>
      <c r="C55" s="137">
        <v>-2.150067</v>
      </c>
      <c r="E55" t="str">
        <f t="shared" si="0"/>
        <v>51.9806, -2.1501 {Swillgate TNR 2nd bridge} &lt;default-dot&gt;</v>
      </c>
    </row>
    <row r="56" spans="1:5" x14ac:dyDescent="0.25">
      <c r="A56" s="13" t="s">
        <v>120</v>
      </c>
      <c r="B56" s="137">
        <v>52.120947999999999</v>
      </c>
      <c r="C56" s="137">
        <v>-1.6505399999999999</v>
      </c>
      <c r="E56" t="str">
        <f t="shared" si="0"/>
        <v>52.1209, -1.6505 {Talton Lodge} &lt;default-dot&gt;</v>
      </c>
    </row>
    <row r="57" spans="1:5" x14ac:dyDescent="0.25">
      <c r="A57" s="13" t="s">
        <v>526</v>
      </c>
      <c r="B57" s="137">
        <v>52.261724821428579</v>
      </c>
      <c r="C57" s="137">
        <v>-1.719408857142857</v>
      </c>
      <c r="E57" t="str">
        <f t="shared" si="0"/>
        <v>52.2617, -1.7194 {The Ford, Langley} &lt;default-dot&gt;</v>
      </c>
    </row>
    <row r="58" spans="1:5" x14ac:dyDescent="0.25">
      <c r="A58" s="13" t="s">
        <v>1591</v>
      </c>
      <c r="B58" s="137">
        <v>52.187393</v>
      </c>
      <c r="C58" s="137">
        <v>-1.706607</v>
      </c>
      <c r="E58" t="str">
        <f t="shared" si="0"/>
        <v>52.1874, -1.7066 {Trinity Church} &lt;default-dot&gt;</v>
      </c>
    </row>
    <row r="59" spans="1:5" x14ac:dyDescent="0.25">
      <c r="A59" s="13" t="s">
        <v>54</v>
      </c>
      <c r="B59" s="137">
        <v>52.027190153846163</v>
      </c>
      <c r="C59" s="137">
        <v>-2.1406086923076924</v>
      </c>
      <c r="E59" t="str">
        <f t="shared" si="0"/>
        <v>52.0272, -2.1406 {Twyning Fleet} &lt;default-dot&gt;</v>
      </c>
    </row>
    <row r="60" spans="1:5" x14ac:dyDescent="0.25">
      <c r="A60" s="13" t="s">
        <v>732</v>
      </c>
      <c r="B60" s="137">
        <v>52.130499999999998</v>
      </c>
      <c r="C60" s="137">
        <v>-2.0787</v>
      </c>
      <c r="E60" t="str">
        <f t="shared" si="0"/>
        <v>52.1305, -2.0787 {Walcot Lane, Bow Brook Ford} &lt;default-dot&gt;</v>
      </c>
    </row>
    <row r="61" spans="1:5" x14ac:dyDescent="0.25">
      <c r="A61" s="13" t="s">
        <v>39</v>
      </c>
      <c r="B61" s="137">
        <v>52.175174684210546</v>
      </c>
      <c r="C61" s="137">
        <v>-1.7918551052631577</v>
      </c>
      <c r="E61" t="str">
        <f t="shared" si="0"/>
        <v>52.1752, -1.7919 {Welford Boat Station} &lt;default-dot&gt;</v>
      </c>
    </row>
    <row r="62" spans="1:5" x14ac:dyDescent="0.25">
      <c r="A62" s="13" t="s">
        <v>1592</v>
      </c>
      <c r="B62" s="137">
        <v>52.167429999999996</v>
      </c>
      <c r="C62" s="137">
        <v>-1.7744752941176474</v>
      </c>
      <c r="E62" t="str">
        <f t="shared" si="0"/>
        <v>52.1674, -1.7745 {Weston-on-Avon} &lt;default-dot&gt;</v>
      </c>
    </row>
    <row r="63" spans="1:5" x14ac:dyDescent="0.25">
      <c r="A63" s="13" t="s">
        <v>1855</v>
      </c>
      <c r="B63" s="137">
        <v>52.158735499999999</v>
      </c>
      <c r="C63" s="137">
        <v>-1.9573510000000001</v>
      </c>
      <c r="E63" t="str">
        <f t="shared" si="0"/>
        <v>52.1587, -1.9574 {Whitsun Brook Atch Lench Road, Church Lench.} &lt;default-dot&gt;</v>
      </c>
    </row>
    <row r="64" spans="1:5" x14ac:dyDescent="0.25">
      <c r="A64" s="13" t="s">
        <v>1525</v>
      </c>
      <c r="B64" s="137">
        <v>52.168118999999997</v>
      </c>
      <c r="C64" s="137">
        <v>-2.0151129999999999</v>
      </c>
      <c r="E64" t="str">
        <f t="shared" si="0"/>
        <v>52.1681, -2.0151 {Whitsun Brook north of Bishampton} &lt;default-dot&gt;</v>
      </c>
    </row>
    <row r="65" spans="1:5" x14ac:dyDescent="0.25">
      <c r="A65" s="13" t="s">
        <v>1534</v>
      </c>
      <c r="B65" s="137">
        <v>52.168419999999998</v>
      </c>
      <c r="C65" s="137">
        <v>-1.96041</v>
      </c>
      <c r="E65" t="str">
        <f t="shared" si="0"/>
        <v>52.1684, -1.9604 {Whitsun Brook Rous Church Lench} &lt;default-dot&gt;</v>
      </c>
    </row>
    <row r="66" spans="1:5" x14ac:dyDescent="0.25">
      <c r="A66" s="13" t="s">
        <v>1528</v>
      </c>
      <c r="B66" s="137">
        <v>52.169851000000001</v>
      </c>
      <c r="C66" s="137">
        <v>-1.9903459999999999</v>
      </c>
      <c r="E66" t="str">
        <f t="shared" si="0"/>
        <v>52.1699, -1.9903 {Whitsun Brook Rous Lench Bishampton} &lt;default-dot&gt;</v>
      </c>
    </row>
    <row r="67" spans="1:5" ht="15.75" thickBot="1" x14ac:dyDescent="0.3">
      <c r="A67" s="115" t="s">
        <v>1856</v>
      </c>
      <c r="B67" s="147">
        <v>52.168410999999999</v>
      </c>
      <c r="C67" s="147">
        <v>-1.9603710000000001</v>
      </c>
      <c r="E67" t="str">
        <f t="shared" ref="E67" si="1">ROUND(B67,4)&amp;", "&amp;ROUND(C67,4)&amp;" {"&amp;A67&amp;"} &lt;default-dot&gt;"</f>
        <v>52.1684, -1.9604 {Whitsun Brook. Low road, Church Lench} &lt;default-dot&gt;</v>
      </c>
    </row>
    <row r="68" spans="1:5" ht="15.75" thickTop="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DD90-6711-469D-8599-51698D3337A8}">
  <dimension ref="A1:U81"/>
  <sheetViews>
    <sheetView zoomScale="85" zoomScaleNormal="85" workbookViewId="0">
      <selection activeCell="N36" sqref="N36"/>
    </sheetView>
  </sheetViews>
  <sheetFormatPr defaultRowHeight="15" x14ac:dyDescent="0.25"/>
  <cols>
    <col min="1" max="1" width="20.28515625" bestFit="1" customWidth="1"/>
    <col min="18" max="18" width="12.42578125" bestFit="1" customWidth="1"/>
  </cols>
  <sheetData>
    <row r="1" spans="1:19" x14ac:dyDescent="0.25">
      <c r="A1" s="124" t="s">
        <v>1965</v>
      </c>
    </row>
    <row r="3" spans="1:19" x14ac:dyDescent="0.25">
      <c r="A3" t="s">
        <v>7</v>
      </c>
      <c r="B3" t="s">
        <v>1622</v>
      </c>
      <c r="I3" t="s">
        <v>8</v>
      </c>
      <c r="J3" t="s">
        <v>1622</v>
      </c>
      <c r="R3" t="s">
        <v>2</v>
      </c>
      <c r="S3" t="s">
        <v>1622</v>
      </c>
    </row>
    <row r="4" spans="1:19" x14ac:dyDescent="0.25">
      <c r="A4" t="e" vm="23">
        <v>#VALUE!</v>
      </c>
      <c r="B4">
        <f>Tables!H87</f>
        <v>26</v>
      </c>
      <c r="I4" t="s">
        <v>1568</v>
      </c>
      <c r="J4">
        <f>COUNTIF(AllData[River], Charts!I4)</f>
        <v>454</v>
      </c>
      <c r="R4" t="s">
        <v>1631</v>
      </c>
      <c r="S4">
        <f>Tables!O79</f>
        <v>65</v>
      </c>
    </row>
    <row r="5" spans="1:19" x14ac:dyDescent="0.25">
      <c r="A5" t="e" vm="2">
        <v>#VALUE!</v>
      </c>
      <c r="B5">
        <f>Tables!H96</f>
        <v>824</v>
      </c>
      <c r="I5" t="s">
        <v>1579</v>
      </c>
      <c r="J5">
        <f>COUNTIF(AllData[River], Charts!I5)</f>
        <v>278</v>
      </c>
      <c r="R5" t="s">
        <v>1632</v>
      </c>
      <c r="S5">
        <f>Tables!T79</f>
        <v>166</v>
      </c>
    </row>
    <row r="6" spans="1:19" x14ac:dyDescent="0.25">
      <c r="A6" t="e" vm="1">
        <v>#VALUE!</v>
      </c>
      <c r="B6">
        <f>Tables!H100</f>
        <v>294</v>
      </c>
      <c r="I6" t="s">
        <v>1573</v>
      </c>
      <c r="J6">
        <f>COUNTIF(AllData[River], Charts!I6)</f>
        <v>103</v>
      </c>
      <c r="R6" t="s">
        <v>1633</v>
      </c>
      <c r="S6">
        <f>Tables!Y79</f>
        <v>246</v>
      </c>
    </row>
    <row r="7" spans="1:19" x14ac:dyDescent="0.25">
      <c r="A7" t="e" vm="17">
        <v>#VALUE!</v>
      </c>
      <c r="B7">
        <f>Tables!H105</f>
        <v>93</v>
      </c>
      <c r="I7" t="s">
        <v>1569</v>
      </c>
      <c r="J7">
        <f>COUNTIF(AllData[River], Charts!I7)</f>
        <v>55</v>
      </c>
      <c r="R7" s="11" t="s">
        <v>1634</v>
      </c>
      <c r="S7">
        <f>Tables!AD79</f>
        <v>400</v>
      </c>
    </row>
    <row r="8" spans="1:19" x14ac:dyDescent="0.25">
      <c r="A8" t="s">
        <v>1637</v>
      </c>
      <c r="B8">
        <f>SUM(B4:B7)</f>
        <v>1237</v>
      </c>
      <c r="I8" t="s">
        <v>1635</v>
      </c>
      <c r="J8">
        <f>J9-SUM(J4:J7)</f>
        <v>347</v>
      </c>
      <c r="R8" s="11" t="s">
        <v>1636</v>
      </c>
      <c r="S8">
        <f>Tables!AI79</f>
        <v>355</v>
      </c>
    </row>
    <row r="9" spans="1:19" x14ac:dyDescent="0.25">
      <c r="I9" t="s">
        <v>1629</v>
      </c>
      <c r="J9">
        <f>COUNTA(AllData[River])</f>
        <v>1237</v>
      </c>
      <c r="R9" t="s">
        <v>1629</v>
      </c>
      <c r="S9">
        <f>SUM(S4:S8)</f>
        <v>1232</v>
      </c>
    </row>
    <row r="19" spans="1:16" x14ac:dyDescent="0.25">
      <c r="A19" t="s">
        <v>1638</v>
      </c>
      <c r="B19" t="s">
        <v>1639</v>
      </c>
      <c r="O19" t="s">
        <v>2</v>
      </c>
      <c r="P19" t="s">
        <v>1640</v>
      </c>
    </row>
    <row r="20" spans="1:16" x14ac:dyDescent="0.25">
      <c r="A20" t="s">
        <v>1597</v>
      </c>
      <c r="B20">
        <f>COUNTA(AllData[Nitrate (PPM)])</f>
        <v>1233</v>
      </c>
      <c r="H20" t="s">
        <v>1640</v>
      </c>
      <c r="I20">
        <f>Tables!C79</f>
        <v>66</v>
      </c>
      <c r="O20" t="s">
        <v>1631</v>
      </c>
      <c r="P20">
        <v>14</v>
      </c>
    </row>
    <row r="21" spans="1:16" x14ac:dyDescent="0.25">
      <c r="A21" t="s">
        <v>1603</v>
      </c>
      <c r="B21">
        <f>COUNTA(AllData[Phosphate (PPM)])</f>
        <v>1236</v>
      </c>
      <c r="H21" t="s">
        <v>1641</v>
      </c>
      <c r="I21">
        <f>COUNTIF(Tables!H12:H77, "&gt;"&amp;9)</f>
        <v>37</v>
      </c>
      <c r="O21" t="s">
        <v>1632</v>
      </c>
      <c r="P21">
        <v>22</v>
      </c>
    </row>
    <row r="22" spans="1:16" x14ac:dyDescent="0.25">
      <c r="A22" t="s">
        <v>1642</v>
      </c>
      <c r="B22">
        <f>COUNTA(AllData[Electrical Conductivity (Micros)])</f>
        <v>1209</v>
      </c>
      <c r="H22" t="s">
        <v>1643</v>
      </c>
      <c r="I22">
        <v>8</v>
      </c>
      <c r="O22" t="s">
        <v>1633</v>
      </c>
      <c r="P22">
        <v>33</v>
      </c>
    </row>
    <row r="23" spans="1:16" ht="30" x14ac:dyDescent="0.25">
      <c r="O23" s="11" t="s">
        <v>1634</v>
      </c>
      <c r="P23">
        <v>36</v>
      </c>
    </row>
    <row r="24" spans="1:16" x14ac:dyDescent="0.25">
      <c r="O24" t="s">
        <v>1636</v>
      </c>
      <c r="P24">
        <v>48</v>
      </c>
    </row>
    <row r="38" spans="3:3" x14ac:dyDescent="0.25">
      <c r="C38" s="121"/>
    </row>
    <row r="39" spans="3:3" x14ac:dyDescent="0.25">
      <c r="C39" s="121"/>
    </row>
    <row r="40" spans="3:3" x14ac:dyDescent="0.25">
      <c r="C40" s="121"/>
    </row>
    <row r="41" spans="3:3" x14ac:dyDescent="0.25">
      <c r="C41" s="121"/>
    </row>
    <row r="42" spans="3:3" x14ac:dyDescent="0.25">
      <c r="C42" s="121"/>
    </row>
    <row r="43" spans="3:3" x14ac:dyDescent="0.25">
      <c r="C43" s="121"/>
    </row>
    <row r="44" spans="3:3" x14ac:dyDescent="0.25">
      <c r="C44" s="121"/>
    </row>
    <row r="45" spans="3:3" x14ac:dyDescent="0.25">
      <c r="C45" s="121"/>
    </row>
    <row r="46" spans="3:3" x14ac:dyDescent="0.25">
      <c r="C46" s="121"/>
    </row>
    <row r="47" spans="3:3" x14ac:dyDescent="0.25">
      <c r="C47" s="121"/>
    </row>
    <row r="48" spans="3:3" x14ac:dyDescent="0.25">
      <c r="C48" s="121"/>
    </row>
    <row r="49" spans="1:5" x14ac:dyDescent="0.25">
      <c r="C49" s="121"/>
    </row>
    <row r="50" spans="1:5" x14ac:dyDescent="0.25">
      <c r="C50" s="121"/>
    </row>
    <row r="51" spans="1:5" x14ac:dyDescent="0.25">
      <c r="C51" s="121"/>
    </row>
    <row r="52" spans="1:5" x14ac:dyDescent="0.25">
      <c r="C52" s="121"/>
    </row>
    <row r="53" spans="1:5" x14ac:dyDescent="0.25">
      <c r="A53" t="s">
        <v>1644</v>
      </c>
      <c r="B53" t="s">
        <v>1645</v>
      </c>
      <c r="C53" s="121" t="s">
        <v>1646</v>
      </c>
      <c r="D53" t="s">
        <v>1647</v>
      </c>
      <c r="E53" t="s">
        <v>1648</v>
      </c>
    </row>
    <row r="54" spans="1:5" x14ac:dyDescent="0.25">
      <c r="A54" t="s">
        <v>1597</v>
      </c>
      <c r="B54" s="12">
        <v>0</v>
      </c>
      <c r="C54" s="12">
        <v>0.5</v>
      </c>
      <c r="D54" s="123">
        <v>1</v>
      </c>
      <c r="E54" s="12">
        <v>2</v>
      </c>
    </row>
    <row r="55" spans="1:5" x14ac:dyDescent="0.25">
      <c r="A55" t="s">
        <v>1603</v>
      </c>
      <c r="B55" s="4">
        <v>0</v>
      </c>
      <c r="C55" s="4">
        <v>0.05</v>
      </c>
      <c r="D55" s="122">
        <v>0.1</v>
      </c>
      <c r="E55" s="4">
        <v>0.5</v>
      </c>
    </row>
    <row r="56" spans="1:5" x14ac:dyDescent="0.25">
      <c r="C56" s="121"/>
    </row>
    <row r="57" spans="1:5" x14ac:dyDescent="0.25">
      <c r="C57" s="121"/>
    </row>
    <row r="58" spans="1:5" x14ac:dyDescent="0.25">
      <c r="C58" s="121"/>
    </row>
    <row r="59" spans="1:5" x14ac:dyDescent="0.25">
      <c r="C59" s="121"/>
    </row>
    <row r="60" spans="1:5" x14ac:dyDescent="0.25">
      <c r="C60" s="121"/>
    </row>
    <row r="61" spans="1:5" x14ac:dyDescent="0.25">
      <c r="C61" s="121"/>
    </row>
    <row r="62" spans="1:5" x14ac:dyDescent="0.25">
      <c r="C62" s="121"/>
    </row>
    <row r="63" spans="1:5" x14ac:dyDescent="0.25">
      <c r="C63" s="121"/>
    </row>
    <row r="64" spans="1:5" x14ac:dyDescent="0.25">
      <c r="C64" s="121"/>
    </row>
    <row r="65" spans="1:21" x14ac:dyDescent="0.25">
      <c r="C65" s="121"/>
    </row>
    <row r="66" spans="1:21" x14ac:dyDescent="0.25">
      <c r="C66" s="121"/>
    </row>
    <row r="67" spans="1:21" x14ac:dyDescent="0.25">
      <c r="C67" s="121"/>
    </row>
    <row r="68" spans="1:21" x14ac:dyDescent="0.25">
      <c r="C68" s="121"/>
    </row>
    <row r="69" spans="1:21" x14ac:dyDescent="0.25">
      <c r="C69" s="121"/>
    </row>
    <row r="70" spans="1:21" x14ac:dyDescent="0.25">
      <c r="C70" s="121"/>
    </row>
    <row r="71" spans="1:21" x14ac:dyDescent="0.25">
      <c r="C71" s="121"/>
    </row>
    <row r="72" spans="1:21" x14ac:dyDescent="0.25">
      <c r="C72" s="121"/>
    </row>
    <row r="73" spans="1:21" x14ac:dyDescent="0.25">
      <c r="C73" s="121"/>
    </row>
    <row r="74" spans="1:21" x14ac:dyDescent="0.25">
      <c r="C74" s="121"/>
      <c r="S74" s="121"/>
    </row>
    <row r="75" spans="1:21" x14ac:dyDescent="0.25">
      <c r="B75" s="12"/>
      <c r="C75" s="12"/>
      <c r="D75" s="12"/>
      <c r="R75" s="4"/>
      <c r="S75" s="4"/>
      <c r="T75" s="4"/>
      <c r="U75" s="4"/>
    </row>
    <row r="76" spans="1:21" x14ac:dyDescent="0.25">
      <c r="B76" s="12"/>
      <c r="C76" s="12"/>
      <c r="D76" s="12"/>
      <c r="R76" s="4"/>
      <c r="S76" s="4"/>
      <c r="T76" s="4"/>
      <c r="U76" s="4"/>
    </row>
    <row r="77" spans="1:21" x14ac:dyDescent="0.25">
      <c r="B77" s="12"/>
      <c r="C77" s="12"/>
      <c r="D77" s="12"/>
      <c r="R77" s="4"/>
      <c r="S77" s="4"/>
      <c r="T77" s="4"/>
      <c r="U77" s="4"/>
    </row>
    <row r="78" spans="1:21" x14ac:dyDescent="0.25">
      <c r="A78" s="11"/>
      <c r="B78" s="12"/>
      <c r="C78" s="12"/>
      <c r="D78" s="12"/>
      <c r="Q78" s="11"/>
      <c r="R78" s="4"/>
      <c r="S78" s="4"/>
      <c r="T78" s="4"/>
      <c r="U78" s="4"/>
    </row>
    <row r="79" spans="1:21" x14ac:dyDescent="0.25">
      <c r="A79" s="11"/>
      <c r="B79" s="12"/>
      <c r="C79" s="12"/>
      <c r="D79" s="12"/>
      <c r="Q79" s="11"/>
      <c r="R79" s="4"/>
      <c r="S79" s="4"/>
      <c r="T79" s="4"/>
      <c r="U79" s="4"/>
    </row>
    <row r="80" spans="1:21" x14ac:dyDescent="0.25">
      <c r="B80" s="12"/>
      <c r="C80" s="12"/>
      <c r="D80" s="12"/>
      <c r="R80" s="4"/>
      <c r="S80" s="4"/>
      <c r="T80" s="4"/>
      <c r="U80" s="4"/>
    </row>
    <row r="81" spans="3:19" x14ac:dyDescent="0.25">
      <c r="C81" s="121"/>
      <c r="R81" s="4"/>
      <c r="S81" s="4"/>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2F5C-8A2F-4295-8F98-D8A4D51CE0F1}">
  <dimension ref="A1:A5"/>
  <sheetViews>
    <sheetView workbookViewId="0">
      <selection activeCell="K4" sqref="K4"/>
    </sheetView>
  </sheetViews>
  <sheetFormatPr defaultRowHeight="15" x14ac:dyDescent="0.25"/>
  <sheetData>
    <row r="1" spans="1:1" x14ac:dyDescent="0.25">
      <c r="A1" s="175" t="s">
        <v>1961</v>
      </c>
    </row>
    <row r="2" spans="1:1" x14ac:dyDescent="0.25">
      <c r="A2" t="s">
        <v>1964</v>
      </c>
    </row>
    <row r="4" spans="1:1" x14ac:dyDescent="0.25">
      <c r="A4" t="s">
        <v>1962</v>
      </c>
    </row>
    <row r="5" spans="1:1" x14ac:dyDescent="0.25">
      <c r="A5" t="s">
        <v>1963</v>
      </c>
    </row>
  </sheetData>
  <hyperlinks>
    <hyperlink ref="A1" r:id="rId1" xr:uid="{5F1C301F-841B-46DB-9FF9-5CFBFEE3D86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75E5-16A6-4057-9D21-B12B9222362F}">
  <dimension ref="A1:V1238"/>
  <sheetViews>
    <sheetView workbookViewId="0">
      <selection activeCell="G14" sqref="G14"/>
    </sheetView>
  </sheetViews>
  <sheetFormatPr defaultRowHeight="15" x14ac:dyDescent="0.25"/>
  <cols>
    <col min="1" max="1" width="48.85546875" bestFit="1" customWidth="1"/>
    <col min="2" max="2" width="12" style="2" bestFit="1" customWidth="1"/>
    <col min="3" max="3" width="12.7109375" bestFit="1" customWidth="1"/>
    <col min="4" max="4" width="7.28515625" bestFit="1" customWidth="1"/>
    <col min="5" max="5" width="7.7109375" style="1" bestFit="1" customWidth="1"/>
    <col min="6" max="6" width="13.7109375" bestFit="1" customWidth="1"/>
    <col min="7" max="8" width="12" bestFit="1" customWidth="1"/>
  </cols>
  <sheetData>
    <row r="1" spans="1:22" ht="15.75" thickBot="1" x14ac:dyDescent="0.3">
      <c r="A1" s="8" t="s">
        <v>0</v>
      </c>
      <c r="B1" s="9" t="s">
        <v>1</v>
      </c>
      <c r="C1" s="9" t="s">
        <v>2</v>
      </c>
      <c r="D1" s="9" t="s">
        <v>3</v>
      </c>
      <c r="E1" s="10" t="s">
        <v>4</v>
      </c>
      <c r="F1" s="10" t="s">
        <v>5</v>
      </c>
      <c r="G1" s="5" t="s">
        <v>6</v>
      </c>
      <c r="H1" s="5" t="s">
        <v>1956</v>
      </c>
      <c r="I1" s="5" t="s">
        <v>1945</v>
      </c>
      <c r="J1" s="5" t="s">
        <v>8</v>
      </c>
      <c r="K1" s="5" t="s">
        <v>9</v>
      </c>
      <c r="L1" s="5" t="s">
        <v>10</v>
      </c>
      <c r="M1" s="5" t="s">
        <v>11</v>
      </c>
      <c r="N1" s="5" t="s">
        <v>12</v>
      </c>
      <c r="O1" s="5" t="s">
        <v>13</v>
      </c>
      <c r="P1" s="5" t="s">
        <v>14</v>
      </c>
      <c r="Q1" s="5" t="s">
        <v>15</v>
      </c>
      <c r="R1" s="5" t="s">
        <v>16</v>
      </c>
      <c r="S1" s="5" t="s">
        <v>17</v>
      </c>
      <c r="T1" s="5" t="s">
        <v>18</v>
      </c>
      <c r="U1" s="5" t="s">
        <v>19</v>
      </c>
      <c r="V1" s="6" t="s">
        <v>20</v>
      </c>
    </row>
    <row r="2" spans="1:22" ht="15.75" thickTop="1" x14ac:dyDescent="0.25">
      <c r="A2" t="s">
        <v>21</v>
      </c>
      <c r="B2" s="2">
        <v>45112</v>
      </c>
      <c r="C2" t="str" cm="1">
        <f t="array" ref="C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
        <f>YEAR(AllDataCorrected[[#This Row],[Date]])</f>
        <v>2023</v>
      </c>
      <c r="E2" s="1">
        <v>0.64444444444444449</v>
      </c>
      <c r="F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 t="str">
        <f>_xlfn.XLOOKUP(AllDataCorrected[[#This Row],[Location Name]], Locations[Location Name],Locations[Group As])</f>
        <v>Abbey Mill</v>
      </c>
      <c r="H2" t="e" vm="1">
        <f>_xlfn.XLOOKUP(AllDataCorrected[[#This Row],[Site Name]],LocationsKey[Site Name],LocationsKey[District])</f>
        <v>#VALUE!</v>
      </c>
      <c r="I2" t="e" vm="1">
        <f>_xlfn.XLOOKUP(AllDataCorrected[[#This Row],[Site Name]],LocationsKey[Site Name],LocationsKey[Town])</f>
        <v>#VALUE!</v>
      </c>
      <c r="J2" t="str">
        <f>_xlfn.XLOOKUP(AllDataCorrected[[#This Row],[Site Name]],LocationsKey[Site Name], LocationsKey[Waterway])</f>
        <v>Avon</v>
      </c>
      <c r="K2" t="s">
        <v>22</v>
      </c>
      <c r="L2">
        <f>_xlfn.XLOOKUP(AllDataCorrected[[#This Row],[Site Name]],Tables!$B$12:$B$78, Tables!C$12:C$78)</f>
        <v>51.991389555555564</v>
      </c>
      <c r="M2">
        <f>_xlfn.XLOOKUP(AllDataCorrected[[#This Row],[Site Name]],Tables!$B$12:$B$78, Tables!D$12:D$78)</f>
        <v>-2.1620794000000005</v>
      </c>
      <c r="N2" t="s">
        <v>23</v>
      </c>
      <c r="O2">
        <v>958</v>
      </c>
      <c r="P2">
        <v>19.100000000000001</v>
      </c>
      <c r="Q2">
        <v>7</v>
      </c>
      <c r="R2" t="str">
        <f>IF(AllDataCorrected[[#This Row],[Nitrate (PPM)]]&gt;2, "4. Very high (&gt;2ppm)", IF(AllDataCorrected[[#This Row],[Nitrate (PPM)]]&gt;1, "3. High (1-2ppm)", IF(AllDataCorrected[[#This Row],[Nitrate (PPM)]]&gt;0.5, "2. Some evidence (0.5-1ppm)", IF(AllDataCorrected[[#This Row],[Nitrate (PPM)]]&gt;=0, "1. No evidence (&lt;0.5ppm)"))))</f>
        <v>4. Very high (&gt;2ppm)</v>
      </c>
      <c r="S2">
        <v>1.29</v>
      </c>
      <c r="T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
        <v>0</v>
      </c>
    </row>
    <row r="3" spans="1:22" x14ac:dyDescent="0.25">
      <c r="A3" t="s">
        <v>24</v>
      </c>
      <c r="B3" s="2">
        <v>45116</v>
      </c>
      <c r="C3" t="str" cm="1">
        <f t="array" ref="C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
        <f>YEAR(AllDataCorrected[[#This Row],[Date]])</f>
        <v>2023</v>
      </c>
      <c r="E3" s="1">
        <v>0.43333333333333335</v>
      </c>
      <c r="F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 t="str">
        <f>_xlfn.XLOOKUP(AllDataCorrected[[#This Row],[Location Name]], Locations[Location Name],Locations[Group As])</f>
        <v>Abbey Mill</v>
      </c>
      <c r="H3" t="e" vm="1">
        <f>_xlfn.XLOOKUP(AllDataCorrected[[#This Row],[Site Name]],LocationsKey[Site Name],LocationsKey[District])</f>
        <v>#VALUE!</v>
      </c>
      <c r="I3" t="e" vm="1">
        <f>_xlfn.XLOOKUP(AllDataCorrected[[#This Row],[Site Name]],LocationsKey[Site Name],LocationsKey[Town])</f>
        <v>#VALUE!</v>
      </c>
      <c r="J3" t="str">
        <f>_xlfn.XLOOKUP(AllDataCorrected[[#This Row],[Site Name]],LocationsKey[Site Name], LocationsKey[Waterway])</f>
        <v>Avon</v>
      </c>
      <c r="K3" t="s">
        <v>25</v>
      </c>
      <c r="L3">
        <f>_xlfn.XLOOKUP(AllDataCorrected[[#This Row],[Site Name]],Tables!$B$12:$B$78, Tables!C$12:C$78)</f>
        <v>51.991389555555564</v>
      </c>
      <c r="M3">
        <f>_xlfn.XLOOKUP(AllDataCorrected[[#This Row],[Site Name]],Tables!$B$12:$B$78, Tables!D$12:D$78)</f>
        <v>-2.1620794000000005</v>
      </c>
      <c r="N3" t="s">
        <v>23</v>
      </c>
      <c r="O3">
        <v>993</v>
      </c>
      <c r="P3">
        <v>19</v>
      </c>
      <c r="Q3">
        <v>8</v>
      </c>
      <c r="R3" t="str">
        <f>IF(AllDataCorrected[[#This Row],[Nitrate (PPM)]]&gt;2, "4. Very high (&gt;2ppm)", IF(AllDataCorrected[[#This Row],[Nitrate (PPM)]]&gt;1, "3. High (1-2ppm)", IF(AllDataCorrected[[#This Row],[Nitrate (PPM)]]&gt;0.5, "2. Some evidence (0.5-1ppm)", IF(AllDataCorrected[[#This Row],[Nitrate (PPM)]]&gt;=0, "1. No evidence (&lt;0.5ppm)"))))</f>
        <v>4. Very high (&gt;2ppm)</v>
      </c>
      <c r="S3">
        <v>1.1100000000000001</v>
      </c>
      <c r="T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
        <v>0</v>
      </c>
      <c r="V3" t="s">
        <v>26</v>
      </c>
    </row>
    <row r="4" spans="1:22" x14ac:dyDescent="0.25">
      <c r="A4" t="s">
        <v>27</v>
      </c>
      <c r="B4" s="2">
        <v>45118</v>
      </c>
      <c r="C4" t="str" cm="1">
        <f t="array" ref="C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
        <f>YEAR(AllDataCorrected[[#This Row],[Date]])</f>
        <v>2023</v>
      </c>
      <c r="E4" s="1">
        <v>0.42986111111111114</v>
      </c>
      <c r="F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 t="str">
        <f>_xlfn.XLOOKUP(AllDataCorrected[[#This Row],[Location Name]], Locations[Location Name],Locations[Group As])</f>
        <v>Twyning Fleet</v>
      </c>
      <c r="H4" t="e" vm="1">
        <f>_xlfn.XLOOKUP(AllDataCorrected[[#This Row],[Site Name]],LocationsKey[Site Name],LocationsKey[District])</f>
        <v>#VALUE!</v>
      </c>
      <c r="I4" t="str">
        <f>_xlfn.XLOOKUP(AllDataCorrected[[#This Row],[Site Name]],LocationsKey[Site Name],LocationsKey[Town])</f>
        <v>Twyning Green</v>
      </c>
      <c r="J4" t="str">
        <f>_xlfn.XLOOKUP(AllDataCorrected[[#This Row],[Site Name]],LocationsKey[Site Name], LocationsKey[Waterway])</f>
        <v>Avon</v>
      </c>
      <c r="K4" t="s">
        <v>28</v>
      </c>
      <c r="L4">
        <f>_xlfn.XLOOKUP(AllDataCorrected[[#This Row],[Site Name]],Tables!$B$12:$B$78, Tables!C$12:C$78)</f>
        <v>52.027190153846163</v>
      </c>
      <c r="M4">
        <f>_xlfn.XLOOKUP(AllDataCorrected[[#This Row],[Site Name]],Tables!$B$12:$B$78, Tables!D$12:D$78)</f>
        <v>-2.1406086923076924</v>
      </c>
      <c r="N4" t="s">
        <v>29</v>
      </c>
      <c r="P4">
        <v>19.399999999999999</v>
      </c>
      <c r="S4">
        <v>1.1599999999999999</v>
      </c>
      <c r="T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
        <v>0</v>
      </c>
      <c r="V4" t="s">
        <v>30</v>
      </c>
    </row>
    <row r="5" spans="1:22" x14ac:dyDescent="0.25">
      <c r="A5" t="s">
        <v>31</v>
      </c>
      <c r="B5" s="2">
        <v>45123</v>
      </c>
      <c r="C5" t="str" cm="1">
        <f t="array" ref="C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
        <f>YEAR(AllDataCorrected[[#This Row],[Date]])</f>
        <v>2023</v>
      </c>
      <c r="E5" s="1">
        <v>0.35</v>
      </c>
      <c r="F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 t="str">
        <f>_xlfn.XLOOKUP(AllDataCorrected[[#This Row],[Location Name]], Locations[Location Name],Locations[Group As])</f>
        <v>Abbey Mill</v>
      </c>
      <c r="H5" t="e" vm="1">
        <f>_xlfn.XLOOKUP(AllDataCorrected[[#This Row],[Site Name]],LocationsKey[Site Name],LocationsKey[District])</f>
        <v>#VALUE!</v>
      </c>
      <c r="I5" t="e" vm="1">
        <f>_xlfn.XLOOKUP(AllDataCorrected[[#This Row],[Site Name]],LocationsKey[Site Name],LocationsKey[Town])</f>
        <v>#VALUE!</v>
      </c>
      <c r="J5" t="str">
        <f>_xlfn.XLOOKUP(AllDataCorrected[[#This Row],[Site Name]],LocationsKey[Site Name], LocationsKey[Waterway])</f>
        <v>Avon</v>
      </c>
      <c r="K5" t="s">
        <v>22</v>
      </c>
      <c r="L5">
        <f>_xlfn.XLOOKUP(AllDataCorrected[[#This Row],[Site Name]],Tables!$B$12:$B$78, Tables!C$12:C$78)</f>
        <v>51.991389555555564</v>
      </c>
      <c r="M5">
        <f>_xlfn.XLOOKUP(AllDataCorrected[[#This Row],[Site Name]],Tables!$B$12:$B$78, Tables!D$12:D$78)</f>
        <v>-2.1620794000000005</v>
      </c>
      <c r="N5" t="s">
        <v>23</v>
      </c>
      <c r="O5">
        <v>982</v>
      </c>
      <c r="P5">
        <v>18.7</v>
      </c>
      <c r="Q5">
        <v>10</v>
      </c>
      <c r="R5" t="str">
        <f>IF(AllDataCorrected[[#This Row],[Nitrate (PPM)]]&gt;2, "4. Very high (&gt;2ppm)", IF(AllDataCorrected[[#This Row],[Nitrate (PPM)]]&gt;1, "3. High (1-2ppm)", IF(AllDataCorrected[[#This Row],[Nitrate (PPM)]]&gt;0.5, "2. Some evidence (0.5-1ppm)", IF(AllDataCorrected[[#This Row],[Nitrate (PPM)]]&gt;=0, "1. No evidence (&lt;0.5ppm)"))))</f>
        <v>4. Very high (&gt;2ppm)</v>
      </c>
      <c r="S5">
        <v>1.04</v>
      </c>
      <c r="T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
        <v>0</v>
      </c>
      <c r="V5" t="s">
        <v>32</v>
      </c>
    </row>
    <row r="6" spans="1:22" x14ac:dyDescent="0.25">
      <c r="A6" t="s">
        <v>33</v>
      </c>
      <c r="B6" s="2">
        <v>45123</v>
      </c>
      <c r="C6" t="str" cm="1">
        <f t="array" ref="C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
        <f>YEAR(AllDataCorrected[[#This Row],[Date]])</f>
        <v>2023</v>
      </c>
      <c r="E6" s="1">
        <v>0.47916666666666669</v>
      </c>
      <c r="F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 t="str">
        <f>_xlfn.XLOOKUP(AllDataCorrected[[#This Row],[Location Name]], Locations[Location Name],Locations[Group As])</f>
        <v>Hampton Wood</v>
      </c>
      <c r="H6" t="e" vm="2">
        <f>_xlfn.XLOOKUP(AllDataCorrected[[#This Row],[Site Name]],LocationsKey[Site Name],LocationsKey[District])</f>
        <v>#VALUE!</v>
      </c>
      <c r="I6" t="e" vm="3">
        <f>_xlfn.XLOOKUP(AllDataCorrected[[#This Row],[Site Name]],LocationsKey[Site Name],LocationsKey[Town])</f>
        <v>#VALUE!</v>
      </c>
      <c r="J6" t="str">
        <f>_xlfn.XLOOKUP(AllDataCorrected[[#This Row],[Site Name]],LocationsKey[Site Name], LocationsKey[Waterway])</f>
        <v>Avon</v>
      </c>
      <c r="K6" t="s">
        <v>34</v>
      </c>
      <c r="L6">
        <f>_xlfn.XLOOKUP(AllDataCorrected[[#This Row],[Site Name]],Tables!$B$12:$B$78, Tables!C$12:C$78)</f>
        <v>52.23814999999999</v>
      </c>
      <c r="M6">
        <f>_xlfn.XLOOKUP(AllDataCorrected[[#This Row],[Site Name]],Tables!$B$12:$B$78, Tables!D$12:D$78)</f>
        <v>-1.6245800000000008</v>
      </c>
      <c r="N6" t="s">
        <v>29</v>
      </c>
      <c r="O6">
        <v>682</v>
      </c>
      <c r="P6">
        <v>18</v>
      </c>
      <c r="Q6">
        <v>10</v>
      </c>
      <c r="R6" t="str">
        <f>IF(AllDataCorrected[[#This Row],[Nitrate (PPM)]]&gt;2, "4. Very high (&gt;2ppm)", IF(AllDataCorrected[[#This Row],[Nitrate (PPM)]]&gt;1, "3. High (1-2ppm)", IF(AllDataCorrected[[#This Row],[Nitrate (PPM)]]&gt;0.5, "2. Some evidence (0.5-1ppm)", IF(AllDataCorrected[[#This Row],[Nitrate (PPM)]]&gt;=0, "1. No evidence (&lt;0.5ppm)"))))</f>
        <v>4. Very high (&gt;2ppm)</v>
      </c>
      <c r="S6">
        <v>0.63</v>
      </c>
      <c r="T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
        <v>0</v>
      </c>
      <c r="V6" t="s">
        <v>35</v>
      </c>
    </row>
    <row r="7" spans="1:22" x14ac:dyDescent="0.25">
      <c r="A7" t="s">
        <v>36</v>
      </c>
      <c r="B7" s="2">
        <v>45123</v>
      </c>
      <c r="C7" t="str" cm="1">
        <f t="array" ref="C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7">
        <f>YEAR(AllDataCorrected[[#This Row],[Date]])</f>
        <v>2023</v>
      </c>
      <c r="E7" s="1">
        <v>0.52083333333333337</v>
      </c>
      <c r="F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 t="str">
        <f>_xlfn.XLOOKUP(AllDataCorrected[[#This Row],[Location Name]], Locations[Location Name],Locations[Group As])</f>
        <v>Hampton Lucy</v>
      </c>
      <c r="H7" t="e" vm="2">
        <f>_xlfn.XLOOKUP(AllDataCorrected[[#This Row],[Site Name]],LocationsKey[Site Name],LocationsKey[District])</f>
        <v>#VALUE!</v>
      </c>
      <c r="I7" t="e" vm="4">
        <f>_xlfn.XLOOKUP(AllDataCorrected[[#This Row],[Site Name]],LocationsKey[Site Name],LocationsKey[Town])</f>
        <v>#VALUE!</v>
      </c>
      <c r="J7" t="str">
        <f>_xlfn.XLOOKUP(AllDataCorrected[[#This Row],[Site Name]],LocationsKey[Site Name], LocationsKey[Waterway])</f>
        <v>Avon</v>
      </c>
      <c r="K7" t="s">
        <v>37</v>
      </c>
      <c r="L7">
        <f>_xlfn.XLOOKUP(AllDataCorrected[[#This Row],[Site Name]],Tables!$B$12:$B$78, Tables!C$12:C$78)</f>
        <v>52.211679999999973</v>
      </c>
      <c r="M7">
        <f>_xlfn.XLOOKUP(AllDataCorrected[[#This Row],[Site Name]],Tables!$B$12:$B$78, Tables!D$12:D$78)</f>
        <v>-1.6244400000000001</v>
      </c>
      <c r="N7" t="s">
        <v>23</v>
      </c>
      <c r="O7">
        <v>782</v>
      </c>
      <c r="P7">
        <v>18.5</v>
      </c>
      <c r="Q7">
        <v>5</v>
      </c>
      <c r="R7" t="str">
        <f>IF(AllDataCorrected[[#This Row],[Nitrate (PPM)]]&gt;2, "4. Very high (&gt;2ppm)", IF(AllDataCorrected[[#This Row],[Nitrate (PPM)]]&gt;1, "3. High (1-2ppm)", IF(AllDataCorrected[[#This Row],[Nitrate (PPM)]]&gt;0.5, "2. Some evidence (0.5-1ppm)", IF(AllDataCorrected[[#This Row],[Nitrate (PPM)]]&gt;=0, "1. No evidence (&lt;0.5ppm)"))))</f>
        <v>4. Very high (&gt;2ppm)</v>
      </c>
      <c r="S7">
        <v>0.55000000000000004</v>
      </c>
      <c r="T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
        <v>0</v>
      </c>
      <c r="V7" t="s">
        <v>35</v>
      </c>
    </row>
    <row r="8" spans="1:22" x14ac:dyDescent="0.25">
      <c r="A8" t="s">
        <v>38</v>
      </c>
      <c r="B8" s="2">
        <v>45123</v>
      </c>
      <c r="C8" t="str" cm="1">
        <f t="array" ref="C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
        <f>YEAR(AllDataCorrected[[#This Row],[Date]])</f>
        <v>2023</v>
      </c>
      <c r="E8" s="1">
        <v>0.69097222222222221</v>
      </c>
      <c r="F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 t="str">
        <f>_xlfn.XLOOKUP(AllDataCorrected[[#This Row],[Location Name]], Locations[Location Name],Locations[Group As])</f>
        <v>Welford Boat Station</v>
      </c>
      <c r="H8" t="e" vm="2">
        <f>_xlfn.XLOOKUP(AllDataCorrected[[#This Row],[Site Name]],LocationsKey[Site Name],LocationsKey[District])</f>
        <v>#VALUE!</v>
      </c>
      <c r="I8" t="e" vm="5">
        <f>_xlfn.XLOOKUP(AllDataCorrected[[#This Row],[Site Name]],LocationsKey[Site Name],LocationsKey[Town])</f>
        <v>#VALUE!</v>
      </c>
      <c r="J8" t="str">
        <f>_xlfn.XLOOKUP(AllDataCorrected[[#This Row],[Site Name]],LocationsKey[Site Name], LocationsKey[Waterway])</f>
        <v>Avon</v>
      </c>
      <c r="K8" t="s">
        <v>39</v>
      </c>
      <c r="L8">
        <f>_xlfn.XLOOKUP(AllDataCorrected[[#This Row],[Site Name]],Tables!$B$12:$B$78, Tables!C$12:C$78)</f>
        <v>52.175174684210546</v>
      </c>
      <c r="M8">
        <f>_xlfn.XLOOKUP(AllDataCorrected[[#This Row],[Site Name]],Tables!$B$12:$B$78, Tables!D$12:D$78)</f>
        <v>-1.7918551052631577</v>
      </c>
      <c r="N8" t="s">
        <v>23</v>
      </c>
      <c r="O8">
        <v>732</v>
      </c>
      <c r="P8">
        <v>19.5</v>
      </c>
      <c r="Q8">
        <v>7</v>
      </c>
      <c r="R8" t="str">
        <f>IF(AllDataCorrected[[#This Row],[Nitrate (PPM)]]&gt;2, "4. Very high (&gt;2ppm)", IF(AllDataCorrected[[#This Row],[Nitrate (PPM)]]&gt;1, "3. High (1-2ppm)", IF(AllDataCorrected[[#This Row],[Nitrate (PPM)]]&gt;0.5, "2. Some evidence (0.5-1ppm)", IF(AllDataCorrected[[#This Row],[Nitrate (PPM)]]&gt;=0, "1. No evidence (&lt;0.5ppm)"))))</f>
        <v>4. Very high (&gt;2ppm)</v>
      </c>
      <c r="S8">
        <v>0.61</v>
      </c>
      <c r="T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
        <v>0</v>
      </c>
      <c r="V8" t="s">
        <v>35</v>
      </c>
    </row>
    <row r="9" spans="1:22" x14ac:dyDescent="0.25">
      <c r="A9" t="s">
        <v>40</v>
      </c>
      <c r="B9" s="2">
        <v>45129</v>
      </c>
      <c r="C9" t="str" cm="1">
        <f t="array" ref="C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
        <f>YEAR(AllDataCorrected[[#This Row],[Date]])</f>
        <v>2023</v>
      </c>
      <c r="E9" s="1">
        <v>0.76736111111111116</v>
      </c>
      <c r="F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 t="str">
        <f>_xlfn.XLOOKUP(AllDataCorrected[[#This Row],[Location Name]], Locations[Location Name],Locations[Group As])</f>
        <v>Weston-on-Avon</v>
      </c>
      <c r="H9" t="e" vm="2">
        <f>_xlfn.XLOOKUP(AllDataCorrected[[#This Row],[Site Name]],LocationsKey[Site Name],LocationsKey[District])</f>
        <v>#VALUE!</v>
      </c>
      <c r="I9" t="e" vm="6">
        <f>_xlfn.XLOOKUP(AllDataCorrected[[#This Row],[Site Name]],LocationsKey[Site Name],LocationsKey[Town])</f>
        <v>#VALUE!</v>
      </c>
      <c r="J9" t="str">
        <f>_xlfn.XLOOKUP(AllDataCorrected[[#This Row],[Site Name]],LocationsKey[Site Name], LocationsKey[Waterway])</f>
        <v>Avon</v>
      </c>
      <c r="K9" t="s">
        <v>41</v>
      </c>
      <c r="L9">
        <f>_xlfn.XLOOKUP(AllDataCorrected[[#This Row],[Site Name]],Tables!$B$12:$B$78, Tables!C$12:C$78)</f>
        <v>52.167429999999996</v>
      </c>
      <c r="M9">
        <f>_xlfn.XLOOKUP(AllDataCorrected[[#This Row],[Site Name]],Tables!$B$12:$B$78, Tables!D$12:D$78)</f>
        <v>-1.7744752941176474</v>
      </c>
      <c r="N9" t="s">
        <v>23</v>
      </c>
      <c r="O9">
        <v>900</v>
      </c>
      <c r="P9">
        <v>18.399999999999999</v>
      </c>
      <c r="Q9">
        <v>2</v>
      </c>
      <c r="R9" t="str">
        <f>IF(AllDataCorrected[[#This Row],[Nitrate (PPM)]]&gt;2, "4. Very high (&gt;2ppm)", IF(AllDataCorrected[[#This Row],[Nitrate (PPM)]]&gt;1, "3. High (1-2ppm)", IF(AllDataCorrected[[#This Row],[Nitrate (PPM)]]&gt;0.5, "2. Some evidence (0.5-1ppm)", IF(AllDataCorrected[[#This Row],[Nitrate (PPM)]]&gt;=0, "1. No evidence (&lt;0.5ppm)"))))</f>
        <v>3. High (1-2ppm)</v>
      </c>
      <c r="S9">
        <v>0.9</v>
      </c>
      <c r="T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
        <v>0</v>
      </c>
      <c r="V9" t="s">
        <v>42</v>
      </c>
    </row>
    <row r="10" spans="1:22" x14ac:dyDescent="0.25">
      <c r="A10" t="s">
        <v>43</v>
      </c>
      <c r="B10" s="2">
        <v>45130</v>
      </c>
      <c r="C10" t="str" cm="1">
        <f t="array" ref="C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
        <f>YEAR(AllDataCorrected[[#This Row],[Date]])</f>
        <v>2023</v>
      </c>
      <c r="E10" s="1">
        <v>0.34513888888888888</v>
      </c>
      <c r="F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 t="str">
        <f>_xlfn.XLOOKUP(AllDataCorrected[[#This Row],[Location Name]], Locations[Location Name],Locations[Group As])</f>
        <v>Abbey Mill</v>
      </c>
      <c r="H10" t="e" vm="1">
        <f>_xlfn.XLOOKUP(AllDataCorrected[[#This Row],[Site Name]],LocationsKey[Site Name],LocationsKey[District])</f>
        <v>#VALUE!</v>
      </c>
      <c r="I10" t="e" vm="1">
        <f>_xlfn.XLOOKUP(AllDataCorrected[[#This Row],[Site Name]],LocationsKey[Site Name],LocationsKey[Town])</f>
        <v>#VALUE!</v>
      </c>
      <c r="J10" t="str">
        <f>_xlfn.XLOOKUP(AllDataCorrected[[#This Row],[Site Name]],LocationsKey[Site Name], LocationsKey[Waterway])</f>
        <v>Avon</v>
      </c>
      <c r="K10" t="s">
        <v>22</v>
      </c>
      <c r="L10">
        <f>_xlfn.XLOOKUP(AllDataCorrected[[#This Row],[Site Name]],Tables!$B$12:$B$78, Tables!C$12:C$78)</f>
        <v>51.991389555555564</v>
      </c>
      <c r="M10">
        <f>_xlfn.XLOOKUP(AllDataCorrected[[#This Row],[Site Name]],Tables!$B$12:$B$78, Tables!D$12:D$78)</f>
        <v>-2.1620794000000005</v>
      </c>
      <c r="N10" t="s">
        <v>23</v>
      </c>
      <c r="O10">
        <v>819</v>
      </c>
      <c r="P10">
        <v>19.3</v>
      </c>
      <c r="Q10">
        <v>12</v>
      </c>
      <c r="R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
        <v>0.86</v>
      </c>
      <c r="T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
        <v>0</v>
      </c>
    </row>
    <row r="11" spans="1:22" x14ac:dyDescent="0.25">
      <c r="A11" t="s">
        <v>44</v>
      </c>
      <c r="B11" s="2">
        <v>45130</v>
      </c>
      <c r="C11" t="str" cm="1">
        <f t="array" ref="C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
        <f>YEAR(AllDataCorrected[[#This Row],[Date]])</f>
        <v>2023</v>
      </c>
      <c r="E11" s="1">
        <v>0.41319444444444442</v>
      </c>
      <c r="F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 t="str">
        <f>_xlfn.XLOOKUP(AllDataCorrected[[#This Row],[Location Name]], Locations[Location Name],Locations[Group As])</f>
        <v>Hampton Wood</v>
      </c>
      <c r="H11" t="e" vm="2">
        <f>_xlfn.XLOOKUP(AllDataCorrected[[#This Row],[Site Name]],LocationsKey[Site Name],LocationsKey[District])</f>
        <v>#VALUE!</v>
      </c>
      <c r="I11" t="e" vm="3">
        <f>_xlfn.XLOOKUP(AllDataCorrected[[#This Row],[Site Name]],LocationsKey[Site Name],LocationsKey[Town])</f>
        <v>#VALUE!</v>
      </c>
      <c r="J11" t="str">
        <f>_xlfn.XLOOKUP(AllDataCorrected[[#This Row],[Site Name]],LocationsKey[Site Name], LocationsKey[Waterway])</f>
        <v>Avon</v>
      </c>
      <c r="K11" t="s">
        <v>34</v>
      </c>
      <c r="L11">
        <f>_xlfn.XLOOKUP(AllDataCorrected[[#This Row],[Site Name]],Tables!$B$12:$B$78, Tables!C$12:C$78)</f>
        <v>52.23814999999999</v>
      </c>
      <c r="M11">
        <f>_xlfn.XLOOKUP(AllDataCorrected[[#This Row],[Site Name]],Tables!$B$12:$B$78, Tables!D$12:D$78)</f>
        <v>-1.6245800000000008</v>
      </c>
      <c r="N11" t="s">
        <v>29</v>
      </c>
      <c r="O11">
        <v>806</v>
      </c>
      <c r="P11">
        <v>18.5</v>
      </c>
      <c r="Q11">
        <v>5</v>
      </c>
      <c r="R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
        <v>0.6</v>
      </c>
      <c r="T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
        <v>0</v>
      </c>
      <c r="V11" t="s">
        <v>45</v>
      </c>
    </row>
    <row r="12" spans="1:22" x14ac:dyDescent="0.25">
      <c r="A12" t="s">
        <v>46</v>
      </c>
      <c r="B12" s="2">
        <v>45130</v>
      </c>
      <c r="C12" t="str" cm="1">
        <f t="array" ref="C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
        <f>YEAR(AllDataCorrected[[#This Row],[Date]])</f>
        <v>2023</v>
      </c>
      <c r="E12" s="1">
        <v>0.49305555555555558</v>
      </c>
      <c r="F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 t="str">
        <f>_xlfn.XLOOKUP(AllDataCorrected[[#This Row],[Location Name]], Locations[Location Name],Locations[Group As])</f>
        <v>Hampton Lucy</v>
      </c>
      <c r="H12" t="e" vm="2">
        <f>_xlfn.XLOOKUP(AllDataCorrected[[#This Row],[Site Name]],LocationsKey[Site Name],LocationsKey[District])</f>
        <v>#VALUE!</v>
      </c>
      <c r="I12" t="e" vm="4">
        <f>_xlfn.XLOOKUP(AllDataCorrected[[#This Row],[Site Name]],LocationsKey[Site Name],LocationsKey[Town])</f>
        <v>#VALUE!</v>
      </c>
      <c r="J12" t="str">
        <f>_xlfn.XLOOKUP(AllDataCorrected[[#This Row],[Site Name]],LocationsKey[Site Name], LocationsKey[Waterway])</f>
        <v>Avon</v>
      </c>
      <c r="K12" t="s">
        <v>37</v>
      </c>
      <c r="L12">
        <f>_xlfn.XLOOKUP(AllDataCorrected[[#This Row],[Site Name]],Tables!$B$12:$B$78, Tables!C$12:C$78)</f>
        <v>52.211679999999973</v>
      </c>
      <c r="M12">
        <f>_xlfn.XLOOKUP(AllDataCorrected[[#This Row],[Site Name]],Tables!$B$12:$B$78, Tables!D$12:D$78)</f>
        <v>-1.6244400000000001</v>
      </c>
      <c r="N12" t="s">
        <v>23</v>
      </c>
      <c r="O12">
        <v>840</v>
      </c>
      <c r="P12">
        <v>19.399999999999999</v>
      </c>
      <c r="Q12">
        <v>5</v>
      </c>
      <c r="R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
        <v>0.6</v>
      </c>
      <c r="T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
        <v>0</v>
      </c>
      <c r="V12" t="s">
        <v>47</v>
      </c>
    </row>
    <row r="13" spans="1:22" x14ac:dyDescent="0.25">
      <c r="A13" t="s">
        <v>48</v>
      </c>
      <c r="B13" s="2">
        <v>45130</v>
      </c>
      <c r="C13" t="str" cm="1">
        <f t="array" ref="C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3">
        <f>YEAR(AllDataCorrected[[#This Row],[Date]])</f>
        <v>2023</v>
      </c>
      <c r="E13" s="1">
        <v>0.66666666666666663</v>
      </c>
      <c r="F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 t="str">
        <f>_xlfn.XLOOKUP(AllDataCorrected[[#This Row],[Location Name]], Locations[Location Name],Locations[Group As])</f>
        <v>Barton</v>
      </c>
      <c r="H13" t="e" vm="2">
        <f>_xlfn.XLOOKUP(AllDataCorrected[[#This Row],[Site Name]],LocationsKey[Site Name],LocationsKey[District])</f>
        <v>#VALUE!</v>
      </c>
      <c r="I13" t="str">
        <f>_xlfn.XLOOKUP(AllDataCorrected[[#This Row],[Site Name]],LocationsKey[Site Name],LocationsKey[Town])</f>
        <v>Barton</v>
      </c>
      <c r="J13" t="str">
        <f>_xlfn.XLOOKUP(AllDataCorrected[[#This Row],[Site Name]],LocationsKey[Site Name], LocationsKey[Waterway])</f>
        <v>Avon</v>
      </c>
      <c r="K13" t="s">
        <v>49</v>
      </c>
      <c r="L13">
        <f>_xlfn.XLOOKUP(AllDataCorrected[[#This Row],[Site Name]],Tables!$B$12:$B$78, Tables!C$12:C$78)</f>
        <v>52.16120999999999</v>
      </c>
      <c r="M13">
        <f>_xlfn.XLOOKUP(AllDataCorrected[[#This Row],[Site Name]],Tables!$B$12:$B$78, Tables!D$12:D$78)</f>
        <v>-1.8301499999999999</v>
      </c>
      <c r="N13" t="s">
        <v>29</v>
      </c>
      <c r="O13">
        <v>832</v>
      </c>
      <c r="P13">
        <v>18.7</v>
      </c>
      <c r="Q13">
        <v>4</v>
      </c>
      <c r="R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3">
        <v>0.71</v>
      </c>
      <c r="T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
        <v>0</v>
      </c>
      <c r="V13" t="s">
        <v>50</v>
      </c>
    </row>
    <row r="14" spans="1:22" x14ac:dyDescent="0.25">
      <c r="A14" t="s">
        <v>51</v>
      </c>
      <c r="B14" s="2">
        <v>45130</v>
      </c>
      <c r="C14" t="str" cm="1">
        <f t="array" ref="C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4">
        <f>YEAR(AllDataCorrected[[#This Row],[Date]])</f>
        <v>2023</v>
      </c>
      <c r="E14" s="1">
        <v>0.77083333333333337</v>
      </c>
      <c r="F1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4" t="str">
        <f>_xlfn.XLOOKUP(AllDataCorrected[[#This Row],[Location Name]], Locations[Location Name],Locations[Group As])</f>
        <v>Welford Boat Station</v>
      </c>
      <c r="H14" t="e" vm="2">
        <f>_xlfn.XLOOKUP(AllDataCorrected[[#This Row],[Site Name]],LocationsKey[Site Name],LocationsKey[District])</f>
        <v>#VALUE!</v>
      </c>
      <c r="I14" t="e" vm="5">
        <f>_xlfn.XLOOKUP(AllDataCorrected[[#This Row],[Site Name]],LocationsKey[Site Name],LocationsKey[Town])</f>
        <v>#VALUE!</v>
      </c>
      <c r="J14" t="str">
        <f>_xlfn.XLOOKUP(AllDataCorrected[[#This Row],[Site Name]],LocationsKey[Site Name], LocationsKey[Waterway])</f>
        <v>Avon</v>
      </c>
      <c r="K14" t="s">
        <v>39</v>
      </c>
      <c r="L14">
        <f>_xlfn.XLOOKUP(AllDataCorrected[[#This Row],[Site Name]],Tables!$B$12:$B$78, Tables!C$12:C$78)</f>
        <v>52.175174684210546</v>
      </c>
      <c r="M14">
        <f>_xlfn.XLOOKUP(AllDataCorrected[[#This Row],[Site Name]],Tables!$B$12:$B$78, Tables!D$12:D$78)</f>
        <v>-1.7918551052631577</v>
      </c>
      <c r="N14" t="s">
        <v>23</v>
      </c>
      <c r="O14">
        <v>892</v>
      </c>
      <c r="P14">
        <v>19.100000000000001</v>
      </c>
      <c r="Q14">
        <v>7</v>
      </c>
      <c r="R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4">
        <v>0.47</v>
      </c>
      <c r="T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
        <v>0</v>
      </c>
      <c r="V14" t="s">
        <v>52</v>
      </c>
    </row>
    <row r="15" spans="1:22" x14ac:dyDescent="0.25">
      <c r="A15" t="s">
        <v>53</v>
      </c>
      <c r="B15" s="2">
        <v>45132</v>
      </c>
      <c r="C15" t="str" cm="1">
        <f t="array" ref="C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5">
        <f>YEAR(AllDataCorrected[[#This Row],[Date]])</f>
        <v>2023</v>
      </c>
      <c r="E15" s="1">
        <v>0.4777777777777778</v>
      </c>
      <c r="F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 t="str">
        <f>_xlfn.XLOOKUP(AllDataCorrected[[#This Row],[Location Name]], Locations[Location Name],Locations[Group As])</f>
        <v>Twyning Fleet</v>
      </c>
      <c r="H15" t="e" vm="1">
        <f>_xlfn.XLOOKUP(AllDataCorrected[[#This Row],[Site Name]],LocationsKey[Site Name],LocationsKey[District])</f>
        <v>#VALUE!</v>
      </c>
      <c r="I15" t="str">
        <f>_xlfn.XLOOKUP(AllDataCorrected[[#This Row],[Site Name]],LocationsKey[Site Name],LocationsKey[Town])</f>
        <v>Twyning Green</v>
      </c>
      <c r="J15" t="str">
        <f>_xlfn.XLOOKUP(AllDataCorrected[[#This Row],[Site Name]],LocationsKey[Site Name], LocationsKey[Waterway])</f>
        <v>Avon</v>
      </c>
      <c r="K15" t="s">
        <v>54</v>
      </c>
      <c r="L15">
        <f>_xlfn.XLOOKUP(AllDataCorrected[[#This Row],[Site Name]],Tables!$B$12:$B$78, Tables!C$12:C$78)</f>
        <v>52.027190153846163</v>
      </c>
      <c r="M15">
        <f>_xlfn.XLOOKUP(AllDataCorrected[[#This Row],[Site Name]],Tables!$B$12:$B$78, Tables!D$12:D$78)</f>
        <v>-2.1406086923076924</v>
      </c>
      <c r="N15" t="s">
        <v>29</v>
      </c>
      <c r="O15">
        <v>905</v>
      </c>
      <c r="P15">
        <v>19.5</v>
      </c>
      <c r="Q15">
        <v>10</v>
      </c>
      <c r="R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5">
        <v>1</v>
      </c>
      <c r="T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
        <v>0</v>
      </c>
      <c r="V15" t="s">
        <v>55</v>
      </c>
    </row>
    <row r="16" spans="1:22" x14ac:dyDescent="0.25">
      <c r="A16" t="s">
        <v>56</v>
      </c>
      <c r="B16" s="2">
        <v>45134</v>
      </c>
      <c r="C16" t="str" cm="1">
        <f t="array" ref="C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6">
        <f>YEAR(AllDataCorrected[[#This Row],[Date]])</f>
        <v>2023</v>
      </c>
      <c r="E16" s="1">
        <v>0.85416666666666663</v>
      </c>
      <c r="F16"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6" t="str">
        <f>_xlfn.XLOOKUP(AllDataCorrected[[#This Row],[Location Name]], Locations[Location Name],Locations[Group As])</f>
        <v>Abbey Mill</v>
      </c>
      <c r="H16" t="e" vm="1">
        <f>_xlfn.XLOOKUP(AllDataCorrected[[#This Row],[Site Name]],LocationsKey[Site Name],LocationsKey[District])</f>
        <v>#VALUE!</v>
      </c>
      <c r="I16" t="e" vm="1">
        <f>_xlfn.XLOOKUP(AllDataCorrected[[#This Row],[Site Name]],LocationsKey[Site Name],LocationsKey[Town])</f>
        <v>#VALUE!</v>
      </c>
      <c r="J16" t="str">
        <f>_xlfn.XLOOKUP(AllDataCorrected[[#This Row],[Site Name]],LocationsKey[Site Name], LocationsKey[Waterway])</f>
        <v>Avon</v>
      </c>
      <c r="K16" t="s">
        <v>22</v>
      </c>
      <c r="L16">
        <f>_xlfn.XLOOKUP(AllDataCorrected[[#This Row],[Site Name]],Tables!$B$12:$B$78, Tables!C$12:C$78)</f>
        <v>51.991389555555564</v>
      </c>
      <c r="M16">
        <f>_xlfn.XLOOKUP(AllDataCorrected[[#This Row],[Site Name]],Tables!$B$12:$B$78, Tables!D$12:D$78)</f>
        <v>-2.1620794000000005</v>
      </c>
      <c r="N16" t="s">
        <v>23</v>
      </c>
      <c r="O16">
        <v>856</v>
      </c>
      <c r="P16">
        <v>19.7</v>
      </c>
      <c r="Q16">
        <v>8</v>
      </c>
      <c r="R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6">
        <v>1.1399999999999999</v>
      </c>
      <c r="T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
        <v>0</v>
      </c>
    </row>
    <row r="17" spans="1:22" x14ac:dyDescent="0.25">
      <c r="A17" t="s">
        <v>57</v>
      </c>
      <c r="B17" s="2">
        <v>45137</v>
      </c>
      <c r="C17" t="str" cm="1">
        <f t="array" ref="C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7">
        <f>YEAR(AllDataCorrected[[#This Row],[Date]])</f>
        <v>2023</v>
      </c>
      <c r="E17" s="1">
        <v>0.40625</v>
      </c>
      <c r="F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 t="str">
        <f>_xlfn.XLOOKUP(AllDataCorrected[[#This Row],[Location Name]], Locations[Location Name],Locations[Group As])</f>
        <v>Hampton Wood</v>
      </c>
      <c r="H17" t="e" vm="2">
        <f>_xlfn.XLOOKUP(AllDataCorrected[[#This Row],[Site Name]],LocationsKey[Site Name],LocationsKey[District])</f>
        <v>#VALUE!</v>
      </c>
      <c r="I17" t="e" vm="3">
        <f>_xlfn.XLOOKUP(AllDataCorrected[[#This Row],[Site Name]],LocationsKey[Site Name],LocationsKey[Town])</f>
        <v>#VALUE!</v>
      </c>
      <c r="J17" t="str">
        <f>_xlfn.XLOOKUP(AllDataCorrected[[#This Row],[Site Name]],LocationsKey[Site Name], LocationsKey[Waterway])</f>
        <v>Avon</v>
      </c>
      <c r="K17" t="s">
        <v>34</v>
      </c>
      <c r="L17">
        <f>_xlfn.XLOOKUP(AllDataCorrected[[#This Row],[Site Name]],Tables!$B$12:$B$78, Tables!C$12:C$78)</f>
        <v>52.23814999999999</v>
      </c>
      <c r="M17">
        <f>_xlfn.XLOOKUP(AllDataCorrected[[#This Row],[Site Name]],Tables!$B$12:$B$78, Tables!D$12:D$78)</f>
        <v>-1.6245800000000008</v>
      </c>
      <c r="N17" t="s">
        <v>29</v>
      </c>
      <c r="O17">
        <v>734</v>
      </c>
      <c r="P17">
        <v>18.8</v>
      </c>
      <c r="Q17">
        <v>4</v>
      </c>
      <c r="R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7">
        <v>0.83</v>
      </c>
      <c r="T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
        <v>0</v>
      </c>
      <c r="V17" t="s">
        <v>58</v>
      </c>
    </row>
    <row r="18" spans="1:22" x14ac:dyDescent="0.25">
      <c r="A18" t="s">
        <v>59</v>
      </c>
      <c r="B18" s="2">
        <v>45137</v>
      </c>
      <c r="C18" t="str" cm="1">
        <f t="array" ref="C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8">
        <f>YEAR(AllDataCorrected[[#This Row],[Date]])</f>
        <v>2023</v>
      </c>
      <c r="E18" s="1">
        <v>0.52083333333333337</v>
      </c>
      <c r="F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 t="str">
        <f>_xlfn.XLOOKUP(AllDataCorrected[[#This Row],[Location Name]], Locations[Location Name],Locations[Group As])</f>
        <v>Hampton Lucy</v>
      </c>
      <c r="H18" t="e" vm="2">
        <f>_xlfn.XLOOKUP(AllDataCorrected[[#This Row],[Site Name]],LocationsKey[Site Name],LocationsKey[District])</f>
        <v>#VALUE!</v>
      </c>
      <c r="I18" t="e" vm="4">
        <f>_xlfn.XLOOKUP(AllDataCorrected[[#This Row],[Site Name]],LocationsKey[Site Name],LocationsKey[Town])</f>
        <v>#VALUE!</v>
      </c>
      <c r="J18" t="str">
        <f>_xlfn.XLOOKUP(AllDataCorrected[[#This Row],[Site Name]],LocationsKey[Site Name], LocationsKey[Waterway])</f>
        <v>Avon</v>
      </c>
      <c r="K18" t="s">
        <v>37</v>
      </c>
      <c r="L18">
        <f>_xlfn.XLOOKUP(AllDataCorrected[[#This Row],[Site Name]],Tables!$B$12:$B$78, Tables!C$12:C$78)</f>
        <v>52.211679999999973</v>
      </c>
      <c r="M18">
        <f>_xlfn.XLOOKUP(AllDataCorrected[[#This Row],[Site Name]],Tables!$B$12:$B$78, Tables!D$12:D$78)</f>
        <v>-1.6244400000000001</v>
      </c>
      <c r="N18" t="s">
        <v>23</v>
      </c>
      <c r="O18">
        <v>704</v>
      </c>
      <c r="P18">
        <v>19.399999999999999</v>
      </c>
      <c r="Q18">
        <v>5</v>
      </c>
      <c r="R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8">
        <v>0.7</v>
      </c>
      <c r="T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
        <v>0</v>
      </c>
      <c r="V18" t="s">
        <v>58</v>
      </c>
    </row>
    <row r="19" spans="1:22" x14ac:dyDescent="0.25">
      <c r="A19" t="s">
        <v>60</v>
      </c>
      <c r="B19" s="2">
        <v>45138</v>
      </c>
      <c r="C19" t="str" cm="1">
        <f t="array" ref="C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9">
        <f>YEAR(AllDataCorrected[[#This Row],[Date]])</f>
        <v>2023</v>
      </c>
      <c r="E19" s="1">
        <v>0.5</v>
      </c>
      <c r="F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 t="str">
        <f>_xlfn.XLOOKUP(AllDataCorrected[[#This Row],[Location Name]], Locations[Location Name],Locations[Group As])</f>
        <v>Welford Boat Station</v>
      </c>
      <c r="H19" t="e" vm="2">
        <f>_xlfn.XLOOKUP(AllDataCorrected[[#This Row],[Site Name]],LocationsKey[Site Name],LocationsKey[District])</f>
        <v>#VALUE!</v>
      </c>
      <c r="I19" t="e" vm="5">
        <f>_xlfn.XLOOKUP(AllDataCorrected[[#This Row],[Site Name]],LocationsKey[Site Name],LocationsKey[Town])</f>
        <v>#VALUE!</v>
      </c>
      <c r="J19" t="str">
        <f>_xlfn.XLOOKUP(AllDataCorrected[[#This Row],[Site Name]],LocationsKey[Site Name], LocationsKey[Waterway])</f>
        <v>Avon</v>
      </c>
      <c r="K19" t="s">
        <v>39</v>
      </c>
      <c r="L19">
        <f>_xlfn.XLOOKUP(AllDataCorrected[[#This Row],[Site Name]],Tables!$B$12:$B$78, Tables!C$12:C$78)</f>
        <v>52.175174684210546</v>
      </c>
      <c r="M19">
        <f>_xlfn.XLOOKUP(AllDataCorrected[[#This Row],[Site Name]],Tables!$B$12:$B$78, Tables!D$12:D$78)</f>
        <v>-1.7918551052631577</v>
      </c>
      <c r="N19" t="s">
        <v>23</v>
      </c>
      <c r="O19">
        <v>728</v>
      </c>
      <c r="P19">
        <v>18.7</v>
      </c>
      <c r="Q19">
        <v>4.5</v>
      </c>
      <c r="R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9">
        <v>0.59</v>
      </c>
      <c r="T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
        <v>0</v>
      </c>
      <c r="V19" t="s">
        <v>61</v>
      </c>
    </row>
    <row r="20" spans="1:22" x14ac:dyDescent="0.25">
      <c r="A20" t="s">
        <v>62</v>
      </c>
      <c r="B20" s="2">
        <v>45138</v>
      </c>
      <c r="C20" t="str" cm="1">
        <f t="array" ref="C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0">
        <f>YEAR(AllDataCorrected[[#This Row],[Date]])</f>
        <v>2023</v>
      </c>
      <c r="E20" s="1">
        <v>0.70833333333333337</v>
      </c>
      <c r="F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 t="str">
        <f>_xlfn.XLOOKUP(AllDataCorrected[[#This Row],[Location Name]], Locations[Location Name],Locations[Group As])</f>
        <v>Barton</v>
      </c>
      <c r="H20" t="e" vm="2">
        <f>_xlfn.XLOOKUP(AllDataCorrected[[#This Row],[Site Name]],LocationsKey[Site Name],LocationsKey[District])</f>
        <v>#VALUE!</v>
      </c>
      <c r="I20" t="str">
        <f>_xlfn.XLOOKUP(AllDataCorrected[[#This Row],[Site Name]],LocationsKey[Site Name],LocationsKey[Town])</f>
        <v>Barton</v>
      </c>
      <c r="J20" t="str">
        <f>_xlfn.XLOOKUP(AllDataCorrected[[#This Row],[Site Name]],LocationsKey[Site Name], LocationsKey[Waterway])</f>
        <v>Avon</v>
      </c>
      <c r="K20" t="s">
        <v>49</v>
      </c>
      <c r="L20">
        <f>_xlfn.XLOOKUP(AllDataCorrected[[#This Row],[Site Name]],Tables!$B$12:$B$78, Tables!C$12:C$78)</f>
        <v>52.16120999999999</v>
      </c>
      <c r="M20">
        <f>_xlfn.XLOOKUP(AllDataCorrected[[#This Row],[Site Name]],Tables!$B$12:$B$78, Tables!D$12:D$78)</f>
        <v>-1.8301499999999999</v>
      </c>
      <c r="N20" t="s">
        <v>29</v>
      </c>
      <c r="O20">
        <v>722</v>
      </c>
      <c r="P20">
        <v>17.5</v>
      </c>
      <c r="Q20">
        <v>4</v>
      </c>
      <c r="R20" t="str">
        <f>IF(AllDataCorrected[[#This Row],[Nitrate (PPM)]]&gt;2, "4. Very high (&gt;2ppm)", IF(AllDataCorrected[[#This Row],[Nitrate (PPM)]]&gt;1, "3. High (1-2ppm)", IF(AllDataCorrected[[#This Row],[Nitrate (PPM)]]&gt;0.5, "2. Some evidence (0.5-1ppm)", IF(AllDataCorrected[[#This Row],[Nitrate (PPM)]]&gt;=0, "1. No evidence (&lt;0.5ppm)"))))</f>
        <v>4. Very high (&gt;2ppm)</v>
      </c>
      <c r="S20">
        <v>0.61</v>
      </c>
      <c r="T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
        <v>0</v>
      </c>
      <c r="V20" t="s">
        <v>63</v>
      </c>
    </row>
    <row r="21" spans="1:22" x14ac:dyDescent="0.25">
      <c r="A21" t="s">
        <v>64</v>
      </c>
      <c r="B21" s="2">
        <v>45139</v>
      </c>
      <c r="C21" t="str" cm="1">
        <f t="array" ref="C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1">
        <f>YEAR(AllDataCorrected[[#This Row],[Date]])</f>
        <v>2023</v>
      </c>
      <c r="E21" s="1">
        <v>0.83333333333333337</v>
      </c>
      <c r="F2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21" t="str">
        <f>_xlfn.XLOOKUP(AllDataCorrected[[#This Row],[Location Name]], Locations[Location Name],Locations[Group As])</f>
        <v>Avonbank Drive</v>
      </c>
      <c r="H21" t="e" vm="2">
        <f>_xlfn.XLOOKUP(AllDataCorrected[[#This Row],[Site Name]],LocationsKey[Site Name],LocationsKey[District])</f>
        <v>#VALUE!</v>
      </c>
      <c r="I21" t="e" vm="7">
        <f>_xlfn.XLOOKUP(AllDataCorrected[[#This Row],[Site Name]],LocationsKey[Site Name],LocationsKey[Town])</f>
        <v>#VALUE!</v>
      </c>
      <c r="J21" t="str">
        <f>_xlfn.XLOOKUP(AllDataCorrected[[#This Row],[Site Name]],LocationsKey[Site Name], LocationsKey[Waterway])</f>
        <v>Avon</v>
      </c>
      <c r="K21" t="s">
        <v>65</v>
      </c>
      <c r="L21">
        <f>_xlfn.XLOOKUP(AllDataCorrected[[#This Row],[Site Name]],Tables!$B$12:$B$78, Tables!C$12:C$78)</f>
        <v>52.177054657142854</v>
      </c>
      <c r="M21">
        <f>_xlfn.XLOOKUP(AllDataCorrected[[#This Row],[Site Name]],Tables!$B$12:$B$78, Tables!D$12:D$78)</f>
        <v>-1.7358669999999996</v>
      </c>
      <c r="N21" t="s">
        <v>66</v>
      </c>
      <c r="O21">
        <v>893</v>
      </c>
      <c r="P21">
        <v>18.8</v>
      </c>
      <c r="Q21">
        <v>10</v>
      </c>
      <c r="R21" t="str">
        <f>IF(AllDataCorrected[[#This Row],[Nitrate (PPM)]]&gt;2, "4. Very high (&gt;2ppm)", IF(AllDataCorrected[[#This Row],[Nitrate (PPM)]]&gt;1, "3. High (1-2ppm)", IF(AllDataCorrected[[#This Row],[Nitrate (PPM)]]&gt;0.5, "2. Some evidence (0.5-1ppm)", IF(AllDataCorrected[[#This Row],[Nitrate (PPM)]]&gt;=0, "1. No evidence (&lt;0.5ppm)"))))</f>
        <v>4. Very high (&gt;2ppm)</v>
      </c>
      <c r="S21">
        <v>0.5</v>
      </c>
      <c r="T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
        <v>0.6</v>
      </c>
      <c r="V21" t="s">
        <v>67</v>
      </c>
    </row>
    <row r="22" spans="1:22" x14ac:dyDescent="0.25">
      <c r="A22" t="s">
        <v>68</v>
      </c>
      <c r="B22" s="2">
        <v>45139</v>
      </c>
      <c r="C22" t="str" cm="1">
        <f t="array" ref="C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2">
        <f>YEAR(AllDataCorrected[[#This Row],[Date]])</f>
        <v>2023</v>
      </c>
      <c r="E22" s="1">
        <v>0.85416666666666663</v>
      </c>
      <c r="F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22" t="str">
        <f>_xlfn.XLOOKUP(AllDataCorrected[[#This Row],[Location Name]], Locations[Location Name],Locations[Group As])</f>
        <v>Pitch 16</v>
      </c>
      <c r="H22" t="e" vm="2">
        <f>_xlfn.XLOOKUP(AllDataCorrected[[#This Row],[Site Name]],LocationsKey[Site Name],LocationsKey[District])</f>
        <v>#VALUE!</v>
      </c>
      <c r="I22" t="e" vm="7">
        <f>_xlfn.XLOOKUP(AllDataCorrected[[#This Row],[Site Name]],LocationsKey[Site Name],LocationsKey[Town])</f>
        <v>#VALUE!</v>
      </c>
      <c r="J22" t="str">
        <f>_xlfn.XLOOKUP(AllDataCorrected[[#This Row],[Site Name]],LocationsKey[Site Name], LocationsKey[Waterway])</f>
        <v>Avon</v>
      </c>
      <c r="K22" t="s">
        <v>69</v>
      </c>
      <c r="L22">
        <f>_xlfn.XLOOKUP(AllDataCorrected[[#This Row],[Site Name]],Tables!$B$12:$B$78, Tables!C$12:C$78)</f>
        <v>52.17355294117646</v>
      </c>
      <c r="M22">
        <f>_xlfn.XLOOKUP(AllDataCorrected[[#This Row],[Site Name]],Tables!$B$12:$B$78, Tables!D$12:D$78)</f>
        <v>-1.7433199411764708</v>
      </c>
      <c r="N22" t="s">
        <v>29</v>
      </c>
      <c r="O22">
        <v>887</v>
      </c>
      <c r="P22">
        <v>18.600000000000001</v>
      </c>
      <c r="Q22">
        <v>10</v>
      </c>
      <c r="R22" t="str">
        <f>IF(AllDataCorrected[[#This Row],[Nitrate (PPM)]]&gt;2, "4. Very high (&gt;2ppm)", IF(AllDataCorrected[[#This Row],[Nitrate (PPM)]]&gt;1, "3. High (1-2ppm)", IF(AllDataCorrected[[#This Row],[Nitrate (PPM)]]&gt;0.5, "2. Some evidence (0.5-1ppm)", IF(AllDataCorrected[[#This Row],[Nitrate (PPM)]]&gt;=0, "1. No evidence (&lt;0.5ppm)"))))</f>
        <v>4. Very high (&gt;2ppm)</v>
      </c>
      <c r="S22">
        <v>0.6</v>
      </c>
      <c r="T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
        <v>0.6</v>
      </c>
      <c r="V22" t="s">
        <v>70</v>
      </c>
    </row>
    <row r="23" spans="1:22" x14ac:dyDescent="0.25">
      <c r="A23" t="s">
        <v>71</v>
      </c>
      <c r="B23" s="2">
        <v>45142</v>
      </c>
      <c r="C23" t="str" cm="1">
        <f t="array" ref="C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3">
        <f>YEAR(AllDataCorrected[[#This Row],[Date]])</f>
        <v>2023</v>
      </c>
      <c r="E23" s="1">
        <v>0.45833333333333331</v>
      </c>
      <c r="F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 t="str">
        <f>_xlfn.XLOOKUP(AllDataCorrected[[#This Row],[Location Name]], Locations[Location Name],Locations[Group As])</f>
        <v>Pitch 16</v>
      </c>
      <c r="H23" t="e" vm="2">
        <f>_xlfn.XLOOKUP(AllDataCorrected[[#This Row],[Site Name]],LocationsKey[Site Name],LocationsKey[District])</f>
        <v>#VALUE!</v>
      </c>
      <c r="I23" t="e" vm="7">
        <f>_xlfn.XLOOKUP(AllDataCorrected[[#This Row],[Site Name]],LocationsKey[Site Name],LocationsKey[Town])</f>
        <v>#VALUE!</v>
      </c>
      <c r="J23" t="str">
        <f>_xlfn.XLOOKUP(AllDataCorrected[[#This Row],[Site Name]],LocationsKey[Site Name], LocationsKey[Waterway])</f>
        <v>Avon</v>
      </c>
      <c r="K23" t="s">
        <v>69</v>
      </c>
      <c r="L23">
        <f>_xlfn.XLOOKUP(AllDataCorrected[[#This Row],[Site Name]],Tables!$B$12:$B$78, Tables!C$12:C$78)</f>
        <v>52.17355294117646</v>
      </c>
      <c r="M23">
        <f>_xlfn.XLOOKUP(AllDataCorrected[[#This Row],[Site Name]],Tables!$B$12:$B$78, Tables!D$12:D$78)</f>
        <v>-1.7433199411764708</v>
      </c>
      <c r="N23" t="s">
        <v>29</v>
      </c>
      <c r="O23">
        <v>892</v>
      </c>
      <c r="P23">
        <v>18.5</v>
      </c>
      <c r="Q23">
        <v>10</v>
      </c>
      <c r="R23" t="str">
        <f>IF(AllDataCorrected[[#This Row],[Nitrate (PPM)]]&gt;2, "4. Very high (&gt;2ppm)", IF(AllDataCorrected[[#This Row],[Nitrate (PPM)]]&gt;1, "3. High (1-2ppm)", IF(AllDataCorrected[[#This Row],[Nitrate (PPM)]]&gt;0.5, "2. Some evidence (0.5-1ppm)", IF(AllDataCorrected[[#This Row],[Nitrate (PPM)]]&gt;=0, "1. No evidence (&lt;0.5ppm)"))))</f>
        <v>4. Very high (&gt;2ppm)</v>
      </c>
      <c r="S23">
        <v>0.56999999999999995</v>
      </c>
      <c r="T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
        <v>0.62</v>
      </c>
    </row>
    <row r="24" spans="1:22" x14ac:dyDescent="0.25">
      <c r="A24" t="s">
        <v>72</v>
      </c>
      <c r="B24" s="2">
        <v>45142</v>
      </c>
      <c r="C24" t="str" cm="1">
        <f t="array" ref="C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4">
        <f>YEAR(AllDataCorrected[[#This Row],[Date]])</f>
        <v>2023</v>
      </c>
      <c r="E24" s="1">
        <v>0.47569444444444442</v>
      </c>
      <c r="F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 t="str">
        <f>_xlfn.XLOOKUP(AllDataCorrected[[#This Row],[Location Name]], Locations[Location Name],Locations[Group As])</f>
        <v>Avonbank Drive</v>
      </c>
      <c r="H24" t="e" vm="2">
        <f>_xlfn.XLOOKUP(AllDataCorrected[[#This Row],[Site Name]],LocationsKey[Site Name],LocationsKey[District])</f>
        <v>#VALUE!</v>
      </c>
      <c r="I24" t="e" vm="7">
        <f>_xlfn.XLOOKUP(AllDataCorrected[[#This Row],[Site Name]],LocationsKey[Site Name],LocationsKey[Town])</f>
        <v>#VALUE!</v>
      </c>
      <c r="J24" t="str">
        <f>_xlfn.XLOOKUP(AllDataCorrected[[#This Row],[Site Name]],LocationsKey[Site Name], LocationsKey[Waterway])</f>
        <v>Avon</v>
      </c>
      <c r="K24" t="s">
        <v>65</v>
      </c>
      <c r="L24">
        <f>_xlfn.XLOOKUP(AllDataCorrected[[#This Row],[Site Name]],Tables!$B$12:$B$78, Tables!C$12:C$78)</f>
        <v>52.177054657142854</v>
      </c>
      <c r="M24">
        <f>_xlfn.XLOOKUP(AllDataCorrected[[#This Row],[Site Name]],Tables!$B$12:$B$78, Tables!D$12:D$78)</f>
        <v>-1.7358669999999996</v>
      </c>
      <c r="N24" t="s">
        <v>66</v>
      </c>
      <c r="O24">
        <v>896</v>
      </c>
      <c r="P24">
        <v>19.2</v>
      </c>
      <c r="Q24">
        <v>10</v>
      </c>
      <c r="R24" t="str">
        <f>IF(AllDataCorrected[[#This Row],[Nitrate (PPM)]]&gt;2, "4. Very high (&gt;2ppm)", IF(AllDataCorrected[[#This Row],[Nitrate (PPM)]]&gt;1, "3. High (1-2ppm)", IF(AllDataCorrected[[#This Row],[Nitrate (PPM)]]&gt;0.5, "2. Some evidence (0.5-1ppm)", IF(AllDataCorrected[[#This Row],[Nitrate (PPM)]]&gt;=0, "1. No evidence (&lt;0.5ppm)"))))</f>
        <v>4. Very high (&gt;2ppm)</v>
      </c>
      <c r="S24">
        <v>0.46</v>
      </c>
      <c r="T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
        <v>0.62</v>
      </c>
    </row>
    <row r="25" spans="1:22" x14ac:dyDescent="0.25">
      <c r="A25" t="s">
        <v>73</v>
      </c>
      <c r="B25" s="2">
        <v>45143</v>
      </c>
      <c r="C25" t="str" cm="1">
        <f t="array" ref="C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5">
        <f>YEAR(AllDataCorrected[[#This Row],[Date]])</f>
        <v>2023</v>
      </c>
      <c r="E25" s="1">
        <v>0.42777777777777776</v>
      </c>
      <c r="F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 t="str">
        <f>_xlfn.XLOOKUP(AllDataCorrected[[#This Row],[Location Name]], Locations[Location Name],Locations[Group As])</f>
        <v>Abbey Mill</v>
      </c>
      <c r="H25" t="e" vm="1">
        <f>_xlfn.XLOOKUP(AllDataCorrected[[#This Row],[Site Name]],LocationsKey[Site Name],LocationsKey[District])</f>
        <v>#VALUE!</v>
      </c>
      <c r="I25" t="e" vm="1">
        <f>_xlfn.XLOOKUP(AllDataCorrected[[#This Row],[Site Name]],LocationsKey[Site Name],LocationsKey[Town])</f>
        <v>#VALUE!</v>
      </c>
      <c r="J25" t="str">
        <f>_xlfn.XLOOKUP(AllDataCorrected[[#This Row],[Site Name]],LocationsKey[Site Name], LocationsKey[Waterway])</f>
        <v>Avon</v>
      </c>
      <c r="K25" t="s">
        <v>22</v>
      </c>
      <c r="L25">
        <f>_xlfn.XLOOKUP(AllDataCorrected[[#This Row],[Site Name]],Tables!$B$12:$B$78, Tables!C$12:C$78)</f>
        <v>51.991389555555564</v>
      </c>
      <c r="M25">
        <f>_xlfn.XLOOKUP(AllDataCorrected[[#This Row],[Site Name]],Tables!$B$12:$B$78, Tables!D$12:D$78)</f>
        <v>-2.1620794000000005</v>
      </c>
      <c r="N25" t="s">
        <v>23</v>
      </c>
      <c r="O25">
        <v>905</v>
      </c>
      <c r="P25">
        <v>18.399999999999999</v>
      </c>
      <c r="Q25">
        <v>8</v>
      </c>
      <c r="R25" t="str">
        <f>IF(AllDataCorrected[[#This Row],[Nitrate (PPM)]]&gt;2, "4. Very high (&gt;2ppm)", IF(AllDataCorrected[[#This Row],[Nitrate (PPM)]]&gt;1, "3. High (1-2ppm)", IF(AllDataCorrected[[#This Row],[Nitrate (PPM)]]&gt;0.5, "2. Some evidence (0.5-1ppm)", IF(AllDataCorrected[[#This Row],[Nitrate (PPM)]]&gt;=0, "1. No evidence (&lt;0.5ppm)"))))</f>
        <v>4. Very high (&gt;2ppm)</v>
      </c>
      <c r="S25">
        <v>0.99</v>
      </c>
      <c r="T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
        <v>0</v>
      </c>
    </row>
    <row r="26" spans="1:22" x14ac:dyDescent="0.25">
      <c r="A26" t="s">
        <v>74</v>
      </c>
      <c r="B26" s="2">
        <v>45143</v>
      </c>
      <c r="C26" t="str" cm="1">
        <f t="array" ref="C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6">
        <f>YEAR(AllDataCorrected[[#This Row],[Date]])</f>
        <v>2023</v>
      </c>
      <c r="E26" s="1">
        <v>0.64583333333333337</v>
      </c>
      <c r="F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 t="str">
        <f>_xlfn.XLOOKUP(AllDataCorrected[[#This Row],[Location Name]], Locations[Location Name],Locations[Group As])</f>
        <v>Weston-on-Avon</v>
      </c>
      <c r="H26" t="e" vm="2">
        <f>_xlfn.XLOOKUP(AllDataCorrected[[#This Row],[Site Name]],LocationsKey[Site Name],LocationsKey[District])</f>
        <v>#VALUE!</v>
      </c>
      <c r="I26" t="e" vm="6">
        <f>_xlfn.XLOOKUP(AllDataCorrected[[#This Row],[Site Name]],LocationsKey[Site Name],LocationsKey[Town])</f>
        <v>#VALUE!</v>
      </c>
      <c r="J26" t="str">
        <f>_xlfn.XLOOKUP(AllDataCorrected[[#This Row],[Site Name]],LocationsKey[Site Name], LocationsKey[Waterway])</f>
        <v>Avon</v>
      </c>
      <c r="K26" t="s">
        <v>41</v>
      </c>
      <c r="L26">
        <f>_xlfn.XLOOKUP(AllDataCorrected[[#This Row],[Site Name]],Tables!$B$12:$B$78, Tables!C$12:C$78)</f>
        <v>52.167429999999996</v>
      </c>
      <c r="M26">
        <f>_xlfn.XLOOKUP(AllDataCorrected[[#This Row],[Site Name]],Tables!$B$12:$B$78, Tables!D$12:D$78)</f>
        <v>-1.7744752941176474</v>
      </c>
      <c r="N26" t="s">
        <v>23</v>
      </c>
      <c r="O26">
        <v>912</v>
      </c>
      <c r="P26">
        <v>18</v>
      </c>
      <c r="Q26">
        <v>4</v>
      </c>
      <c r="R26" t="str">
        <f>IF(AllDataCorrected[[#This Row],[Nitrate (PPM)]]&gt;2, "4. Very high (&gt;2ppm)", IF(AllDataCorrected[[#This Row],[Nitrate (PPM)]]&gt;1, "3. High (1-2ppm)", IF(AllDataCorrected[[#This Row],[Nitrate (PPM)]]&gt;0.5, "2. Some evidence (0.5-1ppm)", IF(AllDataCorrected[[#This Row],[Nitrate (PPM)]]&gt;=0, "1. No evidence (&lt;0.5ppm)"))))</f>
        <v>4. Very high (&gt;2ppm)</v>
      </c>
      <c r="S26">
        <v>0.78</v>
      </c>
      <c r="T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
        <v>0</v>
      </c>
    </row>
    <row r="27" spans="1:22" x14ac:dyDescent="0.25">
      <c r="A27" t="s">
        <v>75</v>
      </c>
      <c r="B27" s="2">
        <v>45144</v>
      </c>
      <c r="C27" t="str" cm="1">
        <f t="array" ref="C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7">
        <f>YEAR(AllDataCorrected[[#This Row],[Date]])</f>
        <v>2023</v>
      </c>
      <c r="E27" s="1">
        <v>0.47916666666666669</v>
      </c>
      <c r="F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 t="str">
        <f>_xlfn.XLOOKUP(AllDataCorrected[[#This Row],[Location Name]], Locations[Location Name],Locations[Group As])</f>
        <v>Hampton Wood</v>
      </c>
      <c r="H27" t="e" vm="2">
        <f>_xlfn.XLOOKUP(AllDataCorrected[[#This Row],[Site Name]],LocationsKey[Site Name],LocationsKey[District])</f>
        <v>#VALUE!</v>
      </c>
      <c r="I27" t="e" vm="3">
        <f>_xlfn.XLOOKUP(AllDataCorrected[[#This Row],[Site Name]],LocationsKey[Site Name],LocationsKey[Town])</f>
        <v>#VALUE!</v>
      </c>
      <c r="J27" t="str">
        <f>_xlfn.XLOOKUP(AllDataCorrected[[#This Row],[Site Name]],LocationsKey[Site Name], LocationsKey[Waterway])</f>
        <v>Avon</v>
      </c>
      <c r="K27" t="s">
        <v>34</v>
      </c>
      <c r="L27">
        <f>_xlfn.XLOOKUP(AllDataCorrected[[#This Row],[Site Name]],Tables!$B$12:$B$78, Tables!C$12:C$78)</f>
        <v>52.23814999999999</v>
      </c>
      <c r="M27">
        <f>_xlfn.XLOOKUP(AllDataCorrected[[#This Row],[Site Name]],Tables!$B$12:$B$78, Tables!D$12:D$78)</f>
        <v>-1.6245800000000008</v>
      </c>
      <c r="N27" t="s">
        <v>29</v>
      </c>
      <c r="O27">
        <v>778</v>
      </c>
      <c r="P27">
        <v>17.399999999999999</v>
      </c>
      <c r="Q27">
        <v>6</v>
      </c>
      <c r="R27" t="str">
        <f>IF(AllDataCorrected[[#This Row],[Nitrate (PPM)]]&gt;2, "4. Very high (&gt;2ppm)", IF(AllDataCorrected[[#This Row],[Nitrate (PPM)]]&gt;1, "3. High (1-2ppm)", IF(AllDataCorrected[[#This Row],[Nitrate (PPM)]]&gt;0.5, "2. Some evidence (0.5-1ppm)", IF(AllDataCorrected[[#This Row],[Nitrate (PPM)]]&gt;=0, "1. No evidence (&lt;0.5ppm)"))))</f>
        <v>4. Very high (&gt;2ppm)</v>
      </c>
      <c r="S27">
        <v>0.56999999999999995</v>
      </c>
      <c r="T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
        <v>0</v>
      </c>
    </row>
    <row r="28" spans="1:22" x14ac:dyDescent="0.25">
      <c r="A28" t="s">
        <v>76</v>
      </c>
      <c r="B28" s="2">
        <v>45144</v>
      </c>
      <c r="C28" t="str" cm="1">
        <f t="array" ref="C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8">
        <f>YEAR(AllDataCorrected[[#This Row],[Date]])</f>
        <v>2023</v>
      </c>
      <c r="E28" s="1">
        <v>0.54166666666666663</v>
      </c>
      <c r="F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 t="str">
        <f>_xlfn.XLOOKUP(AllDataCorrected[[#This Row],[Location Name]], Locations[Location Name],Locations[Group As])</f>
        <v>Hampton Lucy</v>
      </c>
      <c r="H28" t="e" vm="2">
        <f>_xlfn.XLOOKUP(AllDataCorrected[[#This Row],[Site Name]],LocationsKey[Site Name],LocationsKey[District])</f>
        <v>#VALUE!</v>
      </c>
      <c r="I28" t="e" vm="4">
        <f>_xlfn.XLOOKUP(AllDataCorrected[[#This Row],[Site Name]],LocationsKey[Site Name],LocationsKey[Town])</f>
        <v>#VALUE!</v>
      </c>
      <c r="J28" t="str">
        <f>_xlfn.XLOOKUP(AllDataCorrected[[#This Row],[Site Name]],LocationsKey[Site Name], LocationsKey[Waterway])</f>
        <v>Avon</v>
      </c>
      <c r="K28" t="s">
        <v>37</v>
      </c>
      <c r="L28">
        <f>_xlfn.XLOOKUP(AllDataCorrected[[#This Row],[Site Name]],Tables!$B$12:$B$78, Tables!C$12:C$78)</f>
        <v>52.211679999999973</v>
      </c>
      <c r="M28">
        <f>_xlfn.XLOOKUP(AllDataCorrected[[#This Row],[Site Name]],Tables!$B$12:$B$78, Tables!D$12:D$78)</f>
        <v>-1.6244400000000001</v>
      </c>
      <c r="N28" t="s">
        <v>23</v>
      </c>
      <c r="O28">
        <v>784</v>
      </c>
      <c r="P28">
        <v>17.7</v>
      </c>
      <c r="Q28">
        <v>5</v>
      </c>
      <c r="R28" t="str">
        <f>IF(AllDataCorrected[[#This Row],[Nitrate (PPM)]]&gt;2, "4. Very high (&gt;2ppm)", IF(AllDataCorrected[[#This Row],[Nitrate (PPM)]]&gt;1, "3. High (1-2ppm)", IF(AllDataCorrected[[#This Row],[Nitrate (PPM)]]&gt;0.5, "2. Some evidence (0.5-1ppm)", IF(AllDataCorrected[[#This Row],[Nitrate (PPM)]]&gt;=0, "1. No evidence (&lt;0.5ppm)"))))</f>
        <v>4. Very high (&gt;2ppm)</v>
      </c>
      <c r="S28">
        <v>0.67</v>
      </c>
      <c r="T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
        <v>0</v>
      </c>
    </row>
    <row r="29" spans="1:22" x14ac:dyDescent="0.25">
      <c r="A29" t="s">
        <v>77</v>
      </c>
      <c r="B29" s="2">
        <v>45145</v>
      </c>
      <c r="C29" t="str" cm="1">
        <f t="array" ref="C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9">
        <f>YEAR(AllDataCorrected[[#This Row],[Date]])</f>
        <v>2023</v>
      </c>
      <c r="E29" s="1">
        <v>0.625</v>
      </c>
      <c r="F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 t="str">
        <f>_xlfn.XLOOKUP(AllDataCorrected[[#This Row],[Location Name]], Locations[Location Name],Locations[Group As])</f>
        <v>Welford Boat Station</v>
      </c>
      <c r="H29" t="e" vm="2">
        <f>_xlfn.XLOOKUP(AllDataCorrected[[#This Row],[Site Name]],LocationsKey[Site Name],LocationsKey[District])</f>
        <v>#VALUE!</v>
      </c>
      <c r="I29" t="e" vm="5">
        <f>_xlfn.XLOOKUP(AllDataCorrected[[#This Row],[Site Name]],LocationsKey[Site Name],LocationsKey[Town])</f>
        <v>#VALUE!</v>
      </c>
      <c r="J29" t="str">
        <f>_xlfn.XLOOKUP(AllDataCorrected[[#This Row],[Site Name]],LocationsKey[Site Name], LocationsKey[Waterway])</f>
        <v>Avon</v>
      </c>
      <c r="K29" t="s">
        <v>39</v>
      </c>
      <c r="L29">
        <f>_xlfn.XLOOKUP(AllDataCorrected[[#This Row],[Site Name]],Tables!$B$12:$B$78, Tables!C$12:C$78)</f>
        <v>52.175174684210546</v>
      </c>
      <c r="M29">
        <f>_xlfn.XLOOKUP(AllDataCorrected[[#This Row],[Site Name]],Tables!$B$12:$B$78, Tables!D$12:D$78)</f>
        <v>-1.7918551052631577</v>
      </c>
      <c r="N29" t="s">
        <v>29</v>
      </c>
      <c r="O29">
        <v>848</v>
      </c>
      <c r="P29">
        <v>17.2</v>
      </c>
      <c r="Q29">
        <v>9.5</v>
      </c>
      <c r="R29" t="str">
        <f>IF(AllDataCorrected[[#This Row],[Nitrate (PPM)]]&gt;2, "4. Very high (&gt;2ppm)", IF(AllDataCorrected[[#This Row],[Nitrate (PPM)]]&gt;1, "3. High (1-2ppm)", IF(AllDataCorrected[[#This Row],[Nitrate (PPM)]]&gt;0.5, "2. Some evidence (0.5-1ppm)", IF(AllDataCorrected[[#This Row],[Nitrate (PPM)]]&gt;=0, "1. No evidence (&lt;0.5ppm)"))))</f>
        <v>4. Very high (&gt;2ppm)</v>
      </c>
      <c r="S29">
        <v>0.62</v>
      </c>
      <c r="T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
        <v>0</v>
      </c>
      <c r="V29" t="s">
        <v>78</v>
      </c>
    </row>
    <row r="30" spans="1:22" x14ac:dyDescent="0.25">
      <c r="A30" t="s">
        <v>79</v>
      </c>
      <c r="B30" s="2">
        <v>45145</v>
      </c>
      <c r="C30" t="str" cm="1">
        <f t="array" ref="C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0">
        <f>YEAR(AllDataCorrected[[#This Row],[Date]])</f>
        <v>2023</v>
      </c>
      <c r="E30" s="1">
        <v>0.70833333333333337</v>
      </c>
      <c r="F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 t="str">
        <f>_xlfn.XLOOKUP(AllDataCorrected[[#This Row],[Location Name]], Locations[Location Name],Locations[Group As])</f>
        <v>Barton</v>
      </c>
      <c r="H30" t="e" vm="2">
        <f>_xlfn.XLOOKUP(AllDataCorrected[[#This Row],[Site Name]],LocationsKey[Site Name],LocationsKey[District])</f>
        <v>#VALUE!</v>
      </c>
      <c r="I30" t="str">
        <f>_xlfn.XLOOKUP(AllDataCorrected[[#This Row],[Site Name]],LocationsKey[Site Name],LocationsKey[Town])</f>
        <v>Barton</v>
      </c>
      <c r="J30" t="str">
        <f>_xlfn.XLOOKUP(AllDataCorrected[[#This Row],[Site Name]],LocationsKey[Site Name], LocationsKey[Waterway])</f>
        <v>Avon</v>
      </c>
      <c r="K30" t="s">
        <v>49</v>
      </c>
      <c r="L30">
        <f>_xlfn.XLOOKUP(AllDataCorrected[[#This Row],[Site Name]],Tables!$B$12:$B$78, Tables!C$12:C$78)</f>
        <v>52.16120999999999</v>
      </c>
      <c r="M30">
        <f>_xlfn.XLOOKUP(AllDataCorrected[[#This Row],[Site Name]],Tables!$B$12:$B$78, Tables!D$12:D$78)</f>
        <v>-1.8301499999999999</v>
      </c>
      <c r="N30" t="s">
        <v>29</v>
      </c>
      <c r="O30">
        <v>808</v>
      </c>
      <c r="P30">
        <v>17.399999999999999</v>
      </c>
      <c r="Q30">
        <v>4</v>
      </c>
      <c r="R30" t="str">
        <f>IF(AllDataCorrected[[#This Row],[Nitrate (PPM)]]&gt;2, "4. Very high (&gt;2ppm)", IF(AllDataCorrected[[#This Row],[Nitrate (PPM)]]&gt;1, "3. High (1-2ppm)", IF(AllDataCorrected[[#This Row],[Nitrate (PPM)]]&gt;0.5, "2. Some evidence (0.5-1ppm)", IF(AllDataCorrected[[#This Row],[Nitrate (PPM)]]&gt;=0, "1. No evidence (&lt;0.5ppm)"))))</f>
        <v>4. Very high (&gt;2ppm)</v>
      </c>
      <c r="S30">
        <v>0.57999999999999996</v>
      </c>
      <c r="T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
        <v>0</v>
      </c>
    </row>
    <row r="31" spans="1:22" x14ac:dyDescent="0.25">
      <c r="A31" t="s">
        <v>81</v>
      </c>
      <c r="B31" s="2">
        <v>45146</v>
      </c>
      <c r="C31" t="str" cm="1">
        <f t="array" ref="C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1">
        <f>YEAR(AllDataCorrected[[#This Row],[Date]])</f>
        <v>2023</v>
      </c>
      <c r="E31" s="1">
        <v>0.75208333333333333</v>
      </c>
      <c r="F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31" t="str">
        <f>_xlfn.XLOOKUP(AllDataCorrected[[#This Row],[Location Name]], Locations[Location Name],Locations[Group As])</f>
        <v>Twyning Fleet</v>
      </c>
      <c r="H31" t="e" vm="1">
        <f>_xlfn.XLOOKUP(AllDataCorrected[[#This Row],[Site Name]],LocationsKey[Site Name],LocationsKey[District])</f>
        <v>#VALUE!</v>
      </c>
      <c r="I31" t="str">
        <f>_xlfn.XLOOKUP(AllDataCorrected[[#This Row],[Site Name]],LocationsKey[Site Name],LocationsKey[Town])</f>
        <v>Twyning Green</v>
      </c>
      <c r="J31" t="str">
        <f>_xlfn.XLOOKUP(AllDataCorrected[[#This Row],[Site Name]],LocationsKey[Site Name], LocationsKey[Waterway])</f>
        <v>Avon</v>
      </c>
      <c r="K31" t="s">
        <v>54</v>
      </c>
      <c r="L31">
        <f>_xlfn.XLOOKUP(AllDataCorrected[[#This Row],[Site Name]],Tables!$B$12:$B$78, Tables!C$12:C$78)</f>
        <v>52.027190153846163</v>
      </c>
      <c r="M31">
        <f>_xlfn.XLOOKUP(AllDataCorrected[[#This Row],[Site Name]],Tables!$B$12:$B$78, Tables!D$12:D$78)</f>
        <v>-2.1406086923076924</v>
      </c>
      <c r="N31" t="s">
        <v>29</v>
      </c>
      <c r="O31">
        <v>926</v>
      </c>
      <c r="P31">
        <v>18.399999999999999</v>
      </c>
      <c r="Q31">
        <v>10</v>
      </c>
      <c r="R31" t="str">
        <f>IF(AllDataCorrected[[#This Row],[Nitrate (PPM)]]&gt;2, "4. Very high (&gt;2ppm)", IF(AllDataCorrected[[#This Row],[Nitrate (PPM)]]&gt;1, "3. High (1-2ppm)", IF(AllDataCorrected[[#This Row],[Nitrate (PPM)]]&gt;0.5, "2. Some evidence (0.5-1ppm)", IF(AllDataCorrected[[#This Row],[Nitrate (PPM)]]&gt;=0, "1. No evidence (&lt;0.5ppm)"))))</f>
        <v>4. Very high (&gt;2ppm)</v>
      </c>
      <c r="S31">
        <v>1.17</v>
      </c>
      <c r="T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
        <v>0</v>
      </c>
      <c r="V31" t="s">
        <v>82</v>
      </c>
    </row>
    <row r="32" spans="1:22" x14ac:dyDescent="0.25">
      <c r="A32" t="s">
        <v>83</v>
      </c>
      <c r="B32" s="2">
        <v>45148</v>
      </c>
      <c r="C32" t="str" cm="1">
        <f t="array" ref="C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2">
        <f>YEAR(AllDataCorrected[[#This Row],[Date]])</f>
        <v>2023</v>
      </c>
      <c r="E32" s="1">
        <v>0.43125000000000002</v>
      </c>
      <c r="F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 t="str">
        <f>_xlfn.XLOOKUP(AllDataCorrected[[#This Row],[Location Name]], Locations[Location Name],Locations[Group As])</f>
        <v>Swilgate</v>
      </c>
      <c r="H32" t="e" vm="1">
        <f>_xlfn.XLOOKUP(AllDataCorrected[[#This Row],[Site Name]],LocationsKey[Site Name],LocationsKey[District])</f>
        <v>#VALUE!</v>
      </c>
      <c r="I32" t="e" vm="1">
        <f>_xlfn.XLOOKUP(AllDataCorrected[[#This Row],[Site Name]],LocationsKey[Site Name],LocationsKey[Town])</f>
        <v>#VALUE!</v>
      </c>
      <c r="J32" t="str">
        <f>_xlfn.XLOOKUP(AllDataCorrected[[#This Row],[Site Name]],LocationsKey[Site Name], LocationsKey[Waterway])</f>
        <v>Swilgate</v>
      </c>
      <c r="K32" t="s">
        <v>84</v>
      </c>
      <c r="L32">
        <f>_xlfn.XLOOKUP(AllDataCorrected[[#This Row],[Site Name]],Tables!$B$12:$B$78, Tables!C$12:C$78)</f>
        <v>51.9885442</v>
      </c>
      <c r="M32">
        <f>_xlfn.XLOOKUP(AllDataCorrected[[#This Row],[Site Name]],Tables!$B$12:$B$78, Tables!D$12:D$78)</f>
        <v>-2.1639010000000001</v>
      </c>
      <c r="N32" t="s">
        <v>23</v>
      </c>
      <c r="O32">
        <v>806</v>
      </c>
      <c r="P32">
        <v>18.600000000000001</v>
      </c>
      <c r="Q32">
        <v>8</v>
      </c>
      <c r="R32" t="str">
        <f>IF(AllDataCorrected[[#This Row],[Nitrate (PPM)]]&gt;2, "4. Very high (&gt;2ppm)", IF(AllDataCorrected[[#This Row],[Nitrate (PPM)]]&gt;1, "3. High (1-2ppm)", IF(AllDataCorrected[[#This Row],[Nitrate (PPM)]]&gt;0.5, "2. Some evidence (0.5-1ppm)", IF(AllDataCorrected[[#This Row],[Nitrate (PPM)]]&gt;=0, "1. No evidence (&lt;0.5ppm)"))))</f>
        <v>4. Very high (&gt;2ppm)</v>
      </c>
      <c r="S32">
        <v>0.76</v>
      </c>
      <c r="T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
        <v>0</v>
      </c>
    </row>
    <row r="33" spans="1:22" x14ac:dyDescent="0.25">
      <c r="A33" t="s">
        <v>85</v>
      </c>
      <c r="B33" s="2">
        <v>45150</v>
      </c>
      <c r="C33" t="str" cm="1">
        <f t="array" ref="C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3">
        <f>YEAR(AllDataCorrected[[#This Row],[Date]])</f>
        <v>2023</v>
      </c>
      <c r="E33" s="1">
        <v>0.43055555555555558</v>
      </c>
      <c r="F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 t="str">
        <f>_xlfn.XLOOKUP(AllDataCorrected[[#This Row],[Location Name]], Locations[Location Name],Locations[Group As])</f>
        <v>Pitch 16</v>
      </c>
      <c r="H33" t="e" vm="2">
        <f>_xlfn.XLOOKUP(AllDataCorrected[[#This Row],[Site Name]],LocationsKey[Site Name],LocationsKey[District])</f>
        <v>#VALUE!</v>
      </c>
      <c r="I33" t="e" vm="7">
        <f>_xlfn.XLOOKUP(AllDataCorrected[[#This Row],[Site Name]],LocationsKey[Site Name],LocationsKey[Town])</f>
        <v>#VALUE!</v>
      </c>
      <c r="J33" t="str">
        <f>_xlfn.XLOOKUP(AllDataCorrected[[#This Row],[Site Name]],LocationsKey[Site Name], LocationsKey[Waterway])</f>
        <v>Avon</v>
      </c>
      <c r="K33" t="s">
        <v>69</v>
      </c>
      <c r="L33">
        <f>_xlfn.XLOOKUP(AllDataCorrected[[#This Row],[Site Name]],Tables!$B$12:$B$78, Tables!C$12:C$78)</f>
        <v>52.17355294117646</v>
      </c>
      <c r="M33">
        <f>_xlfn.XLOOKUP(AllDataCorrected[[#This Row],[Site Name]],Tables!$B$12:$B$78, Tables!D$12:D$78)</f>
        <v>-1.7433199411764708</v>
      </c>
      <c r="N33" t="s">
        <v>29</v>
      </c>
      <c r="O33">
        <v>929</v>
      </c>
      <c r="P33">
        <v>20.2</v>
      </c>
      <c r="Q33">
        <v>10</v>
      </c>
      <c r="R33" t="str">
        <f>IF(AllDataCorrected[[#This Row],[Nitrate (PPM)]]&gt;2, "4. Very high (&gt;2ppm)", IF(AllDataCorrected[[#This Row],[Nitrate (PPM)]]&gt;1, "3. High (1-2ppm)", IF(AllDataCorrected[[#This Row],[Nitrate (PPM)]]&gt;0.5, "2. Some evidence (0.5-1ppm)", IF(AllDataCorrected[[#This Row],[Nitrate (PPM)]]&gt;=0, "1. No evidence (&lt;0.5ppm)"))))</f>
        <v>4. Very high (&gt;2ppm)</v>
      </c>
      <c r="S33">
        <v>0.51</v>
      </c>
      <c r="T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
        <v>0.59</v>
      </c>
      <c r="V33" t="s">
        <v>86</v>
      </c>
    </row>
    <row r="34" spans="1:22" x14ac:dyDescent="0.25">
      <c r="A34" t="s">
        <v>87</v>
      </c>
      <c r="B34" s="2">
        <v>45150</v>
      </c>
      <c r="C34" t="str" cm="1">
        <f t="array" ref="C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4">
        <f>YEAR(AllDataCorrected[[#This Row],[Date]])</f>
        <v>2023</v>
      </c>
      <c r="E34" s="1">
        <v>0.44861111111111113</v>
      </c>
      <c r="F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 t="str">
        <f>_xlfn.XLOOKUP(AllDataCorrected[[#This Row],[Location Name]], Locations[Location Name],Locations[Group As])</f>
        <v>Avonbank Drive</v>
      </c>
      <c r="H34" t="e" vm="2">
        <f>_xlfn.XLOOKUP(AllDataCorrected[[#This Row],[Site Name]],LocationsKey[Site Name],LocationsKey[District])</f>
        <v>#VALUE!</v>
      </c>
      <c r="I34" t="e" vm="7">
        <f>_xlfn.XLOOKUP(AllDataCorrected[[#This Row],[Site Name]],LocationsKey[Site Name],LocationsKey[Town])</f>
        <v>#VALUE!</v>
      </c>
      <c r="J34" t="str">
        <f>_xlfn.XLOOKUP(AllDataCorrected[[#This Row],[Site Name]],LocationsKey[Site Name], LocationsKey[Waterway])</f>
        <v>Avon</v>
      </c>
      <c r="K34" t="s">
        <v>65</v>
      </c>
      <c r="L34">
        <f>_xlfn.XLOOKUP(AllDataCorrected[[#This Row],[Site Name]],Tables!$B$12:$B$78, Tables!C$12:C$78)</f>
        <v>52.177054657142854</v>
      </c>
      <c r="M34">
        <f>_xlfn.XLOOKUP(AllDataCorrected[[#This Row],[Site Name]],Tables!$B$12:$B$78, Tables!D$12:D$78)</f>
        <v>-1.7358669999999996</v>
      </c>
      <c r="N34" t="s">
        <v>66</v>
      </c>
      <c r="O34">
        <v>951</v>
      </c>
      <c r="P34">
        <v>20</v>
      </c>
      <c r="Q34">
        <v>10</v>
      </c>
      <c r="R34" t="str">
        <f>IF(AllDataCorrected[[#This Row],[Nitrate (PPM)]]&gt;2, "4. Very high (&gt;2ppm)", IF(AllDataCorrected[[#This Row],[Nitrate (PPM)]]&gt;1, "3. High (1-2ppm)", IF(AllDataCorrected[[#This Row],[Nitrate (PPM)]]&gt;0.5, "2. Some evidence (0.5-1ppm)", IF(AllDataCorrected[[#This Row],[Nitrate (PPM)]]&gt;=0, "1. No evidence (&lt;0.5ppm)"))))</f>
        <v>4. Very high (&gt;2ppm)</v>
      </c>
      <c r="S34">
        <v>0.54</v>
      </c>
      <c r="T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
        <v>0.59</v>
      </c>
      <c r="V34" t="s">
        <v>88</v>
      </c>
    </row>
    <row r="35" spans="1:22" x14ac:dyDescent="0.25">
      <c r="A35" t="s">
        <v>89</v>
      </c>
      <c r="B35" s="2">
        <v>45150</v>
      </c>
      <c r="C35" t="str" cm="1">
        <f t="array" ref="C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5">
        <f>YEAR(AllDataCorrected[[#This Row],[Date]])</f>
        <v>2023</v>
      </c>
      <c r="E35" s="1">
        <v>0.64583333333333337</v>
      </c>
      <c r="F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 t="str">
        <f>_xlfn.XLOOKUP(AllDataCorrected[[#This Row],[Location Name]], Locations[Location Name],Locations[Group As])</f>
        <v>Carrant Bredon Rd</v>
      </c>
      <c r="H35" t="e" vm="1">
        <f>_xlfn.XLOOKUP(AllDataCorrected[[#This Row],[Site Name]],LocationsKey[Site Name],LocationsKey[District])</f>
        <v>#VALUE!</v>
      </c>
      <c r="I35" t="e" vm="1">
        <f>_xlfn.XLOOKUP(AllDataCorrected[[#This Row],[Site Name]],LocationsKey[Site Name],LocationsKey[Town])</f>
        <v>#VALUE!</v>
      </c>
      <c r="J35" t="str">
        <f>_xlfn.XLOOKUP(AllDataCorrected[[#This Row],[Site Name]],LocationsKey[Site Name], LocationsKey[Waterway])</f>
        <v>Carrant</v>
      </c>
      <c r="K35" t="s">
        <v>90</v>
      </c>
      <c r="L35">
        <f>_xlfn.XLOOKUP(AllDataCorrected[[#This Row],[Site Name]],Tables!$B$12:$B$78, Tables!C$12:C$78)</f>
        <v>51.996416567567572</v>
      </c>
      <c r="M35">
        <f>_xlfn.XLOOKUP(AllDataCorrected[[#This Row],[Site Name]],Tables!$B$12:$B$78, Tables!D$12:D$78)</f>
        <v>-2.1556626756756749</v>
      </c>
      <c r="N35" t="s">
        <v>23</v>
      </c>
      <c r="O35">
        <v>684</v>
      </c>
      <c r="P35">
        <v>19.399999999999999</v>
      </c>
      <c r="Q35">
        <v>7</v>
      </c>
      <c r="R35" t="str">
        <f>IF(AllDataCorrected[[#This Row],[Nitrate (PPM)]]&gt;2, "4. Very high (&gt;2ppm)", IF(AllDataCorrected[[#This Row],[Nitrate (PPM)]]&gt;1, "3. High (1-2ppm)", IF(AllDataCorrected[[#This Row],[Nitrate (PPM)]]&gt;0.5, "2. Some evidence (0.5-1ppm)", IF(AllDataCorrected[[#This Row],[Nitrate (PPM)]]&gt;=0, "1. No evidence (&lt;0.5ppm)"))))</f>
        <v>4. Very high (&gt;2ppm)</v>
      </c>
      <c r="S35">
        <v>0.64</v>
      </c>
      <c r="T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
        <v>0</v>
      </c>
    </row>
    <row r="36" spans="1:22" x14ac:dyDescent="0.25">
      <c r="A36" t="s">
        <v>91</v>
      </c>
      <c r="B36" s="2">
        <v>45150</v>
      </c>
      <c r="C36" t="str" cm="1">
        <f t="array" ref="C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6">
        <f>YEAR(AllDataCorrected[[#This Row],[Date]])</f>
        <v>2023</v>
      </c>
      <c r="E36" s="1">
        <v>0.69791666666666663</v>
      </c>
      <c r="F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 t="str">
        <f>_xlfn.XLOOKUP(AllDataCorrected[[#This Row],[Location Name]], Locations[Location Name],Locations[Group As])</f>
        <v>Swilgate</v>
      </c>
      <c r="H36" t="e" vm="1">
        <f>_xlfn.XLOOKUP(AllDataCorrected[[#This Row],[Site Name]],LocationsKey[Site Name],LocationsKey[District])</f>
        <v>#VALUE!</v>
      </c>
      <c r="I36" t="e" vm="1">
        <f>_xlfn.XLOOKUP(AllDataCorrected[[#This Row],[Site Name]],LocationsKey[Site Name],LocationsKey[Town])</f>
        <v>#VALUE!</v>
      </c>
      <c r="J36" t="str">
        <f>_xlfn.XLOOKUP(AllDataCorrected[[#This Row],[Site Name]],LocationsKey[Site Name], LocationsKey[Waterway])</f>
        <v>Swilgate</v>
      </c>
      <c r="K36" t="s">
        <v>84</v>
      </c>
      <c r="L36">
        <f>_xlfn.XLOOKUP(AllDataCorrected[[#This Row],[Site Name]],Tables!$B$12:$B$78, Tables!C$12:C$78)</f>
        <v>51.9885442</v>
      </c>
      <c r="M36">
        <f>_xlfn.XLOOKUP(AllDataCorrected[[#This Row],[Site Name]],Tables!$B$12:$B$78, Tables!D$12:D$78)</f>
        <v>-2.1639010000000001</v>
      </c>
      <c r="N36" t="s">
        <v>23</v>
      </c>
      <c r="O36">
        <v>989</v>
      </c>
      <c r="P36">
        <v>19.5</v>
      </c>
      <c r="Q36">
        <v>7</v>
      </c>
      <c r="R36" t="str">
        <f>IF(AllDataCorrected[[#This Row],[Nitrate (PPM)]]&gt;2, "4. Very high (&gt;2ppm)", IF(AllDataCorrected[[#This Row],[Nitrate (PPM)]]&gt;1, "3. High (1-2ppm)", IF(AllDataCorrected[[#This Row],[Nitrate (PPM)]]&gt;0.5, "2. Some evidence (0.5-1ppm)", IF(AllDataCorrected[[#This Row],[Nitrate (PPM)]]&gt;=0, "1. No evidence (&lt;0.5ppm)"))))</f>
        <v>4. Very high (&gt;2ppm)</v>
      </c>
      <c r="S36">
        <v>0.8</v>
      </c>
      <c r="T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
        <v>0</v>
      </c>
    </row>
    <row r="37" spans="1:22" x14ac:dyDescent="0.25">
      <c r="A37" t="s">
        <v>92</v>
      </c>
      <c r="B37" s="2">
        <v>45151</v>
      </c>
      <c r="C37" t="str" cm="1">
        <f t="array" ref="C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7">
        <f>YEAR(AllDataCorrected[[#This Row],[Date]])</f>
        <v>2023</v>
      </c>
      <c r="E37" s="1">
        <v>0.46875</v>
      </c>
      <c r="F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 t="str">
        <f>_xlfn.XLOOKUP(AllDataCorrected[[#This Row],[Location Name]], Locations[Location Name],Locations[Group As])</f>
        <v>Hampton Wood</v>
      </c>
      <c r="H37" t="e" vm="2">
        <f>_xlfn.XLOOKUP(AllDataCorrected[[#This Row],[Site Name]],LocationsKey[Site Name],LocationsKey[District])</f>
        <v>#VALUE!</v>
      </c>
      <c r="I37" t="e" vm="3">
        <f>_xlfn.XLOOKUP(AllDataCorrected[[#This Row],[Site Name]],LocationsKey[Site Name],LocationsKey[Town])</f>
        <v>#VALUE!</v>
      </c>
      <c r="J37" t="str">
        <f>_xlfn.XLOOKUP(AllDataCorrected[[#This Row],[Site Name]],LocationsKey[Site Name], LocationsKey[Waterway])</f>
        <v>Avon</v>
      </c>
      <c r="K37" t="s">
        <v>34</v>
      </c>
      <c r="L37">
        <f>_xlfn.XLOOKUP(AllDataCorrected[[#This Row],[Site Name]],Tables!$B$12:$B$78, Tables!C$12:C$78)</f>
        <v>52.23814999999999</v>
      </c>
      <c r="M37">
        <f>_xlfn.XLOOKUP(AllDataCorrected[[#This Row],[Site Name]],Tables!$B$12:$B$78, Tables!D$12:D$78)</f>
        <v>-1.6245800000000008</v>
      </c>
      <c r="N37" t="s">
        <v>29</v>
      </c>
      <c r="O37">
        <v>888</v>
      </c>
      <c r="P37">
        <v>18.600000000000001</v>
      </c>
      <c r="Q37">
        <v>6</v>
      </c>
      <c r="R37" t="str">
        <f>IF(AllDataCorrected[[#This Row],[Nitrate (PPM)]]&gt;2, "4. Very high (&gt;2ppm)", IF(AllDataCorrected[[#This Row],[Nitrate (PPM)]]&gt;1, "3. High (1-2ppm)", IF(AllDataCorrected[[#This Row],[Nitrate (PPM)]]&gt;0.5, "2. Some evidence (0.5-1ppm)", IF(AllDataCorrected[[#This Row],[Nitrate (PPM)]]&gt;=0, "1. No evidence (&lt;0.5ppm)"))))</f>
        <v>4. Very high (&gt;2ppm)</v>
      </c>
      <c r="S37">
        <v>0.57999999999999996</v>
      </c>
      <c r="T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
        <v>0</v>
      </c>
    </row>
    <row r="38" spans="1:22" x14ac:dyDescent="0.25">
      <c r="A38" t="s">
        <v>93</v>
      </c>
      <c r="B38" s="2">
        <v>45151</v>
      </c>
      <c r="C38" t="str" cm="1">
        <f t="array" ref="C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8">
        <f>YEAR(AllDataCorrected[[#This Row],[Date]])</f>
        <v>2023</v>
      </c>
      <c r="E38" s="1">
        <v>0.52083333333333337</v>
      </c>
      <c r="F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 t="str">
        <f>_xlfn.XLOOKUP(AllDataCorrected[[#This Row],[Location Name]], Locations[Location Name],Locations[Group As])</f>
        <v>Hampton Lucy</v>
      </c>
      <c r="H38" t="e" vm="2">
        <f>_xlfn.XLOOKUP(AllDataCorrected[[#This Row],[Site Name]],LocationsKey[Site Name],LocationsKey[District])</f>
        <v>#VALUE!</v>
      </c>
      <c r="I38" t="e" vm="4">
        <f>_xlfn.XLOOKUP(AllDataCorrected[[#This Row],[Site Name]],LocationsKey[Site Name],LocationsKey[Town])</f>
        <v>#VALUE!</v>
      </c>
      <c r="J38" t="str">
        <f>_xlfn.XLOOKUP(AllDataCorrected[[#This Row],[Site Name]],LocationsKey[Site Name], LocationsKey[Waterway])</f>
        <v>Avon</v>
      </c>
      <c r="K38" t="s">
        <v>37</v>
      </c>
      <c r="L38">
        <f>_xlfn.XLOOKUP(AllDataCorrected[[#This Row],[Site Name]],Tables!$B$12:$B$78, Tables!C$12:C$78)</f>
        <v>52.211679999999973</v>
      </c>
      <c r="M38">
        <f>_xlfn.XLOOKUP(AllDataCorrected[[#This Row],[Site Name]],Tables!$B$12:$B$78, Tables!D$12:D$78)</f>
        <v>-1.6244400000000001</v>
      </c>
      <c r="N38" t="s">
        <v>23</v>
      </c>
      <c r="O38">
        <v>868</v>
      </c>
      <c r="P38">
        <v>20</v>
      </c>
      <c r="Q38">
        <v>6</v>
      </c>
      <c r="R38" t="str">
        <f>IF(AllDataCorrected[[#This Row],[Nitrate (PPM)]]&gt;2, "4. Very high (&gt;2ppm)", IF(AllDataCorrected[[#This Row],[Nitrate (PPM)]]&gt;1, "3. High (1-2ppm)", IF(AllDataCorrected[[#This Row],[Nitrate (PPM)]]&gt;0.5, "2. Some evidence (0.5-1ppm)", IF(AllDataCorrected[[#This Row],[Nitrate (PPM)]]&gt;=0, "1. No evidence (&lt;0.5ppm)"))))</f>
        <v>4. Very high (&gt;2ppm)</v>
      </c>
      <c r="S38">
        <v>0.61</v>
      </c>
      <c r="T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
        <v>0</v>
      </c>
    </row>
    <row r="39" spans="1:22" x14ac:dyDescent="0.25">
      <c r="A39" t="s">
        <v>94</v>
      </c>
      <c r="B39" s="2">
        <v>45151</v>
      </c>
      <c r="C39" t="str" cm="1">
        <f t="array" ref="C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9">
        <f>YEAR(AllDataCorrected[[#This Row],[Date]])</f>
        <v>2023</v>
      </c>
      <c r="E39" s="1">
        <v>0.63194444444444442</v>
      </c>
      <c r="F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 t="str">
        <f>_xlfn.XLOOKUP(AllDataCorrected[[#This Row],[Location Name]], Locations[Location Name],Locations[Group As])</f>
        <v>Abbey Mill</v>
      </c>
      <c r="H39" t="e" vm="1">
        <f>_xlfn.XLOOKUP(AllDataCorrected[[#This Row],[Site Name]],LocationsKey[Site Name],LocationsKey[District])</f>
        <v>#VALUE!</v>
      </c>
      <c r="I39" t="e" vm="1">
        <f>_xlfn.XLOOKUP(AllDataCorrected[[#This Row],[Site Name]],LocationsKey[Site Name],LocationsKey[Town])</f>
        <v>#VALUE!</v>
      </c>
      <c r="J39" t="str">
        <f>_xlfn.XLOOKUP(AllDataCorrected[[#This Row],[Site Name]],LocationsKey[Site Name], LocationsKey[Waterway])</f>
        <v>Avon</v>
      </c>
      <c r="K39" t="s">
        <v>25</v>
      </c>
      <c r="L39">
        <f>_xlfn.XLOOKUP(AllDataCorrected[[#This Row],[Site Name]],Tables!$B$12:$B$78, Tables!C$12:C$78)</f>
        <v>51.991389555555564</v>
      </c>
      <c r="M39">
        <f>_xlfn.XLOOKUP(AllDataCorrected[[#This Row],[Site Name]],Tables!$B$12:$B$78, Tables!D$12:D$78)</f>
        <v>-2.1620794000000005</v>
      </c>
      <c r="N39" t="s">
        <v>23</v>
      </c>
      <c r="O39">
        <v>896</v>
      </c>
      <c r="P39">
        <v>19.7</v>
      </c>
      <c r="Q39">
        <v>8</v>
      </c>
      <c r="R39" t="str">
        <f>IF(AllDataCorrected[[#This Row],[Nitrate (PPM)]]&gt;2, "4. Very high (&gt;2ppm)", IF(AllDataCorrected[[#This Row],[Nitrate (PPM)]]&gt;1, "3. High (1-2ppm)", IF(AllDataCorrected[[#This Row],[Nitrate (PPM)]]&gt;0.5, "2. Some evidence (0.5-1ppm)", IF(AllDataCorrected[[#This Row],[Nitrate (PPM)]]&gt;=0, "1. No evidence (&lt;0.5ppm)"))))</f>
        <v>4. Very high (&gt;2ppm)</v>
      </c>
      <c r="S39">
        <v>0.91</v>
      </c>
      <c r="T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
        <v>0</v>
      </c>
    </row>
    <row r="40" spans="1:22" x14ac:dyDescent="0.25">
      <c r="A40" t="s">
        <v>95</v>
      </c>
      <c r="B40" s="2">
        <v>45151</v>
      </c>
      <c r="C40" t="str" cm="1">
        <f t="array" ref="C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0">
        <f>YEAR(AllDataCorrected[[#This Row],[Date]])</f>
        <v>2023</v>
      </c>
      <c r="E40" s="1">
        <v>0.79166666666666663</v>
      </c>
      <c r="F4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0" t="str">
        <f>_xlfn.XLOOKUP(AllDataCorrected[[#This Row],[Location Name]], Locations[Location Name],Locations[Group As])</f>
        <v>Welford Boat Station</v>
      </c>
      <c r="H40" t="e" vm="2">
        <f>_xlfn.XLOOKUP(AllDataCorrected[[#This Row],[Site Name]],LocationsKey[Site Name],LocationsKey[District])</f>
        <v>#VALUE!</v>
      </c>
      <c r="I40" t="e" vm="5">
        <f>_xlfn.XLOOKUP(AllDataCorrected[[#This Row],[Site Name]],LocationsKey[Site Name],LocationsKey[Town])</f>
        <v>#VALUE!</v>
      </c>
      <c r="J40" t="str">
        <f>_xlfn.XLOOKUP(AllDataCorrected[[#This Row],[Site Name]],LocationsKey[Site Name], LocationsKey[Waterway])</f>
        <v>Avon</v>
      </c>
      <c r="K40" t="s">
        <v>39</v>
      </c>
      <c r="L40">
        <f>_xlfn.XLOOKUP(AllDataCorrected[[#This Row],[Site Name]],Tables!$B$12:$B$78, Tables!C$12:C$78)</f>
        <v>52.175174684210546</v>
      </c>
      <c r="M40">
        <f>_xlfn.XLOOKUP(AllDataCorrected[[#This Row],[Site Name]],Tables!$B$12:$B$78, Tables!D$12:D$78)</f>
        <v>-1.7918551052631577</v>
      </c>
      <c r="N40" t="s">
        <v>29</v>
      </c>
      <c r="O40">
        <v>952</v>
      </c>
      <c r="P40">
        <v>19.3</v>
      </c>
      <c r="Q40">
        <v>9</v>
      </c>
      <c r="R40" t="str">
        <f>IF(AllDataCorrected[[#This Row],[Nitrate (PPM)]]&gt;2, "4. Very high (&gt;2ppm)", IF(AllDataCorrected[[#This Row],[Nitrate (PPM)]]&gt;1, "3. High (1-2ppm)", IF(AllDataCorrected[[#This Row],[Nitrate (PPM)]]&gt;0.5, "2. Some evidence (0.5-1ppm)", IF(AllDataCorrected[[#This Row],[Nitrate (PPM)]]&gt;=0, "1. No evidence (&lt;0.5ppm)"))))</f>
        <v>4. Very high (&gt;2ppm)</v>
      </c>
      <c r="S40">
        <v>0.61</v>
      </c>
      <c r="T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
        <v>0</v>
      </c>
      <c r="V40" t="s">
        <v>96</v>
      </c>
    </row>
    <row r="41" spans="1:22" x14ac:dyDescent="0.25">
      <c r="A41" t="s">
        <v>97</v>
      </c>
      <c r="B41" s="2">
        <v>45152</v>
      </c>
      <c r="C41" t="str" cm="1">
        <f t="array" ref="C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1">
        <f>YEAR(AllDataCorrected[[#This Row],[Date]])</f>
        <v>2023</v>
      </c>
      <c r="E41" s="1">
        <v>0.5</v>
      </c>
      <c r="F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 t="str">
        <f>_xlfn.XLOOKUP(AllDataCorrected[[#This Row],[Location Name]], Locations[Location Name],Locations[Group As])</f>
        <v>Barton</v>
      </c>
      <c r="H41" t="e" vm="2">
        <f>_xlfn.XLOOKUP(AllDataCorrected[[#This Row],[Site Name]],LocationsKey[Site Name],LocationsKey[District])</f>
        <v>#VALUE!</v>
      </c>
      <c r="I41" t="str">
        <f>_xlfn.XLOOKUP(AllDataCorrected[[#This Row],[Site Name]],LocationsKey[Site Name],LocationsKey[Town])</f>
        <v>Barton</v>
      </c>
      <c r="J41" t="str">
        <f>_xlfn.XLOOKUP(AllDataCorrected[[#This Row],[Site Name]],LocationsKey[Site Name], LocationsKey[Waterway])</f>
        <v>Avon</v>
      </c>
      <c r="K41" t="s">
        <v>49</v>
      </c>
      <c r="L41">
        <f>_xlfn.XLOOKUP(AllDataCorrected[[#This Row],[Site Name]],Tables!$B$12:$B$78, Tables!C$12:C$78)</f>
        <v>52.16120999999999</v>
      </c>
      <c r="M41">
        <f>_xlfn.XLOOKUP(AllDataCorrected[[#This Row],[Site Name]],Tables!$B$12:$B$78, Tables!D$12:D$78)</f>
        <v>-1.8301499999999999</v>
      </c>
      <c r="N41" t="s">
        <v>29</v>
      </c>
      <c r="O41">
        <v>932</v>
      </c>
      <c r="P41">
        <v>18.399999999999999</v>
      </c>
      <c r="Q41">
        <v>6</v>
      </c>
      <c r="R41" t="str">
        <f>IF(AllDataCorrected[[#This Row],[Nitrate (PPM)]]&gt;2, "4. Very high (&gt;2ppm)", IF(AllDataCorrected[[#This Row],[Nitrate (PPM)]]&gt;1, "3. High (1-2ppm)", IF(AllDataCorrected[[#This Row],[Nitrate (PPM)]]&gt;0.5, "2. Some evidence (0.5-1ppm)", IF(AllDataCorrected[[#This Row],[Nitrate (PPM)]]&gt;=0, "1. No evidence (&lt;0.5ppm)"))))</f>
        <v>4. Very high (&gt;2ppm)</v>
      </c>
      <c r="S41">
        <v>0.73</v>
      </c>
      <c r="T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
        <v>0</v>
      </c>
    </row>
    <row r="42" spans="1:22" x14ac:dyDescent="0.25">
      <c r="A42" t="s">
        <v>98</v>
      </c>
      <c r="B42" s="2">
        <v>45152</v>
      </c>
      <c r="C42" t="str" cm="1">
        <f t="array" ref="C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2">
        <f>YEAR(AllDataCorrected[[#This Row],[Date]])</f>
        <v>2023</v>
      </c>
      <c r="E42" s="1">
        <v>0.63194444444444442</v>
      </c>
      <c r="F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 t="str">
        <f>_xlfn.XLOOKUP(AllDataCorrected[[#This Row],[Location Name]], Locations[Location Name],Locations[Group As])</f>
        <v>Weston-on-Avon</v>
      </c>
      <c r="H42" t="e" vm="2">
        <f>_xlfn.XLOOKUP(AllDataCorrected[[#This Row],[Site Name]],LocationsKey[Site Name],LocationsKey[District])</f>
        <v>#VALUE!</v>
      </c>
      <c r="I42" t="e" vm="6">
        <f>_xlfn.XLOOKUP(AllDataCorrected[[#This Row],[Site Name]],LocationsKey[Site Name],LocationsKey[Town])</f>
        <v>#VALUE!</v>
      </c>
      <c r="J42" t="str">
        <f>_xlfn.XLOOKUP(AllDataCorrected[[#This Row],[Site Name]],LocationsKey[Site Name], LocationsKey[Waterway])</f>
        <v>Avon</v>
      </c>
      <c r="K42" t="s">
        <v>41</v>
      </c>
      <c r="L42">
        <f>_xlfn.XLOOKUP(AllDataCorrected[[#This Row],[Site Name]],Tables!$B$12:$B$78, Tables!C$12:C$78)</f>
        <v>52.167429999999996</v>
      </c>
      <c r="M42">
        <f>_xlfn.XLOOKUP(AllDataCorrected[[#This Row],[Site Name]],Tables!$B$12:$B$78, Tables!D$12:D$78)</f>
        <v>-1.7744752941176474</v>
      </c>
      <c r="N42" t="s">
        <v>29</v>
      </c>
      <c r="O42">
        <v>948</v>
      </c>
      <c r="P42">
        <v>20</v>
      </c>
      <c r="Q42">
        <v>5</v>
      </c>
      <c r="R42" t="str">
        <f>IF(AllDataCorrected[[#This Row],[Nitrate (PPM)]]&gt;2, "4. Very high (&gt;2ppm)", IF(AllDataCorrected[[#This Row],[Nitrate (PPM)]]&gt;1, "3. High (1-2ppm)", IF(AllDataCorrected[[#This Row],[Nitrate (PPM)]]&gt;0.5, "2. Some evidence (0.5-1ppm)", IF(AllDataCorrected[[#This Row],[Nitrate (PPM)]]&gt;=0, "1. No evidence (&lt;0.5ppm)"))))</f>
        <v>4. Very high (&gt;2ppm)</v>
      </c>
      <c r="S42">
        <v>0.84</v>
      </c>
      <c r="T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
        <v>0</v>
      </c>
    </row>
    <row r="43" spans="1:22" x14ac:dyDescent="0.25">
      <c r="A43" t="s">
        <v>99</v>
      </c>
      <c r="B43" s="2">
        <v>45154</v>
      </c>
      <c r="C43" t="str" cm="1">
        <f t="array" ref="C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3">
        <f>YEAR(AllDataCorrected[[#This Row],[Date]])</f>
        <v>2023</v>
      </c>
      <c r="E43" s="1">
        <v>0.81388888888888888</v>
      </c>
      <c r="F4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3" t="str">
        <f>_xlfn.XLOOKUP(AllDataCorrected[[#This Row],[Location Name]], Locations[Location Name],Locations[Group As])</f>
        <v>Abbey Mill</v>
      </c>
      <c r="H43" t="e" vm="1">
        <f>_xlfn.XLOOKUP(AllDataCorrected[[#This Row],[Site Name]],LocationsKey[Site Name],LocationsKey[District])</f>
        <v>#VALUE!</v>
      </c>
      <c r="I43" t="e" vm="1">
        <f>_xlfn.XLOOKUP(AllDataCorrected[[#This Row],[Site Name]],LocationsKey[Site Name],LocationsKey[Town])</f>
        <v>#VALUE!</v>
      </c>
      <c r="J43" t="str">
        <f>_xlfn.XLOOKUP(AllDataCorrected[[#This Row],[Site Name]],LocationsKey[Site Name], LocationsKey[Waterway])</f>
        <v>Avon</v>
      </c>
      <c r="K43" t="s">
        <v>25</v>
      </c>
      <c r="L43">
        <f>_xlfn.XLOOKUP(AllDataCorrected[[#This Row],[Site Name]],Tables!$B$12:$B$78, Tables!C$12:C$78)</f>
        <v>51.991389555555564</v>
      </c>
      <c r="M43">
        <f>_xlfn.XLOOKUP(AllDataCorrected[[#This Row],[Site Name]],Tables!$B$12:$B$78, Tables!D$12:D$78)</f>
        <v>-2.1620794000000005</v>
      </c>
      <c r="N43" t="s">
        <v>23</v>
      </c>
      <c r="O43">
        <v>931</v>
      </c>
      <c r="P43">
        <v>21.2</v>
      </c>
      <c r="Q43">
        <v>7</v>
      </c>
      <c r="R43" t="str">
        <f>IF(AllDataCorrected[[#This Row],[Nitrate (PPM)]]&gt;2, "4. Very high (&gt;2ppm)", IF(AllDataCorrected[[#This Row],[Nitrate (PPM)]]&gt;1, "3. High (1-2ppm)", IF(AllDataCorrected[[#This Row],[Nitrate (PPM)]]&gt;0.5, "2. Some evidence (0.5-1ppm)", IF(AllDataCorrected[[#This Row],[Nitrate (PPM)]]&gt;=0, "1. No evidence (&lt;0.5ppm)"))))</f>
        <v>4. Very high (&gt;2ppm)</v>
      </c>
      <c r="S43">
        <v>1.05</v>
      </c>
      <c r="T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
        <v>0</v>
      </c>
    </row>
    <row r="44" spans="1:22" x14ac:dyDescent="0.25">
      <c r="A44" t="s">
        <v>100</v>
      </c>
      <c r="B44" s="2">
        <v>45155</v>
      </c>
      <c r="C44" t="str" cm="1">
        <f t="array" ref="C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4">
        <f>YEAR(AllDataCorrected[[#This Row],[Date]])</f>
        <v>2023</v>
      </c>
      <c r="E44" s="1">
        <v>0.44097222222222221</v>
      </c>
      <c r="F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 t="str">
        <f>_xlfn.XLOOKUP(AllDataCorrected[[#This Row],[Location Name]], Locations[Location Name],Locations[Group As])</f>
        <v>Swilgate</v>
      </c>
      <c r="H44" t="e" vm="1">
        <f>_xlfn.XLOOKUP(AllDataCorrected[[#This Row],[Site Name]],LocationsKey[Site Name],LocationsKey[District])</f>
        <v>#VALUE!</v>
      </c>
      <c r="I44" t="e" vm="1">
        <f>_xlfn.XLOOKUP(AllDataCorrected[[#This Row],[Site Name]],LocationsKey[Site Name],LocationsKey[Town])</f>
        <v>#VALUE!</v>
      </c>
      <c r="J44" t="str">
        <f>_xlfn.XLOOKUP(AllDataCorrected[[#This Row],[Site Name]],LocationsKey[Site Name], LocationsKey[Waterway])</f>
        <v>Swilgate</v>
      </c>
      <c r="K44" t="s">
        <v>84</v>
      </c>
      <c r="L44">
        <f>_xlfn.XLOOKUP(AllDataCorrected[[#This Row],[Site Name]],Tables!$B$12:$B$78, Tables!C$12:C$78)</f>
        <v>51.9885442</v>
      </c>
      <c r="M44">
        <f>_xlfn.XLOOKUP(AllDataCorrected[[#This Row],[Site Name]],Tables!$B$12:$B$78, Tables!D$12:D$78)</f>
        <v>-2.1639010000000001</v>
      </c>
      <c r="N44" t="s">
        <v>23</v>
      </c>
      <c r="O44">
        <v>890</v>
      </c>
      <c r="P44">
        <v>18.3</v>
      </c>
      <c r="Q44">
        <v>7</v>
      </c>
      <c r="R44" t="str">
        <f>IF(AllDataCorrected[[#This Row],[Nitrate (PPM)]]&gt;2, "4. Very high (&gt;2ppm)", IF(AllDataCorrected[[#This Row],[Nitrate (PPM)]]&gt;1, "3. High (1-2ppm)", IF(AllDataCorrected[[#This Row],[Nitrate (PPM)]]&gt;0.5, "2. Some evidence (0.5-1ppm)", IF(AllDataCorrected[[#This Row],[Nitrate (PPM)]]&gt;=0, "1. No evidence (&lt;0.5ppm)"))))</f>
        <v>4. Very high (&gt;2ppm)</v>
      </c>
      <c r="S44">
        <v>0.65</v>
      </c>
      <c r="T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
        <v>0</v>
      </c>
    </row>
    <row r="45" spans="1:22" x14ac:dyDescent="0.25">
      <c r="A45" t="s">
        <v>101</v>
      </c>
      <c r="B45" s="2">
        <v>45157</v>
      </c>
      <c r="C45" t="str" cm="1">
        <f t="array" ref="C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5">
        <f>YEAR(AllDataCorrected[[#This Row],[Date]])</f>
        <v>2023</v>
      </c>
      <c r="E45" s="1">
        <v>0.60416666666666663</v>
      </c>
      <c r="F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 t="str">
        <f>_xlfn.XLOOKUP(AllDataCorrected[[#This Row],[Location Name]], Locations[Location Name],Locations[Group As])</f>
        <v>Carrant Bredon Rd</v>
      </c>
      <c r="H45" t="e" vm="1">
        <f>_xlfn.XLOOKUP(AllDataCorrected[[#This Row],[Site Name]],LocationsKey[Site Name],LocationsKey[District])</f>
        <v>#VALUE!</v>
      </c>
      <c r="I45" t="e" vm="1">
        <f>_xlfn.XLOOKUP(AllDataCorrected[[#This Row],[Site Name]],LocationsKey[Site Name],LocationsKey[Town])</f>
        <v>#VALUE!</v>
      </c>
      <c r="J45" t="str">
        <f>_xlfn.XLOOKUP(AllDataCorrected[[#This Row],[Site Name]],LocationsKey[Site Name], LocationsKey[Waterway])</f>
        <v>Carrant</v>
      </c>
      <c r="K45" t="s">
        <v>90</v>
      </c>
      <c r="L45">
        <f>_xlfn.XLOOKUP(AllDataCorrected[[#This Row],[Site Name]],Tables!$B$12:$B$78, Tables!C$12:C$78)</f>
        <v>51.996416567567572</v>
      </c>
      <c r="M45">
        <f>_xlfn.XLOOKUP(AllDataCorrected[[#This Row],[Site Name]],Tables!$B$12:$B$78, Tables!D$12:D$78)</f>
        <v>-2.1556626756756749</v>
      </c>
      <c r="N45" t="s">
        <v>23</v>
      </c>
      <c r="O45">
        <v>632</v>
      </c>
      <c r="P45">
        <v>19.399999999999999</v>
      </c>
      <c r="Q45">
        <v>5</v>
      </c>
      <c r="R45" t="str">
        <f>IF(AllDataCorrected[[#This Row],[Nitrate (PPM)]]&gt;2, "4. Very high (&gt;2ppm)", IF(AllDataCorrected[[#This Row],[Nitrate (PPM)]]&gt;1, "3. High (1-2ppm)", IF(AllDataCorrected[[#This Row],[Nitrate (PPM)]]&gt;0.5, "2. Some evidence (0.5-1ppm)", IF(AllDataCorrected[[#This Row],[Nitrate (PPM)]]&gt;=0, "1. No evidence (&lt;0.5ppm)"))))</f>
        <v>4. Very high (&gt;2ppm)</v>
      </c>
      <c r="S45">
        <v>0.64</v>
      </c>
      <c r="T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
        <v>0</v>
      </c>
    </row>
    <row r="46" spans="1:22" x14ac:dyDescent="0.25">
      <c r="A46" t="s">
        <v>102</v>
      </c>
      <c r="B46" s="2">
        <v>45157</v>
      </c>
      <c r="C46" t="str" cm="1">
        <f t="array" ref="C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6">
        <f>YEAR(AllDataCorrected[[#This Row],[Date]])</f>
        <v>2023</v>
      </c>
      <c r="E46" s="1">
        <v>0.74861111111111112</v>
      </c>
      <c r="F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 t="str">
        <f>_xlfn.XLOOKUP(AllDataCorrected[[#This Row],[Location Name]], Locations[Location Name],Locations[Group As])</f>
        <v>Avonbank Drive</v>
      </c>
      <c r="H46" t="e" vm="2">
        <f>_xlfn.XLOOKUP(AllDataCorrected[[#This Row],[Site Name]],LocationsKey[Site Name],LocationsKey[District])</f>
        <v>#VALUE!</v>
      </c>
      <c r="I46" t="e" vm="7">
        <f>_xlfn.XLOOKUP(AllDataCorrected[[#This Row],[Site Name]],LocationsKey[Site Name],LocationsKey[Town])</f>
        <v>#VALUE!</v>
      </c>
      <c r="J46" t="str">
        <f>_xlfn.XLOOKUP(AllDataCorrected[[#This Row],[Site Name]],LocationsKey[Site Name], LocationsKey[Waterway])</f>
        <v>Avon</v>
      </c>
      <c r="K46" t="s">
        <v>103</v>
      </c>
      <c r="L46">
        <f>_xlfn.XLOOKUP(AllDataCorrected[[#This Row],[Site Name]],Tables!$B$12:$B$78, Tables!C$12:C$78)</f>
        <v>52.177054657142854</v>
      </c>
      <c r="M46">
        <f>_xlfn.XLOOKUP(AllDataCorrected[[#This Row],[Site Name]],Tables!$B$12:$B$78, Tables!D$12:D$78)</f>
        <v>-1.7358669999999996</v>
      </c>
      <c r="N46" t="s">
        <v>66</v>
      </c>
      <c r="O46">
        <v>919</v>
      </c>
      <c r="P46">
        <v>20.7</v>
      </c>
      <c r="Q46">
        <v>10</v>
      </c>
      <c r="R46" t="str">
        <f>IF(AllDataCorrected[[#This Row],[Nitrate (PPM)]]&gt;2, "4. Very high (&gt;2ppm)", IF(AllDataCorrected[[#This Row],[Nitrate (PPM)]]&gt;1, "3. High (1-2ppm)", IF(AllDataCorrected[[#This Row],[Nitrate (PPM)]]&gt;0.5, "2. Some evidence (0.5-1ppm)", IF(AllDataCorrected[[#This Row],[Nitrate (PPM)]]&gt;=0, "1. No evidence (&lt;0.5ppm)"))))</f>
        <v>4. Very high (&gt;2ppm)</v>
      </c>
      <c r="S46">
        <v>0.49</v>
      </c>
      <c r="T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
        <v>0.57999999999999996</v>
      </c>
    </row>
    <row r="47" spans="1:22" x14ac:dyDescent="0.25">
      <c r="A47" t="s">
        <v>104</v>
      </c>
      <c r="B47" s="2">
        <v>45157</v>
      </c>
      <c r="C47" t="str" cm="1">
        <f t="array" ref="C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7">
        <f>YEAR(AllDataCorrected[[#This Row],[Date]])</f>
        <v>2023</v>
      </c>
      <c r="E47" s="1">
        <v>0.75</v>
      </c>
      <c r="F4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7" t="str">
        <f>_xlfn.XLOOKUP(AllDataCorrected[[#This Row],[Location Name]], Locations[Location Name],Locations[Group As])</f>
        <v>Pitch 16</v>
      </c>
      <c r="H47" t="e" vm="2">
        <f>_xlfn.XLOOKUP(AllDataCorrected[[#This Row],[Site Name]],LocationsKey[Site Name],LocationsKey[District])</f>
        <v>#VALUE!</v>
      </c>
      <c r="I47" t="e" vm="7">
        <f>_xlfn.XLOOKUP(AllDataCorrected[[#This Row],[Site Name]],LocationsKey[Site Name],LocationsKey[Town])</f>
        <v>#VALUE!</v>
      </c>
      <c r="J47" t="str">
        <f>_xlfn.XLOOKUP(AllDataCorrected[[#This Row],[Site Name]],LocationsKey[Site Name], LocationsKey[Waterway])</f>
        <v>Avon</v>
      </c>
      <c r="K47" t="s">
        <v>69</v>
      </c>
      <c r="L47">
        <f>_xlfn.XLOOKUP(AllDataCorrected[[#This Row],[Site Name]],Tables!$B$12:$B$78, Tables!C$12:C$78)</f>
        <v>52.17355294117646</v>
      </c>
      <c r="M47">
        <f>_xlfn.XLOOKUP(AllDataCorrected[[#This Row],[Site Name]],Tables!$B$12:$B$78, Tables!D$12:D$78)</f>
        <v>-1.7433199411764708</v>
      </c>
      <c r="N47" t="s">
        <v>29</v>
      </c>
      <c r="O47">
        <v>952</v>
      </c>
      <c r="P47">
        <v>19.7</v>
      </c>
      <c r="Q47">
        <v>10</v>
      </c>
      <c r="R47" t="str">
        <f>IF(AllDataCorrected[[#This Row],[Nitrate (PPM)]]&gt;2, "4. Very high (&gt;2ppm)", IF(AllDataCorrected[[#This Row],[Nitrate (PPM)]]&gt;1, "3. High (1-2ppm)", IF(AllDataCorrected[[#This Row],[Nitrate (PPM)]]&gt;0.5, "2. Some evidence (0.5-1ppm)", IF(AllDataCorrected[[#This Row],[Nitrate (PPM)]]&gt;=0, "1. No evidence (&lt;0.5ppm)"))))</f>
        <v>4. Very high (&gt;2ppm)</v>
      </c>
      <c r="S47">
        <v>0.55000000000000004</v>
      </c>
      <c r="T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
        <v>0.57999999999999996</v>
      </c>
    </row>
    <row r="48" spans="1:22" x14ac:dyDescent="0.25">
      <c r="A48" t="s">
        <v>105</v>
      </c>
      <c r="B48" s="2">
        <v>45158</v>
      </c>
      <c r="C48" t="str" cm="1">
        <f t="array" ref="C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8">
        <f>YEAR(AllDataCorrected[[#This Row],[Date]])</f>
        <v>2023</v>
      </c>
      <c r="E48" s="1">
        <v>0.47916666666666669</v>
      </c>
      <c r="F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 t="str">
        <f>_xlfn.XLOOKUP(AllDataCorrected[[#This Row],[Location Name]], Locations[Location Name],Locations[Group As])</f>
        <v>Hampton Wood</v>
      </c>
      <c r="H48" t="e" vm="2">
        <f>_xlfn.XLOOKUP(AllDataCorrected[[#This Row],[Site Name]],LocationsKey[Site Name],LocationsKey[District])</f>
        <v>#VALUE!</v>
      </c>
      <c r="I48" t="e" vm="3">
        <f>_xlfn.XLOOKUP(AllDataCorrected[[#This Row],[Site Name]],LocationsKey[Site Name],LocationsKey[Town])</f>
        <v>#VALUE!</v>
      </c>
      <c r="J48" t="str">
        <f>_xlfn.XLOOKUP(AllDataCorrected[[#This Row],[Site Name]],LocationsKey[Site Name], LocationsKey[Waterway])</f>
        <v>Avon</v>
      </c>
      <c r="K48" t="s">
        <v>34</v>
      </c>
      <c r="L48">
        <f>_xlfn.XLOOKUP(AllDataCorrected[[#This Row],[Site Name]],Tables!$B$12:$B$78, Tables!C$12:C$78)</f>
        <v>52.23814999999999</v>
      </c>
      <c r="M48">
        <f>_xlfn.XLOOKUP(AllDataCorrected[[#This Row],[Site Name]],Tables!$B$12:$B$78, Tables!D$12:D$78)</f>
        <v>-1.6245800000000008</v>
      </c>
      <c r="N48" t="s">
        <v>29</v>
      </c>
      <c r="O48">
        <v>930</v>
      </c>
      <c r="P48">
        <v>21.4</v>
      </c>
      <c r="Q48">
        <v>9</v>
      </c>
      <c r="R48" t="str">
        <f>IF(AllDataCorrected[[#This Row],[Nitrate (PPM)]]&gt;2, "4. Very high (&gt;2ppm)", IF(AllDataCorrected[[#This Row],[Nitrate (PPM)]]&gt;1, "3. High (1-2ppm)", IF(AllDataCorrected[[#This Row],[Nitrate (PPM)]]&gt;0.5, "2. Some evidence (0.5-1ppm)", IF(AllDataCorrected[[#This Row],[Nitrate (PPM)]]&gt;=0, "1. No evidence (&lt;0.5ppm)"))))</f>
        <v>4. Very high (&gt;2ppm)</v>
      </c>
      <c r="S48">
        <v>0.49</v>
      </c>
      <c r="T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
        <v>0</v>
      </c>
    </row>
    <row r="49" spans="1:22" x14ac:dyDescent="0.25">
      <c r="A49" t="s">
        <v>106</v>
      </c>
      <c r="B49" s="2">
        <v>45158</v>
      </c>
      <c r="C49" t="str" cm="1">
        <f t="array" ref="C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9">
        <f>YEAR(AllDataCorrected[[#This Row],[Date]])</f>
        <v>2023</v>
      </c>
      <c r="E49" s="1">
        <v>0.54166666666666663</v>
      </c>
      <c r="F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 t="str">
        <f>_xlfn.XLOOKUP(AllDataCorrected[[#This Row],[Location Name]], Locations[Location Name],Locations[Group As])</f>
        <v>Hampton Lucy</v>
      </c>
      <c r="H49" t="e" vm="2">
        <f>_xlfn.XLOOKUP(AllDataCorrected[[#This Row],[Site Name]],LocationsKey[Site Name],LocationsKey[District])</f>
        <v>#VALUE!</v>
      </c>
      <c r="I49" t="e" vm="4">
        <f>_xlfn.XLOOKUP(AllDataCorrected[[#This Row],[Site Name]],LocationsKey[Site Name],LocationsKey[Town])</f>
        <v>#VALUE!</v>
      </c>
      <c r="J49" t="str">
        <f>_xlfn.XLOOKUP(AllDataCorrected[[#This Row],[Site Name]],LocationsKey[Site Name], LocationsKey[Waterway])</f>
        <v>Avon</v>
      </c>
      <c r="K49" t="s">
        <v>37</v>
      </c>
      <c r="L49">
        <f>_xlfn.XLOOKUP(AllDataCorrected[[#This Row],[Site Name]],Tables!$B$12:$B$78, Tables!C$12:C$78)</f>
        <v>52.211679999999973</v>
      </c>
      <c r="M49">
        <f>_xlfn.XLOOKUP(AllDataCorrected[[#This Row],[Site Name]],Tables!$B$12:$B$78, Tables!D$12:D$78)</f>
        <v>-1.6244400000000001</v>
      </c>
      <c r="N49" t="s">
        <v>23</v>
      </c>
      <c r="O49">
        <v>892</v>
      </c>
      <c r="P49">
        <v>22.1</v>
      </c>
      <c r="Q49">
        <v>10</v>
      </c>
      <c r="R49" t="str">
        <f>IF(AllDataCorrected[[#This Row],[Nitrate (PPM)]]&gt;2, "4. Very high (&gt;2ppm)", IF(AllDataCorrected[[#This Row],[Nitrate (PPM)]]&gt;1, "3. High (1-2ppm)", IF(AllDataCorrected[[#This Row],[Nitrate (PPM)]]&gt;0.5, "2. Some evidence (0.5-1ppm)", IF(AllDataCorrected[[#This Row],[Nitrate (PPM)]]&gt;=0, "1. No evidence (&lt;0.5ppm)"))))</f>
        <v>4. Very high (&gt;2ppm)</v>
      </c>
      <c r="S49">
        <v>0.56999999999999995</v>
      </c>
      <c r="T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
        <v>0</v>
      </c>
    </row>
    <row r="50" spans="1:22" x14ac:dyDescent="0.25">
      <c r="A50" t="s">
        <v>107</v>
      </c>
      <c r="B50" s="2">
        <v>45158</v>
      </c>
      <c r="C50" t="str" cm="1">
        <f t="array" ref="C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0">
        <f>YEAR(AllDataCorrected[[#This Row],[Date]])</f>
        <v>2023</v>
      </c>
      <c r="E50" s="1">
        <v>0.70833333333333337</v>
      </c>
      <c r="F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 t="str">
        <f>_xlfn.XLOOKUP(AllDataCorrected[[#This Row],[Location Name]], Locations[Location Name],Locations[Group As])</f>
        <v>Welford Boat Station</v>
      </c>
      <c r="H50" t="e" vm="2">
        <f>_xlfn.XLOOKUP(AllDataCorrected[[#This Row],[Site Name]],LocationsKey[Site Name],LocationsKey[District])</f>
        <v>#VALUE!</v>
      </c>
      <c r="I50" t="e" vm="5">
        <f>_xlfn.XLOOKUP(AllDataCorrected[[#This Row],[Site Name]],LocationsKey[Site Name],LocationsKey[Town])</f>
        <v>#VALUE!</v>
      </c>
      <c r="J50" t="str">
        <f>_xlfn.XLOOKUP(AllDataCorrected[[#This Row],[Site Name]],LocationsKey[Site Name], LocationsKey[Waterway])</f>
        <v>Avon</v>
      </c>
      <c r="K50" t="s">
        <v>39</v>
      </c>
      <c r="L50">
        <f>_xlfn.XLOOKUP(AllDataCorrected[[#This Row],[Site Name]],Tables!$B$12:$B$78, Tables!C$12:C$78)</f>
        <v>52.175174684210546</v>
      </c>
      <c r="M50">
        <f>_xlfn.XLOOKUP(AllDataCorrected[[#This Row],[Site Name]],Tables!$B$12:$B$78, Tables!D$12:D$78)</f>
        <v>-1.7918551052631577</v>
      </c>
      <c r="N50" t="s">
        <v>29</v>
      </c>
      <c r="O50">
        <v>896</v>
      </c>
      <c r="P50">
        <v>21.3</v>
      </c>
      <c r="Q50">
        <v>4</v>
      </c>
      <c r="R50" t="str">
        <f>IF(AllDataCorrected[[#This Row],[Nitrate (PPM)]]&gt;2, "4. Very high (&gt;2ppm)", IF(AllDataCorrected[[#This Row],[Nitrate (PPM)]]&gt;1, "3. High (1-2ppm)", IF(AllDataCorrected[[#This Row],[Nitrate (PPM)]]&gt;0.5, "2. Some evidence (0.5-1ppm)", IF(AllDataCorrected[[#This Row],[Nitrate (PPM)]]&gt;=0, "1. No evidence (&lt;0.5ppm)"))))</f>
        <v>4. Very high (&gt;2ppm)</v>
      </c>
      <c r="S50">
        <v>0.51</v>
      </c>
      <c r="T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
        <v>0</v>
      </c>
      <c r="V50" t="s">
        <v>96</v>
      </c>
    </row>
    <row r="51" spans="1:22" x14ac:dyDescent="0.25">
      <c r="A51" t="s">
        <v>108</v>
      </c>
      <c r="B51" s="2">
        <v>45159</v>
      </c>
      <c r="C51" t="str" cm="1">
        <f t="array" ref="C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1">
        <f>YEAR(AllDataCorrected[[#This Row],[Date]])</f>
        <v>2023</v>
      </c>
      <c r="E51" s="1">
        <v>0.67708333333333337</v>
      </c>
      <c r="F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 t="str">
        <f>_xlfn.XLOOKUP(AllDataCorrected[[#This Row],[Location Name]], Locations[Location Name],Locations[Group As])</f>
        <v>Weston-on-Avon</v>
      </c>
      <c r="H51" t="e" vm="2">
        <f>_xlfn.XLOOKUP(AllDataCorrected[[#This Row],[Site Name]],LocationsKey[Site Name],LocationsKey[District])</f>
        <v>#VALUE!</v>
      </c>
      <c r="I51" t="e" vm="6">
        <f>_xlfn.XLOOKUP(AllDataCorrected[[#This Row],[Site Name]],LocationsKey[Site Name],LocationsKey[Town])</f>
        <v>#VALUE!</v>
      </c>
      <c r="J51" t="str">
        <f>_xlfn.XLOOKUP(AllDataCorrected[[#This Row],[Site Name]],LocationsKey[Site Name], LocationsKey[Waterway])</f>
        <v>Avon</v>
      </c>
      <c r="K51" t="s">
        <v>41</v>
      </c>
      <c r="L51">
        <f>_xlfn.XLOOKUP(AllDataCorrected[[#This Row],[Site Name]],Tables!$B$12:$B$78, Tables!C$12:C$78)</f>
        <v>52.167429999999996</v>
      </c>
      <c r="M51">
        <f>_xlfn.XLOOKUP(AllDataCorrected[[#This Row],[Site Name]],Tables!$B$12:$B$78, Tables!D$12:D$78)</f>
        <v>-1.7744752941176474</v>
      </c>
      <c r="N51" t="s">
        <v>29</v>
      </c>
      <c r="O51">
        <v>954</v>
      </c>
      <c r="P51">
        <v>21.3</v>
      </c>
      <c r="Q51">
        <v>6</v>
      </c>
      <c r="R51" t="str">
        <f>IF(AllDataCorrected[[#This Row],[Nitrate (PPM)]]&gt;2, "4. Very high (&gt;2ppm)", IF(AllDataCorrected[[#This Row],[Nitrate (PPM)]]&gt;1, "3. High (1-2ppm)", IF(AllDataCorrected[[#This Row],[Nitrate (PPM)]]&gt;0.5, "2. Some evidence (0.5-1ppm)", IF(AllDataCorrected[[#This Row],[Nitrate (PPM)]]&gt;=0, "1. No evidence (&lt;0.5ppm)"))))</f>
        <v>4. Very high (&gt;2ppm)</v>
      </c>
      <c r="S51">
        <v>0.68</v>
      </c>
      <c r="T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
        <v>0</v>
      </c>
    </row>
    <row r="52" spans="1:22" x14ac:dyDescent="0.25">
      <c r="A52" t="s">
        <v>109</v>
      </c>
      <c r="B52" s="2">
        <v>45160</v>
      </c>
      <c r="C52" t="str" cm="1">
        <f t="array" ref="C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2">
        <f>YEAR(AllDataCorrected[[#This Row],[Date]])</f>
        <v>2023</v>
      </c>
      <c r="E52" s="1">
        <v>0.39583333333333331</v>
      </c>
      <c r="F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2" t="str">
        <f>_xlfn.XLOOKUP(AllDataCorrected[[#This Row],[Location Name]], Locations[Location Name],Locations[Group As])</f>
        <v>Abbey Mill</v>
      </c>
      <c r="H52" t="e" vm="1">
        <f>_xlfn.XLOOKUP(AllDataCorrected[[#This Row],[Site Name]],LocationsKey[Site Name],LocationsKey[District])</f>
        <v>#VALUE!</v>
      </c>
      <c r="I52" t="e" vm="1">
        <f>_xlfn.XLOOKUP(AllDataCorrected[[#This Row],[Site Name]],LocationsKey[Site Name],LocationsKey[Town])</f>
        <v>#VALUE!</v>
      </c>
      <c r="J52" t="str">
        <f>_xlfn.XLOOKUP(AllDataCorrected[[#This Row],[Site Name]],LocationsKey[Site Name], LocationsKey[Waterway])</f>
        <v>Avon</v>
      </c>
      <c r="K52" t="s">
        <v>25</v>
      </c>
      <c r="L52">
        <f>_xlfn.XLOOKUP(AllDataCorrected[[#This Row],[Site Name]],Tables!$B$12:$B$78, Tables!C$12:C$78)</f>
        <v>51.991389555555564</v>
      </c>
      <c r="M52">
        <f>_xlfn.XLOOKUP(AllDataCorrected[[#This Row],[Site Name]],Tables!$B$12:$B$78, Tables!D$12:D$78)</f>
        <v>-2.1620794000000005</v>
      </c>
      <c r="N52" t="s">
        <v>23</v>
      </c>
      <c r="O52">
        <v>985</v>
      </c>
      <c r="P52">
        <v>20.8</v>
      </c>
      <c r="Q52">
        <v>10</v>
      </c>
      <c r="R52" t="str">
        <f>IF(AllDataCorrected[[#This Row],[Nitrate (PPM)]]&gt;2, "4. Very high (&gt;2ppm)", IF(AllDataCorrected[[#This Row],[Nitrate (PPM)]]&gt;1, "3. High (1-2ppm)", IF(AllDataCorrected[[#This Row],[Nitrate (PPM)]]&gt;0.5, "2. Some evidence (0.5-1ppm)", IF(AllDataCorrected[[#This Row],[Nitrate (PPM)]]&gt;=0, "1. No evidence (&lt;0.5ppm)"))))</f>
        <v>4. Very high (&gt;2ppm)</v>
      </c>
      <c r="S52">
        <v>0.91</v>
      </c>
      <c r="T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
        <v>0</v>
      </c>
    </row>
    <row r="53" spans="1:22" x14ac:dyDescent="0.25">
      <c r="A53" t="s">
        <v>110</v>
      </c>
      <c r="B53" s="2">
        <v>45162</v>
      </c>
      <c r="C53" t="str" cm="1">
        <f t="array" ref="C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3">
        <f>YEAR(AllDataCorrected[[#This Row],[Date]])</f>
        <v>2023</v>
      </c>
      <c r="E53" s="1">
        <v>0.4375</v>
      </c>
      <c r="F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 t="str">
        <f>_xlfn.XLOOKUP(AllDataCorrected[[#This Row],[Location Name]], Locations[Location Name],Locations[Group As])</f>
        <v>Swilgate</v>
      </c>
      <c r="H53" t="e" vm="1">
        <f>_xlfn.XLOOKUP(AllDataCorrected[[#This Row],[Site Name]],LocationsKey[Site Name],LocationsKey[District])</f>
        <v>#VALUE!</v>
      </c>
      <c r="I53" t="e" vm="1">
        <f>_xlfn.XLOOKUP(AllDataCorrected[[#This Row],[Site Name]],LocationsKey[Site Name],LocationsKey[Town])</f>
        <v>#VALUE!</v>
      </c>
      <c r="J53" t="str">
        <f>_xlfn.XLOOKUP(AllDataCorrected[[#This Row],[Site Name]],LocationsKey[Site Name], LocationsKey[Waterway])</f>
        <v>Swilgate</v>
      </c>
      <c r="K53" t="s">
        <v>84</v>
      </c>
      <c r="L53">
        <f>_xlfn.XLOOKUP(AllDataCorrected[[#This Row],[Site Name]],Tables!$B$12:$B$78, Tables!C$12:C$78)</f>
        <v>51.9885442</v>
      </c>
      <c r="M53">
        <f>_xlfn.XLOOKUP(AllDataCorrected[[#This Row],[Site Name]],Tables!$B$12:$B$78, Tables!D$12:D$78)</f>
        <v>-2.1639010000000001</v>
      </c>
      <c r="N53" t="s">
        <v>23</v>
      </c>
      <c r="O53">
        <v>984</v>
      </c>
      <c r="P53">
        <v>18.5</v>
      </c>
      <c r="Q53">
        <v>9</v>
      </c>
      <c r="R53" t="str">
        <f>IF(AllDataCorrected[[#This Row],[Nitrate (PPM)]]&gt;2, "4. Very high (&gt;2ppm)", IF(AllDataCorrected[[#This Row],[Nitrate (PPM)]]&gt;1, "3. High (1-2ppm)", IF(AllDataCorrected[[#This Row],[Nitrate (PPM)]]&gt;0.5, "2. Some evidence (0.5-1ppm)", IF(AllDataCorrected[[#This Row],[Nitrate (PPM)]]&gt;=0, "1. No evidence (&lt;0.5ppm)"))))</f>
        <v>4. Very high (&gt;2ppm)</v>
      </c>
      <c r="S53">
        <v>0.91</v>
      </c>
      <c r="T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
        <v>0</v>
      </c>
    </row>
    <row r="54" spans="1:22" x14ac:dyDescent="0.25">
      <c r="A54" t="s">
        <v>111</v>
      </c>
      <c r="B54" s="2">
        <v>45164</v>
      </c>
      <c r="C54" t="str" cm="1">
        <f t="array" ref="C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4">
        <f>YEAR(AllDataCorrected[[#This Row],[Date]])</f>
        <v>2023</v>
      </c>
      <c r="E54" s="1">
        <v>0.4513888888888889</v>
      </c>
      <c r="F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 t="str">
        <f>_xlfn.XLOOKUP(AllDataCorrected[[#This Row],[Location Name]], Locations[Location Name],Locations[Group As])</f>
        <v>Pitch 16</v>
      </c>
      <c r="H54" t="e" vm="2">
        <f>_xlfn.XLOOKUP(AllDataCorrected[[#This Row],[Site Name]],LocationsKey[Site Name],LocationsKey[District])</f>
        <v>#VALUE!</v>
      </c>
      <c r="I54" t="e" vm="7">
        <f>_xlfn.XLOOKUP(AllDataCorrected[[#This Row],[Site Name]],LocationsKey[Site Name],LocationsKey[Town])</f>
        <v>#VALUE!</v>
      </c>
      <c r="J54" t="str">
        <f>_xlfn.XLOOKUP(AllDataCorrected[[#This Row],[Site Name]],LocationsKey[Site Name], LocationsKey[Waterway])</f>
        <v>Avon</v>
      </c>
      <c r="K54" t="s">
        <v>69</v>
      </c>
      <c r="L54">
        <f>_xlfn.XLOOKUP(AllDataCorrected[[#This Row],[Site Name]],Tables!$B$12:$B$78, Tables!C$12:C$78)</f>
        <v>52.17355294117646</v>
      </c>
      <c r="M54">
        <f>_xlfn.XLOOKUP(AllDataCorrected[[#This Row],[Site Name]],Tables!$B$12:$B$78, Tables!D$12:D$78)</f>
        <v>-1.7433199411764708</v>
      </c>
      <c r="N54" t="s">
        <v>29</v>
      </c>
      <c r="O54">
        <v>981</v>
      </c>
      <c r="P54">
        <v>19.100000000000001</v>
      </c>
      <c r="Q54">
        <v>10</v>
      </c>
      <c r="R54" t="str">
        <f>IF(AllDataCorrected[[#This Row],[Nitrate (PPM)]]&gt;2, "4. Very high (&gt;2ppm)", IF(AllDataCorrected[[#This Row],[Nitrate (PPM)]]&gt;1, "3. High (1-2ppm)", IF(AllDataCorrected[[#This Row],[Nitrate (PPM)]]&gt;0.5, "2. Some evidence (0.5-1ppm)", IF(AllDataCorrected[[#This Row],[Nitrate (PPM)]]&gt;=0, "1. No evidence (&lt;0.5ppm)"))))</f>
        <v>4. Very high (&gt;2ppm)</v>
      </c>
      <c r="S54">
        <v>0.88</v>
      </c>
      <c r="T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
        <v>0.5</v>
      </c>
      <c r="V54" t="s">
        <v>70</v>
      </c>
    </row>
    <row r="55" spans="1:22" x14ac:dyDescent="0.25">
      <c r="A55" t="s">
        <v>112</v>
      </c>
      <c r="B55" s="2">
        <v>45164</v>
      </c>
      <c r="C55" t="str" cm="1">
        <f t="array" ref="C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5">
        <f>YEAR(AllDataCorrected[[#This Row],[Date]])</f>
        <v>2023</v>
      </c>
      <c r="E55" s="1">
        <v>0.46527777777777779</v>
      </c>
      <c r="F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5" t="str">
        <f>_xlfn.XLOOKUP(AllDataCorrected[[#This Row],[Location Name]], Locations[Location Name],Locations[Group As])</f>
        <v>Avonbank Drive</v>
      </c>
      <c r="H55" t="e" vm="2">
        <f>_xlfn.XLOOKUP(AllDataCorrected[[#This Row],[Site Name]],LocationsKey[Site Name],LocationsKey[District])</f>
        <v>#VALUE!</v>
      </c>
      <c r="I55" t="e" vm="7">
        <f>_xlfn.XLOOKUP(AllDataCorrected[[#This Row],[Site Name]],LocationsKey[Site Name],LocationsKey[Town])</f>
        <v>#VALUE!</v>
      </c>
      <c r="J55" t="str">
        <f>_xlfn.XLOOKUP(AllDataCorrected[[#This Row],[Site Name]],LocationsKey[Site Name], LocationsKey[Waterway])</f>
        <v>Avon</v>
      </c>
      <c r="K55" t="s">
        <v>65</v>
      </c>
      <c r="L55">
        <f>_xlfn.XLOOKUP(AllDataCorrected[[#This Row],[Site Name]],Tables!$B$12:$B$78, Tables!C$12:C$78)</f>
        <v>52.177054657142854</v>
      </c>
      <c r="M55">
        <f>_xlfn.XLOOKUP(AllDataCorrected[[#This Row],[Site Name]],Tables!$B$12:$B$78, Tables!D$12:D$78)</f>
        <v>-1.7358669999999996</v>
      </c>
      <c r="N55" t="s">
        <v>66</v>
      </c>
      <c r="O55">
        <v>1000</v>
      </c>
      <c r="P55">
        <v>20.5</v>
      </c>
      <c r="Q55">
        <v>10</v>
      </c>
      <c r="R55" t="str">
        <f>IF(AllDataCorrected[[#This Row],[Nitrate (PPM)]]&gt;2, "4. Very high (&gt;2ppm)", IF(AllDataCorrected[[#This Row],[Nitrate (PPM)]]&gt;1, "3. High (1-2ppm)", IF(AllDataCorrected[[#This Row],[Nitrate (PPM)]]&gt;0.5, "2. Some evidence (0.5-1ppm)", IF(AllDataCorrected[[#This Row],[Nitrate (PPM)]]&gt;=0, "1. No evidence (&lt;0.5ppm)"))))</f>
        <v>4. Very high (&gt;2ppm)</v>
      </c>
      <c r="S55">
        <v>0.56000000000000005</v>
      </c>
      <c r="T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
        <v>0.5</v>
      </c>
      <c r="V55" t="s">
        <v>70</v>
      </c>
    </row>
    <row r="56" spans="1:22" x14ac:dyDescent="0.25">
      <c r="A56" t="s">
        <v>113</v>
      </c>
      <c r="B56" s="2">
        <v>45165</v>
      </c>
      <c r="C56" t="str" cm="1">
        <f t="array" ref="C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6">
        <f>YEAR(AllDataCorrected[[#This Row],[Date]])</f>
        <v>2023</v>
      </c>
      <c r="E56" s="1">
        <v>0.39652777777777776</v>
      </c>
      <c r="F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 t="str">
        <f>_xlfn.XLOOKUP(AllDataCorrected[[#This Row],[Location Name]], Locations[Location Name],Locations[Group As])</f>
        <v>Abbey Mill</v>
      </c>
      <c r="H56" t="e" vm="1">
        <f>_xlfn.XLOOKUP(AllDataCorrected[[#This Row],[Site Name]],LocationsKey[Site Name],LocationsKey[District])</f>
        <v>#VALUE!</v>
      </c>
      <c r="I56" t="e" vm="1">
        <f>_xlfn.XLOOKUP(AllDataCorrected[[#This Row],[Site Name]],LocationsKey[Site Name],LocationsKey[Town])</f>
        <v>#VALUE!</v>
      </c>
      <c r="J56" t="str">
        <f>_xlfn.XLOOKUP(AllDataCorrected[[#This Row],[Site Name]],LocationsKey[Site Name], LocationsKey[Waterway])</f>
        <v>Avon</v>
      </c>
      <c r="K56" t="s">
        <v>25</v>
      </c>
      <c r="L56">
        <f>_xlfn.XLOOKUP(AllDataCorrected[[#This Row],[Site Name]],Tables!$B$12:$B$78, Tables!C$12:C$78)</f>
        <v>51.991389555555564</v>
      </c>
      <c r="M56">
        <f>_xlfn.XLOOKUP(AllDataCorrected[[#This Row],[Site Name]],Tables!$B$12:$B$78, Tables!D$12:D$78)</f>
        <v>-2.1620794000000005</v>
      </c>
      <c r="N56" t="s">
        <v>23</v>
      </c>
      <c r="O56">
        <v>997</v>
      </c>
      <c r="P56">
        <v>19.399999999999999</v>
      </c>
      <c r="Q56">
        <v>8</v>
      </c>
      <c r="R56" t="str">
        <f>IF(AllDataCorrected[[#This Row],[Nitrate (PPM)]]&gt;2, "4. Very high (&gt;2ppm)", IF(AllDataCorrected[[#This Row],[Nitrate (PPM)]]&gt;1, "3. High (1-2ppm)", IF(AllDataCorrected[[#This Row],[Nitrate (PPM)]]&gt;0.5, "2. Some evidence (0.5-1ppm)", IF(AllDataCorrected[[#This Row],[Nitrate (PPM)]]&gt;=0, "1. No evidence (&lt;0.5ppm)"))))</f>
        <v>4. Very high (&gt;2ppm)</v>
      </c>
      <c r="S56">
        <v>1.02</v>
      </c>
      <c r="T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
        <v>0</v>
      </c>
    </row>
    <row r="57" spans="1:22" x14ac:dyDescent="0.25">
      <c r="A57" t="s">
        <v>114</v>
      </c>
      <c r="B57" s="2">
        <v>45165</v>
      </c>
      <c r="C57" t="str" cm="1">
        <f t="array" ref="C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7">
        <f>YEAR(AllDataCorrected[[#This Row],[Date]])</f>
        <v>2023</v>
      </c>
      <c r="E57" s="1">
        <v>0.40277777777777779</v>
      </c>
      <c r="F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 t="str">
        <f>_xlfn.XLOOKUP(AllDataCorrected[[#This Row],[Location Name]], Locations[Location Name],Locations[Group As])</f>
        <v>Twyning Fleet</v>
      </c>
      <c r="H57" t="e" vm="1">
        <f>_xlfn.XLOOKUP(AllDataCorrected[[#This Row],[Site Name]],LocationsKey[Site Name],LocationsKey[District])</f>
        <v>#VALUE!</v>
      </c>
      <c r="I57" t="str">
        <f>_xlfn.XLOOKUP(AllDataCorrected[[#This Row],[Site Name]],LocationsKey[Site Name],LocationsKey[Town])</f>
        <v>Twyning Green</v>
      </c>
      <c r="J57" t="str">
        <f>_xlfn.XLOOKUP(AllDataCorrected[[#This Row],[Site Name]],LocationsKey[Site Name], LocationsKey[Waterway])</f>
        <v>Avon</v>
      </c>
      <c r="K57" t="s">
        <v>54</v>
      </c>
      <c r="L57">
        <f>_xlfn.XLOOKUP(AllDataCorrected[[#This Row],[Site Name]],Tables!$B$12:$B$78, Tables!C$12:C$78)</f>
        <v>52.027190153846163</v>
      </c>
      <c r="M57">
        <f>_xlfn.XLOOKUP(AllDataCorrected[[#This Row],[Site Name]],Tables!$B$12:$B$78, Tables!D$12:D$78)</f>
        <v>-2.1406086923076924</v>
      </c>
      <c r="N57" t="s">
        <v>29</v>
      </c>
      <c r="O57">
        <v>1010</v>
      </c>
      <c r="P57">
        <v>20.399999999999999</v>
      </c>
      <c r="Q57">
        <v>10</v>
      </c>
      <c r="R57" t="str">
        <f>IF(AllDataCorrected[[#This Row],[Nitrate (PPM)]]&gt;2, "4. Very high (&gt;2ppm)", IF(AllDataCorrected[[#This Row],[Nitrate (PPM)]]&gt;1, "3. High (1-2ppm)", IF(AllDataCorrected[[#This Row],[Nitrate (PPM)]]&gt;0.5, "2. Some evidence (0.5-1ppm)", IF(AllDataCorrected[[#This Row],[Nitrate (PPM)]]&gt;=0, "1. No evidence (&lt;0.5ppm)"))))</f>
        <v>4. Very high (&gt;2ppm)</v>
      </c>
      <c r="S57">
        <v>1.07</v>
      </c>
      <c r="T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
        <v>0</v>
      </c>
      <c r="V57" t="s">
        <v>115</v>
      </c>
    </row>
    <row r="58" spans="1:22" x14ac:dyDescent="0.25">
      <c r="A58" t="s">
        <v>116</v>
      </c>
      <c r="B58" s="2">
        <v>45165</v>
      </c>
      <c r="C58" t="str" cm="1">
        <f t="array" ref="C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8">
        <f>YEAR(AllDataCorrected[[#This Row],[Date]])</f>
        <v>2023</v>
      </c>
      <c r="E58" s="1">
        <v>0.46527777777777779</v>
      </c>
      <c r="F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8" t="str">
        <f>_xlfn.XLOOKUP(AllDataCorrected[[#This Row],[Location Name]], Locations[Location Name],Locations[Group As])</f>
        <v>Hampton Wood</v>
      </c>
      <c r="H58" t="e" vm="2">
        <f>_xlfn.XLOOKUP(AllDataCorrected[[#This Row],[Site Name]],LocationsKey[Site Name],LocationsKey[District])</f>
        <v>#VALUE!</v>
      </c>
      <c r="I58" t="e" vm="3">
        <f>_xlfn.XLOOKUP(AllDataCorrected[[#This Row],[Site Name]],LocationsKey[Site Name],LocationsKey[Town])</f>
        <v>#VALUE!</v>
      </c>
      <c r="J58" t="str">
        <f>_xlfn.XLOOKUP(AllDataCorrected[[#This Row],[Site Name]],LocationsKey[Site Name], LocationsKey[Waterway])</f>
        <v>Avon</v>
      </c>
      <c r="K58" t="s">
        <v>34</v>
      </c>
      <c r="L58">
        <f>_xlfn.XLOOKUP(AllDataCorrected[[#This Row],[Site Name]],Tables!$B$12:$B$78, Tables!C$12:C$78)</f>
        <v>52.23814999999999</v>
      </c>
      <c r="M58">
        <f>_xlfn.XLOOKUP(AllDataCorrected[[#This Row],[Site Name]],Tables!$B$12:$B$78, Tables!D$12:D$78)</f>
        <v>-1.6245800000000008</v>
      </c>
      <c r="N58" t="s">
        <v>29</v>
      </c>
      <c r="O58">
        <v>950</v>
      </c>
      <c r="P58">
        <v>19.100000000000001</v>
      </c>
      <c r="Q58">
        <v>7</v>
      </c>
      <c r="R58" t="str">
        <f>IF(AllDataCorrected[[#This Row],[Nitrate (PPM)]]&gt;2, "4. Very high (&gt;2ppm)", IF(AllDataCorrected[[#This Row],[Nitrate (PPM)]]&gt;1, "3. High (1-2ppm)", IF(AllDataCorrected[[#This Row],[Nitrate (PPM)]]&gt;0.5, "2. Some evidence (0.5-1ppm)", IF(AllDataCorrected[[#This Row],[Nitrate (PPM)]]&gt;=0, "1. No evidence (&lt;0.5ppm)"))))</f>
        <v>4. Very high (&gt;2ppm)</v>
      </c>
      <c r="S58">
        <v>0.42</v>
      </c>
      <c r="T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
        <v>0</v>
      </c>
    </row>
    <row r="59" spans="1:22" x14ac:dyDescent="0.25">
      <c r="A59" t="s">
        <v>117</v>
      </c>
      <c r="B59" s="2">
        <v>45165</v>
      </c>
      <c r="C59" t="str" cm="1">
        <f t="array" ref="C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9">
        <f>YEAR(AllDataCorrected[[#This Row],[Date]])</f>
        <v>2023</v>
      </c>
      <c r="E59" s="1">
        <v>0.52083333333333337</v>
      </c>
      <c r="F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 t="str">
        <f>_xlfn.XLOOKUP(AllDataCorrected[[#This Row],[Location Name]], Locations[Location Name],Locations[Group As])</f>
        <v>Hampton Lucy</v>
      </c>
      <c r="H59" t="e" vm="2">
        <f>_xlfn.XLOOKUP(AllDataCorrected[[#This Row],[Site Name]],LocationsKey[Site Name],LocationsKey[District])</f>
        <v>#VALUE!</v>
      </c>
      <c r="I59" t="e" vm="4">
        <f>_xlfn.XLOOKUP(AllDataCorrected[[#This Row],[Site Name]],LocationsKey[Site Name],LocationsKey[Town])</f>
        <v>#VALUE!</v>
      </c>
      <c r="J59" t="str">
        <f>_xlfn.XLOOKUP(AllDataCorrected[[#This Row],[Site Name]],LocationsKey[Site Name], LocationsKey[Waterway])</f>
        <v>Avon</v>
      </c>
      <c r="K59" t="s">
        <v>37</v>
      </c>
      <c r="L59">
        <f>_xlfn.XLOOKUP(AllDataCorrected[[#This Row],[Site Name]],Tables!$B$12:$B$78, Tables!C$12:C$78)</f>
        <v>52.211679999999973</v>
      </c>
      <c r="M59">
        <f>_xlfn.XLOOKUP(AllDataCorrected[[#This Row],[Site Name]],Tables!$B$12:$B$78, Tables!D$12:D$78)</f>
        <v>-1.6244400000000001</v>
      </c>
      <c r="N59" t="s">
        <v>23</v>
      </c>
      <c r="O59">
        <v>948</v>
      </c>
      <c r="P59">
        <v>18.8</v>
      </c>
      <c r="Q59">
        <v>7</v>
      </c>
      <c r="R59" t="str">
        <f>IF(AllDataCorrected[[#This Row],[Nitrate (PPM)]]&gt;2, "4. Very high (&gt;2ppm)", IF(AllDataCorrected[[#This Row],[Nitrate (PPM)]]&gt;1, "3. High (1-2ppm)", IF(AllDataCorrected[[#This Row],[Nitrate (PPM)]]&gt;0.5, "2. Some evidence (0.5-1ppm)", IF(AllDataCorrected[[#This Row],[Nitrate (PPM)]]&gt;=0, "1. No evidence (&lt;0.5ppm)"))))</f>
        <v>4. Very high (&gt;2ppm)</v>
      </c>
      <c r="S59">
        <v>0.49</v>
      </c>
      <c r="T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
        <v>0</v>
      </c>
    </row>
    <row r="60" spans="1:22" x14ac:dyDescent="0.25">
      <c r="A60" t="s">
        <v>118</v>
      </c>
      <c r="B60" s="2">
        <v>45165</v>
      </c>
      <c r="C60" t="str" cm="1">
        <f t="array" ref="C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0">
        <f>YEAR(AllDataCorrected[[#This Row],[Date]])</f>
        <v>2023</v>
      </c>
      <c r="E60" s="1">
        <v>0.70833333333333337</v>
      </c>
      <c r="F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 t="str">
        <f>_xlfn.XLOOKUP(AllDataCorrected[[#This Row],[Location Name]], Locations[Location Name],Locations[Group As])</f>
        <v>Welford Boat Station</v>
      </c>
      <c r="H60" t="e" vm="2">
        <f>_xlfn.XLOOKUP(AllDataCorrected[[#This Row],[Site Name]],LocationsKey[Site Name],LocationsKey[District])</f>
        <v>#VALUE!</v>
      </c>
      <c r="I60" t="e" vm="5">
        <f>_xlfn.XLOOKUP(AllDataCorrected[[#This Row],[Site Name]],LocationsKey[Site Name],LocationsKey[Town])</f>
        <v>#VALUE!</v>
      </c>
      <c r="J60" t="str">
        <f>_xlfn.XLOOKUP(AllDataCorrected[[#This Row],[Site Name]],LocationsKey[Site Name], LocationsKey[Waterway])</f>
        <v>Avon</v>
      </c>
      <c r="K60" t="s">
        <v>39</v>
      </c>
      <c r="L60">
        <f>_xlfn.XLOOKUP(AllDataCorrected[[#This Row],[Site Name]],Tables!$B$12:$B$78, Tables!C$12:C$78)</f>
        <v>52.175174684210546</v>
      </c>
      <c r="M60">
        <f>_xlfn.XLOOKUP(AllDataCorrected[[#This Row],[Site Name]],Tables!$B$12:$B$78, Tables!D$12:D$78)</f>
        <v>-1.7918551052631577</v>
      </c>
      <c r="N60" t="s">
        <v>29</v>
      </c>
      <c r="O60">
        <v>992</v>
      </c>
      <c r="P60">
        <v>18.600000000000001</v>
      </c>
      <c r="Q60">
        <v>5</v>
      </c>
      <c r="R60" t="str">
        <f>IF(AllDataCorrected[[#This Row],[Nitrate (PPM)]]&gt;2, "4. Very high (&gt;2ppm)", IF(AllDataCorrected[[#This Row],[Nitrate (PPM)]]&gt;1, "3. High (1-2ppm)", IF(AllDataCorrected[[#This Row],[Nitrate (PPM)]]&gt;0.5, "2. Some evidence (0.5-1ppm)", IF(AllDataCorrected[[#This Row],[Nitrate (PPM)]]&gt;=0, "1. No evidence (&lt;0.5ppm)"))))</f>
        <v>4. Very high (&gt;2ppm)</v>
      </c>
      <c r="S60">
        <v>0.54</v>
      </c>
      <c r="T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
        <v>0</v>
      </c>
      <c r="V60" t="s">
        <v>96</v>
      </c>
    </row>
    <row r="61" spans="1:22" x14ac:dyDescent="0.25">
      <c r="A61" t="s">
        <v>119</v>
      </c>
      <c r="B61" s="2">
        <v>45167</v>
      </c>
      <c r="C61" t="str" cm="1">
        <f t="array" ref="C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1">
        <f>YEAR(AllDataCorrected[[#This Row],[Date]])</f>
        <v>2023</v>
      </c>
      <c r="E61" s="1">
        <v>0.60624999999999996</v>
      </c>
      <c r="F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 t="str">
        <f>_xlfn.XLOOKUP(AllDataCorrected[[#This Row],[Location Name]], Locations[Location Name],Locations[Group As])</f>
        <v>Talton Lodge</v>
      </c>
      <c r="H61" t="e" vm="2">
        <f>_xlfn.XLOOKUP(AllDataCorrected[[#This Row],[Site Name]],LocationsKey[Site Name],LocationsKey[District])</f>
        <v>#VALUE!</v>
      </c>
      <c r="I61" t="e" vm="8">
        <f>_xlfn.XLOOKUP(AllDataCorrected[[#This Row],[Site Name]],LocationsKey[Site Name],LocationsKey[Town])</f>
        <v>#VALUE!</v>
      </c>
      <c r="J61" t="str">
        <f>_xlfn.XLOOKUP(AllDataCorrected[[#This Row],[Site Name]],LocationsKey[Site Name], LocationsKey[Waterway])</f>
        <v>Avon</v>
      </c>
      <c r="K61" t="s">
        <v>120</v>
      </c>
      <c r="L61">
        <f>_xlfn.XLOOKUP(AllDataCorrected[[#This Row],[Site Name]],Tables!$B$12:$B$78, Tables!C$12:C$78)</f>
        <v>52.120947999999999</v>
      </c>
      <c r="M61">
        <f>_xlfn.XLOOKUP(AllDataCorrected[[#This Row],[Site Name]],Tables!$B$12:$B$78, Tables!D$12:D$78)</f>
        <v>-1.6505399999999999</v>
      </c>
      <c r="N61" t="s">
        <v>29</v>
      </c>
      <c r="O61">
        <v>819</v>
      </c>
      <c r="P61">
        <v>15.8</v>
      </c>
      <c r="Q61">
        <v>10</v>
      </c>
      <c r="R61" t="str">
        <f>IF(AllDataCorrected[[#This Row],[Nitrate (PPM)]]&gt;2, "4. Very high (&gt;2ppm)", IF(AllDataCorrected[[#This Row],[Nitrate (PPM)]]&gt;1, "3. High (1-2ppm)", IF(AllDataCorrected[[#This Row],[Nitrate (PPM)]]&gt;0.5, "2. Some evidence (0.5-1ppm)", IF(AllDataCorrected[[#This Row],[Nitrate (PPM)]]&gt;=0, "1. No evidence (&lt;0.5ppm)"))))</f>
        <v>4. Very high (&gt;2ppm)</v>
      </c>
      <c r="S61">
        <v>0.33</v>
      </c>
      <c r="T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
        <v>0.5</v>
      </c>
    </row>
    <row r="62" spans="1:22" x14ac:dyDescent="0.25">
      <c r="A62" t="s">
        <v>121</v>
      </c>
      <c r="B62" s="2">
        <v>45167</v>
      </c>
      <c r="C62" t="str" cm="1">
        <f t="array" ref="C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2">
        <f>YEAR(AllDataCorrected[[#This Row],[Date]])</f>
        <v>2023</v>
      </c>
      <c r="E62" s="1">
        <v>0.69791666666666663</v>
      </c>
      <c r="F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 t="str">
        <f>_xlfn.XLOOKUP(AllDataCorrected[[#This Row],[Location Name]], Locations[Location Name],Locations[Group As])</f>
        <v>Weston-on-Avon</v>
      </c>
      <c r="H62" t="e" vm="2">
        <f>_xlfn.XLOOKUP(AllDataCorrected[[#This Row],[Site Name]],LocationsKey[Site Name],LocationsKey[District])</f>
        <v>#VALUE!</v>
      </c>
      <c r="I62" t="e" vm="6">
        <f>_xlfn.XLOOKUP(AllDataCorrected[[#This Row],[Site Name]],LocationsKey[Site Name],LocationsKey[Town])</f>
        <v>#VALUE!</v>
      </c>
      <c r="J62" t="str">
        <f>_xlfn.XLOOKUP(AllDataCorrected[[#This Row],[Site Name]],LocationsKey[Site Name], LocationsKey[Waterway])</f>
        <v>Avon</v>
      </c>
      <c r="K62" t="s">
        <v>41</v>
      </c>
      <c r="L62">
        <f>_xlfn.XLOOKUP(AllDataCorrected[[#This Row],[Site Name]],Tables!$B$12:$B$78, Tables!C$12:C$78)</f>
        <v>52.167429999999996</v>
      </c>
      <c r="M62">
        <f>_xlfn.XLOOKUP(AllDataCorrected[[#This Row],[Site Name]],Tables!$B$12:$B$78, Tables!D$12:D$78)</f>
        <v>-1.7744752941176474</v>
      </c>
      <c r="N62" t="s">
        <v>29</v>
      </c>
      <c r="O62">
        <v>1028</v>
      </c>
      <c r="P62">
        <v>18.5</v>
      </c>
      <c r="Q62">
        <v>5</v>
      </c>
      <c r="R62" t="str">
        <f>IF(AllDataCorrected[[#This Row],[Nitrate (PPM)]]&gt;2, "4. Very high (&gt;2ppm)", IF(AllDataCorrected[[#This Row],[Nitrate (PPM)]]&gt;1, "3. High (1-2ppm)", IF(AllDataCorrected[[#This Row],[Nitrate (PPM)]]&gt;0.5, "2. Some evidence (0.5-1ppm)", IF(AllDataCorrected[[#This Row],[Nitrate (PPM)]]&gt;=0, "1. No evidence (&lt;0.5ppm)"))))</f>
        <v>4. Very high (&gt;2ppm)</v>
      </c>
      <c r="S62">
        <v>0.76</v>
      </c>
      <c r="T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
        <v>0</v>
      </c>
    </row>
    <row r="63" spans="1:22" x14ac:dyDescent="0.25">
      <c r="A63" t="s">
        <v>122</v>
      </c>
      <c r="B63" s="2">
        <v>45168</v>
      </c>
      <c r="C63" t="str" cm="1">
        <f t="array" ref="C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3">
        <f>YEAR(AllDataCorrected[[#This Row],[Date]])</f>
        <v>2023</v>
      </c>
      <c r="E63" s="1">
        <v>0.47708333333333336</v>
      </c>
      <c r="F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 t="str">
        <f>_xlfn.XLOOKUP(AllDataCorrected[[#This Row],[Location Name]], Locations[Location Name],Locations[Group As])</f>
        <v>Stour Newbold Mill</v>
      </c>
      <c r="H63" t="e" vm="2">
        <f>_xlfn.XLOOKUP(AllDataCorrected[[#This Row],[Site Name]],LocationsKey[Site Name],LocationsKey[District])</f>
        <v>#VALUE!</v>
      </c>
      <c r="I63" t="e" vm="8">
        <f>_xlfn.XLOOKUP(AllDataCorrected[[#This Row],[Site Name]],LocationsKey[Site Name],LocationsKey[Town])</f>
        <v>#VALUE!</v>
      </c>
      <c r="J63" t="str">
        <f>_xlfn.XLOOKUP(AllDataCorrected[[#This Row],[Site Name]],LocationsKey[Site Name], LocationsKey[Waterway])</f>
        <v>Stour</v>
      </c>
      <c r="K63" t="s">
        <v>123</v>
      </c>
      <c r="L63">
        <f>_xlfn.XLOOKUP(AllDataCorrected[[#This Row],[Site Name]],Tables!$B$12:$B$78, Tables!C$12:C$78)</f>
        <v>52.113052370370362</v>
      </c>
      <c r="M63">
        <f>_xlfn.XLOOKUP(AllDataCorrected[[#This Row],[Site Name]],Tables!$B$12:$B$78, Tables!D$12:D$78)</f>
        <v>-1.6333685185185185</v>
      </c>
      <c r="N63" t="s">
        <v>29</v>
      </c>
      <c r="O63">
        <v>637</v>
      </c>
      <c r="P63">
        <v>18.399999999999999</v>
      </c>
      <c r="Q63">
        <v>2</v>
      </c>
      <c r="R63" t="str">
        <f>IF(AllDataCorrected[[#This Row],[Nitrate (PPM)]]&gt;2, "4. Very high (&gt;2ppm)", IF(AllDataCorrected[[#This Row],[Nitrate (PPM)]]&gt;1, "3. High (1-2ppm)", IF(AllDataCorrected[[#This Row],[Nitrate (PPM)]]&gt;0.5, "2. Some evidence (0.5-1ppm)", IF(AllDataCorrected[[#This Row],[Nitrate (PPM)]]&gt;=0, "1. No evidence (&lt;0.5ppm)"))))</f>
        <v>3. High (1-2ppm)</v>
      </c>
      <c r="S63">
        <v>0.78</v>
      </c>
      <c r="T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3">
        <v>2</v>
      </c>
      <c r="V63" t="s">
        <v>124</v>
      </c>
    </row>
    <row r="64" spans="1:22" x14ac:dyDescent="0.25">
      <c r="A64" t="s">
        <v>125</v>
      </c>
      <c r="B64" s="2">
        <v>45168</v>
      </c>
      <c r="C64" t="str" cm="1">
        <f t="array" ref="C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4">
        <f>YEAR(AllDataCorrected[[#This Row],[Date]])</f>
        <v>2023</v>
      </c>
      <c r="E64" s="1">
        <v>0.52083333333333337</v>
      </c>
      <c r="F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 t="str">
        <f>_xlfn.XLOOKUP(AllDataCorrected[[#This Row],[Location Name]], Locations[Location Name],Locations[Group As])</f>
        <v>Barton</v>
      </c>
      <c r="H64" t="e" vm="2">
        <f>_xlfn.XLOOKUP(AllDataCorrected[[#This Row],[Site Name]],LocationsKey[Site Name],LocationsKey[District])</f>
        <v>#VALUE!</v>
      </c>
      <c r="I64" t="str">
        <f>_xlfn.XLOOKUP(AllDataCorrected[[#This Row],[Site Name]],LocationsKey[Site Name],LocationsKey[Town])</f>
        <v>Barton</v>
      </c>
      <c r="J64" t="str">
        <f>_xlfn.XLOOKUP(AllDataCorrected[[#This Row],[Site Name]],LocationsKey[Site Name], LocationsKey[Waterway])</f>
        <v>Avon</v>
      </c>
      <c r="K64" t="s">
        <v>49</v>
      </c>
      <c r="L64">
        <f>_xlfn.XLOOKUP(AllDataCorrected[[#This Row],[Site Name]],Tables!$B$12:$B$78, Tables!C$12:C$78)</f>
        <v>52.16120999999999</v>
      </c>
      <c r="M64">
        <f>_xlfn.XLOOKUP(AllDataCorrected[[#This Row],[Site Name]],Tables!$B$12:$B$78, Tables!D$12:D$78)</f>
        <v>-1.8301499999999999</v>
      </c>
      <c r="N64" t="s">
        <v>29</v>
      </c>
      <c r="O64">
        <v>1018</v>
      </c>
      <c r="P64">
        <v>17</v>
      </c>
      <c r="Q64">
        <v>7</v>
      </c>
      <c r="R64" t="str">
        <f>IF(AllDataCorrected[[#This Row],[Nitrate (PPM)]]&gt;2, "4. Very high (&gt;2ppm)", IF(AllDataCorrected[[#This Row],[Nitrate (PPM)]]&gt;1, "3. High (1-2ppm)", IF(AllDataCorrected[[#This Row],[Nitrate (PPM)]]&gt;0.5, "2. Some evidence (0.5-1ppm)", IF(AllDataCorrected[[#This Row],[Nitrate (PPM)]]&gt;=0, "1. No evidence (&lt;0.5ppm)"))))</f>
        <v>4. Very high (&gt;2ppm)</v>
      </c>
      <c r="S64">
        <v>0.63</v>
      </c>
      <c r="T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
        <v>0</v>
      </c>
    </row>
    <row r="65" spans="1:22" x14ac:dyDescent="0.25">
      <c r="A65" t="s">
        <v>126</v>
      </c>
      <c r="B65" s="2">
        <v>45169</v>
      </c>
      <c r="C65" t="str" cm="1">
        <f t="array" ref="C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5">
        <f>YEAR(AllDataCorrected[[#This Row],[Date]])</f>
        <v>2023</v>
      </c>
      <c r="E65" s="1">
        <v>0.43055555555555558</v>
      </c>
      <c r="F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 t="str">
        <f>_xlfn.XLOOKUP(AllDataCorrected[[#This Row],[Location Name]], Locations[Location Name],Locations[Group As])</f>
        <v>Preston-on-Stour River Bridge</v>
      </c>
      <c r="H65" t="e" vm="2">
        <f>_xlfn.XLOOKUP(AllDataCorrected[[#This Row],[Site Name]],LocationsKey[Site Name],LocationsKey[District])</f>
        <v>#VALUE!</v>
      </c>
      <c r="I65" t="e" vm="9">
        <f>_xlfn.XLOOKUP(AllDataCorrected[[#This Row],[Site Name]],LocationsKey[Site Name],LocationsKey[Town])</f>
        <v>#VALUE!</v>
      </c>
      <c r="J65" t="str">
        <f>_xlfn.XLOOKUP(AllDataCorrected[[#This Row],[Site Name]],LocationsKey[Site Name], LocationsKey[Waterway])</f>
        <v>Stour</v>
      </c>
      <c r="K65" t="s">
        <v>127</v>
      </c>
      <c r="L65">
        <f>_xlfn.XLOOKUP(AllDataCorrected[[#This Row],[Site Name]],Tables!$B$12:$B$78, Tables!C$12:C$78)</f>
        <v>52.146529500000007</v>
      </c>
      <c r="M65">
        <f>_xlfn.XLOOKUP(AllDataCorrected[[#This Row],[Site Name]],Tables!$B$12:$B$78, Tables!D$12:D$78)</f>
        <v>-1.6996899999999999</v>
      </c>
      <c r="N65" t="s">
        <v>29</v>
      </c>
      <c r="O65">
        <v>699</v>
      </c>
      <c r="P65">
        <v>16</v>
      </c>
      <c r="Q65">
        <v>5</v>
      </c>
      <c r="R65" t="str">
        <f>IF(AllDataCorrected[[#This Row],[Nitrate (PPM)]]&gt;2, "4. Very high (&gt;2ppm)", IF(AllDataCorrected[[#This Row],[Nitrate (PPM)]]&gt;1, "3. High (1-2ppm)", IF(AllDataCorrected[[#This Row],[Nitrate (PPM)]]&gt;0.5, "2. Some evidence (0.5-1ppm)", IF(AllDataCorrected[[#This Row],[Nitrate (PPM)]]&gt;=0, "1. No evidence (&lt;0.5ppm)"))))</f>
        <v>4. Very high (&gt;2ppm)</v>
      </c>
      <c r="S65">
        <v>0.55000000000000004</v>
      </c>
      <c r="T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
        <v>4</v>
      </c>
      <c r="V65" t="s">
        <v>128</v>
      </c>
    </row>
    <row r="66" spans="1:22" x14ac:dyDescent="0.25">
      <c r="A66" t="s">
        <v>129</v>
      </c>
      <c r="B66" s="2">
        <v>45169</v>
      </c>
      <c r="C66" t="str" cm="1">
        <f t="array" ref="C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6">
        <f>YEAR(AllDataCorrected[[#This Row],[Date]])</f>
        <v>2023</v>
      </c>
      <c r="E66" s="1">
        <v>0.60763888888888884</v>
      </c>
      <c r="F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 t="str">
        <f>_xlfn.XLOOKUP(AllDataCorrected[[#This Row],[Location Name]], Locations[Location Name],Locations[Group As])</f>
        <v>Swilgate</v>
      </c>
      <c r="H66" t="e" vm="1">
        <f>_xlfn.XLOOKUP(AllDataCorrected[[#This Row],[Site Name]],LocationsKey[Site Name],LocationsKey[District])</f>
        <v>#VALUE!</v>
      </c>
      <c r="I66" t="e" vm="1">
        <f>_xlfn.XLOOKUP(AllDataCorrected[[#This Row],[Site Name]],LocationsKey[Site Name],LocationsKey[Town])</f>
        <v>#VALUE!</v>
      </c>
      <c r="J66" t="str">
        <f>_xlfn.XLOOKUP(AllDataCorrected[[#This Row],[Site Name]],LocationsKey[Site Name], LocationsKey[Waterway])</f>
        <v>Swilgate</v>
      </c>
      <c r="K66" t="s">
        <v>84</v>
      </c>
      <c r="L66">
        <f>_xlfn.XLOOKUP(AllDataCorrected[[#This Row],[Site Name]],Tables!$B$12:$B$78, Tables!C$12:C$78)</f>
        <v>51.9885442</v>
      </c>
      <c r="M66">
        <f>_xlfn.XLOOKUP(AllDataCorrected[[#This Row],[Site Name]],Tables!$B$12:$B$78, Tables!D$12:D$78)</f>
        <v>-2.1639010000000001</v>
      </c>
      <c r="N66" t="s">
        <v>23</v>
      </c>
      <c r="O66">
        <v>872</v>
      </c>
      <c r="P66">
        <v>15.7</v>
      </c>
      <c r="Q66">
        <v>8</v>
      </c>
      <c r="R66" t="str">
        <f>IF(AllDataCorrected[[#This Row],[Nitrate (PPM)]]&gt;2, "4. Very high (&gt;2ppm)", IF(AllDataCorrected[[#This Row],[Nitrate (PPM)]]&gt;1, "3. High (1-2ppm)", IF(AllDataCorrected[[#This Row],[Nitrate (PPM)]]&gt;0.5, "2. Some evidence (0.5-1ppm)", IF(AllDataCorrected[[#This Row],[Nitrate (PPM)]]&gt;=0, "1. No evidence (&lt;0.5ppm)"))))</f>
        <v>4. Very high (&gt;2ppm)</v>
      </c>
      <c r="S66">
        <v>0.65</v>
      </c>
      <c r="T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
        <v>0</v>
      </c>
    </row>
    <row r="67" spans="1:22" x14ac:dyDescent="0.25">
      <c r="A67" t="s">
        <v>131</v>
      </c>
      <c r="B67" s="2">
        <v>45171</v>
      </c>
      <c r="C67" t="str" cm="1">
        <f t="array" ref="C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7">
        <f>YEAR(AllDataCorrected[[#This Row],[Date]])</f>
        <v>2023</v>
      </c>
      <c r="E67" s="1">
        <v>0.45833333333333331</v>
      </c>
      <c r="F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7" t="str">
        <f>_xlfn.XLOOKUP(AllDataCorrected[[#This Row],[Location Name]], Locations[Location Name],Locations[Group As])</f>
        <v>Avonbank Drive</v>
      </c>
      <c r="H67" t="e" vm="2">
        <f>_xlfn.XLOOKUP(AllDataCorrected[[#This Row],[Site Name]],LocationsKey[Site Name],LocationsKey[District])</f>
        <v>#VALUE!</v>
      </c>
      <c r="I67" t="e" vm="7">
        <f>_xlfn.XLOOKUP(AllDataCorrected[[#This Row],[Site Name]],LocationsKey[Site Name],LocationsKey[Town])</f>
        <v>#VALUE!</v>
      </c>
      <c r="J67" t="str">
        <f>_xlfn.XLOOKUP(AllDataCorrected[[#This Row],[Site Name]],LocationsKey[Site Name], LocationsKey[Waterway])</f>
        <v>Avon</v>
      </c>
      <c r="K67" t="s">
        <v>103</v>
      </c>
      <c r="L67">
        <f>_xlfn.XLOOKUP(AllDataCorrected[[#This Row],[Site Name]],Tables!$B$12:$B$78, Tables!C$12:C$78)</f>
        <v>52.177054657142854</v>
      </c>
      <c r="M67">
        <f>_xlfn.XLOOKUP(AllDataCorrected[[#This Row],[Site Name]],Tables!$B$12:$B$78, Tables!D$12:D$78)</f>
        <v>-1.7358669999999996</v>
      </c>
      <c r="N67" t="s">
        <v>66</v>
      </c>
      <c r="O67">
        <v>990</v>
      </c>
      <c r="P67">
        <v>23.4</v>
      </c>
      <c r="Q67">
        <v>10</v>
      </c>
      <c r="R67" t="str">
        <f>IF(AllDataCorrected[[#This Row],[Nitrate (PPM)]]&gt;2, "4. Very high (&gt;2ppm)", IF(AllDataCorrected[[#This Row],[Nitrate (PPM)]]&gt;1, "3. High (1-2ppm)", IF(AllDataCorrected[[#This Row],[Nitrate (PPM)]]&gt;0.5, "2. Some evidence (0.5-1ppm)", IF(AllDataCorrected[[#This Row],[Nitrate (PPM)]]&gt;=0, "1. No evidence (&lt;0.5ppm)"))))</f>
        <v>4. Very high (&gt;2ppm)</v>
      </c>
      <c r="S67">
        <v>0.51</v>
      </c>
      <c r="T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
        <v>0.56999999999999995</v>
      </c>
    </row>
    <row r="68" spans="1:22" x14ac:dyDescent="0.25">
      <c r="A68" t="s">
        <v>130</v>
      </c>
      <c r="B68" s="2">
        <v>45171</v>
      </c>
      <c r="C68" t="str" cm="1">
        <f t="array" ref="C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8">
        <f>YEAR(AllDataCorrected[[#This Row],[Date]])</f>
        <v>2023</v>
      </c>
      <c r="E68" s="1">
        <v>0.45833333333333331</v>
      </c>
      <c r="F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 t="str">
        <f>_xlfn.XLOOKUP(AllDataCorrected[[#This Row],[Location Name]], Locations[Location Name],Locations[Group As])</f>
        <v>Pitch 16</v>
      </c>
      <c r="H68" t="e" vm="2">
        <f>_xlfn.XLOOKUP(AllDataCorrected[[#This Row],[Site Name]],LocationsKey[Site Name],LocationsKey[District])</f>
        <v>#VALUE!</v>
      </c>
      <c r="I68" t="e" vm="7">
        <f>_xlfn.XLOOKUP(AllDataCorrected[[#This Row],[Site Name]],LocationsKey[Site Name],LocationsKey[Town])</f>
        <v>#VALUE!</v>
      </c>
      <c r="J68" t="str">
        <f>_xlfn.XLOOKUP(AllDataCorrected[[#This Row],[Site Name]],LocationsKey[Site Name], LocationsKey[Waterway])</f>
        <v>Avon</v>
      </c>
      <c r="K68" t="s">
        <v>69</v>
      </c>
      <c r="L68">
        <f>_xlfn.XLOOKUP(AllDataCorrected[[#This Row],[Site Name]],Tables!$B$12:$B$78, Tables!C$12:C$78)</f>
        <v>52.17355294117646</v>
      </c>
      <c r="M68">
        <f>_xlfn.XLOOKUP(AllDataCorrected[[#This Row],[Site Name]],Tables!$B$12:$B$78, Tables!D$12:D$78)</f>
        <v>-1.7433199411764708</v>
      </c>
      <c r="N68" t="s">
        <v>29</v>
      </c>
      <c r="O68">
        <v>971</v>
      </c>
      <c r="P68">
        <v>21.7</v>
      </c>
      <c r="Q68">
        <v>10</v>
      </c>
      <c r="R68" t="str">
        <f>IF(AllDataCorrected[[#This Row],[Nitrate (PPM)]]&gt;2, "4. Very high (&gt;2ppm)", IF(AllDataCorrected[[#This Row],[Nitrate (PPM)]]&gt;1, "3. High (1-2ppm)", IF(AllDataCorrected[[#This Row],[Nitrate (PPM)]]&gt;0.5, "2. Some evidence (0.5-1ppm)", IF(AllDataCorrected[[#This Row],[Nitrate (PPM)]]&gt;=0, "1. No evidence (&lt;0.5ppm)"))))</f>
        <v>4. Very high (&gt;2ppm)</v>
      </c>
      <c r="S68">
        <v>0.45</v>
      </c>
      <c r="T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
        <v>0.56999999999999995</v>
      </c>
    </row>
    <row r="69" spans="1:22" x14ac:dyDescent="0.25">
      <c r="A69" t="s">
        <v>132</v>
      </c>
      <c r="B69" s="2">
        <v>45171</v>
      </c>
      <c r="C69" t="str" cm="1">
        <f t="array" ref="C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9">
        <f>YEAR(AllDataCorrected[[#This Row],[Date]])</f>
        <v>2023</v>
      </c>
      <c r="E69" s="1">
        <v>0.60416666666666663</v>
      </c>
      <c r="F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 t="str">
        <f>_xlfn.XLOOKUP(AllDataCorrected[[#This Row],[Location Name]], Locations[Location Name],Locations[Group As])</f>
        <v>Carrant Bredon Rd</v>
      </c>
      <c r="H69" t="e" vm="1">
        <f>_xlfn.XLOOKUP(AllDataCorrected[[#This Row],[Site Name]],LocationsKey[Site Name],LocationsKey[District])</f>
        <v>#VALUE!</v>
      </c>
      <c r="I69" t="e" vm="1">
        <f>_xlfn.XLOOKUP(AllDataCorrected[[#This Row],[Site Name]],LocationsKey[Site Name],LocationsKey[Town])</f>
        <v>#VALUE!</v>
      </c>
      <c r="J69" t="str">
        <f>_xlfn.XLOOKUP(AllDataCorrected[[#This Row],[Site Name]],LocationsKey[Site Name], LocationsKey[Waterway])</f>
        <v>Carrant</v>
      </c>
      <c r="K69" t="s">
        <v>90</v>
      </c>
      <c r="L69">
        <f>_xlfn.XLOOKUP(AllDataCorrected[[#This Row],[Site Name]],Tables!$B$12:$B$78, Tables!C$12:C$78)</f>
        <v>51.996416567567572</v>
      </c>
      <c r="M69">
        <f>_xlfn.XLOOKUP(AllDataCorrected[[#This Row],[Site Name]],Tables!$B$12:$B$78, Tables!D$12:D$78)</f>
        <v>-2.1556626756756749</v>
      </c>
      <c r="N69" t="s">
        <v>23</v>
      </c>
      <c r="O69">
        <v>641</v>
      </c>
      <c r="P69">
        <v>17.3</v>
      </c>
      <c r="Q69">
        <v>6</v>
      </c>
      <c r="R69" t="str">
        <f>IF(AllDataCorrected[[#This Row],[Nitrate (PPM)]]&gt;2, "4. Very high (&gt;2ppm)", IF(AllDataCorrected[[#This Row],[Nitrate (PPM)]]&gt;1, "3. High (1-2ppm)", IF(AllDataCorrected[[#This Row],[Nitrate (PPM)]]&gt;0.5, "2. Some evidence (0.5-1ppm)", IF(AllDataCorrected[[#This Row],[Nitrate (PPM)]]&gt;=0, "1. No evidence (&lt;0.5ppm)"))))</f>
        <v>4. Very high (&gt;2ppm)</v>
      </c>
      <c r="S69">
        <v>0.11</v>
      </c>
      <c r="T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
        <v>0</v>
      </c>
    </row>
    <row r="70" spans="1:22" x14ac:dyDescent="0.25">
      <c r="A70" t="s">
        <v>133</v>
      </c>
      <c r="B70" s="2">
        <v>45171</v>
      </c>
      <c r="C70" t="str" cm="1">
        <f t="array" ref="C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0">
        <f>YEAR(AllDataCorrected[[#This Row],[Date]])</f>
        <v>2023</v>
      </c>
      <c r="E70" s="1">
        <v>0.625</v>
      </c>
      <c r="F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 t="str">
        <f>_xlfn.XLOOKUP(AllDataCorrected[[#This Row],[Location Name]], Locations[Location Name],Locations[Group As])</f>
        <v>Abbey Mill</v>
      </c>
      <c r="H70" t="e" vm="1">
        <f>_xlfn.XLOOKUP(AllDataCorrected[[#This Row],[Site Name]],LocationsKey[Site Name],LocationsKey[District])</f>
        <v>#VALUE!</v>
      </c>
      <c r="I70" t="e" vm="1">
        <f>_xlfn.XLOOKUP(AllDataCorrected[[#This Row],[Site Name]],LocationsKey[Site Name],LocationsKey[Town])</f>
        <v>#VALUE!</v>
      </c>
      <c r="J70" t="str">
        <f>_xlfn.XLOOKUP(AllDataCorrected[[#This Row],[Site Name]],LocationsKey[Site Name], LocationsKey[Waterway])</f>
        <v>Avon</v>
      </c>
      <c r="K70" t="s">
        <v>25</v>
      </c>
      <c r="L70">
        <f>_xlfn.XLOOKUP(AllDataCorrected[[#This Row],[Site Name]],Tables!$B$12:$B$78, Tables!C$12:C$78)</f>
        <v>51.991389555555564</v>
      </c>
      <c r="M70">
        <f>_xlfn.XLOOKUP(AllDataCorrected[[#This Row],[Site Name]],Tables!$B$12:$B$78, Tables!D$12:D$78)</f>
        <v>-2.1620794000000005</v>
      </c>
      <c r="N70" t="s">
        <v>23</v>
      </c>
      <c r="O70">
        <v>1020</v>
      </c>
      <c r="P70">
        <v>19.5</v>
      </c>
      <c r="Q70">
        <v>10</v>
      </c>
      <c r="R70" t="str">
        <f>IF(AllDataCorrected[[#This Row],[Nitrate (PPM)]]&gt;2, "4. Very high (&gt;2ppm)", IF(AllDataCorrected[[#This Row],[Nitrate (PPM)]]&gt;1, "3. High (1-2ppm)", IF(AllDataCorrected[[#This Row],[Nitrate (PPM)]]&gt;0.5, "2. Some evidence (0.5-1ppm)", IF(AllDataCorrected[[#This Row],[Nitrate (PPM)]]&gt;=0, "1. No evidence (&lt;0.5ppm)"))))</f>
        <v>4. Very high (&gt;2ppm)</v>
      </c>
      <c r="S70">
        <v>1.08</v>
      </c>
      <c r="T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
        <v>0</v>
      </c>
    </row>
    <row r="71" spans="1:22" x14ac:dyDescent="0.25">
      <c r="A71" t="s">
        <v>134</v>
      </c>
      <c r="B71" s="2">
        <v>45172</v>
      </c>
      <c r="C71" t="str" cm="1">
        <f t="array" ref="C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1">
        <f>YEAR(AllDataCorrected[[#This Row],[Date]])</f>
        <v>2023</v>
      </c>
      <c r="E71" s="1">
        <v>0.49305555555555558</v>
      </c>
      <c r="F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 t="str">
        <f>_xlfn.XLOOKUP(AllDataCorrected[[#This Row],[Location Name]], Locations[Location Name],Locations[Group As])</f>
        <v>Hampton Wood</v>
      </c>
      <c r="H71" t="e" vm="2">
        <f>_xlfn.XLOOKUP(AllDataCorrected[[#This Row],[Site Name]],LocationsKey[Site Name],LocationsKey[District])</f>
        <v>#VALUE!</v>
      </c>
      <c r="I71" t="e" vm="3">
        <f>_xlfn.XLOOKUP(AllDataCorrected[[#This Row],[Site Name]],LocationsKey[Site Name],LocationsKey[Town])</f>
        <v>#VALUE!</v>
      </c>
      <c r="J71" t="str">
        <f>_xlfn.XLOOKUP(AllDataCorrected[[#This Row],[Site Name]],LocationsKey[Site Name], LocationsKey[Waterway])</f>
        <v>Avon</v>
      </c>
      <c r="K71" t="s">
        <v>34</v>
      </c>
      <c r="L71">
        <f>_xlfn.XLOOKUP(AllDataCorrected[[#This Row],[Site Name]],Tables!$B$12:$B$78, Tables!C$12:C$78)</f>
        <v>52.23814999999999</v>
      </c>
      <c r="M71">
        <f>_xlfn.XLOOKUP(AllDataCorrected[[#This Row],[Site Name]],Tables!$B$12:$B$78, Tables!D$12:D$78)</f>
        <v>-1.6245800000000008</v>
      </c>
      <c r="N71" t="s">
        <v>29</v>
      </c>
      <c r="O71">
        <v>890</v>
      </c>
      <c r="P71">
        <v>21.2</v>
      </c>
      <c r="Q71">
        <v>5</v>
      </c>
      <c r="R71" t="str">
        <f>IF(AllDataCorrected[[#This Row],[Nitrate (PPM)]]&gt;2, "4. Very high (&gt;2ppm)", IF(AllDataCorrected[[#This Row],[Nitrate (PPM)]]&gt;1, "3. High (1-2ppm)", IF(AllDataCorrected[[#This Row],[Nitrate (PPM)]]&gt;0.5, "2. Some evidence (0.5-1ppm)", IF(AllDataCorrected[[#This Row],[Nitrate (PPM)]]&gt;=0, "1. No evidence (&lt;0.5ppm)"))))</f>
        <v>4. Very high (&gt;2ppm)</v>
      </c>
      <c r="S71">
        <v>0.52</v>
      </c>
      <c r="T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
        <v>0</v>
      </c>
    </row>
    <row r="72" spans="1:22" x14ac:dyDescent="0.25">
      <c r="A72" t="s">
        <v>135</v>
      </c>
      <c r="B72" s="2">
        <v>45172</v>
      </c>
      <c r="C72" t="str" cm="1">
        <f t="array" ref="C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2">
        <f>YEAR(AllDataCorrected[[#This Row],[Date]])</f>
        <v>2023</v>
      </c>
      <c r="E72" s="1">
        <v>0.53125</v>
      </c>
      <c r="F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 t="str">
        <f>_xlfn.XLOOKUP(AllDataCorrected[[#This Row],[Location Name]], Locations[Location Name],Locations[Group As])</f>
        <v>Hampton Lucy</v>
      </c>
      <c r="H72" t="e" vm="2">
        <f>_xlfn.XLOOKUP(AllDataCorrected[[#This Row],[Site Name]],LocationsKey[Site Name],LocationsKey[District])</f>
        <v>#VALUE!</v>
      </c>
      <c r="I72" t="e" vm="4">
        <f>_xlfn.XLOOKUP(AllDataCorrected[[#This Row],[Site Name]],LocationsKey[Site Name],LocationsKey[Town])</f>
        <v>#VALUE!</v>
      </c>
      <c r="J72" t="str">
        <f>_xlfn.XLOOKUP(AllDataCorrected[[#This Row],[Site Name]],LocationsKey[Site Name], LocationsKey[Waterway])</f>
        <v>Avon</v>
      </c>
      <c r="K72" t="s">
        <v>37</v>
      </c>
      <c r="L72">
        <f>_xlfn.XLOOKUP(AllDataCorrected[[#This Row],[Site Name]],Tables!$B$12:$B$78, Tables!C$12:C$78)</f>
        <v>52.211679999999973</v>
      </c>
      <c r="M72">
        <f>_xlfn.XLOOKUP(AllDataCorrected[[#This Row],[Site Name]],Tables!$B$12:$B$78, Tables!D$12:D$78)</f>
        <v>-1.6244400000000001</v>
      </c>
      <c r="N72" t="s">
        <v>23</v>
      </c>
      <c r="O72">
        <v>834</v>
      </c>
      <c r="P72">
        <v>21.1</v>
      </c>
      <c r="Q72">
        <v>6</v>
      </c>
      <c r="R72" t="str">
        <f>IF(AllDataCorrected[[#This Row],[Nitrate (PPM)]]&gt;2, "4. Very high (&gt;2ppm)", IF(AllDataCorrected[[#This Row],[Nitrate (PPM)]]&gt;1, "3. High (1-2ppm)", IF(AllDataCorrected[[#This Row],[Nitrate (PPM)]]&gt;0.5, "2. Some evidence (0.5-1ppm)", IF(AllDataCorrected[[#This Row],[Nitrate (PPM)]]&gt;=0, "1. No evidence (&lt;0.5ppm)"))))</f>
        <v>4. Very high (&gt;2ppm)</v>
      </c>
      <c r="S72">
        <v>0.53</v>
      </c>
      <c r="T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
        <v>0</v>
      </c>
    </row>
    <row r="73" spans="1:22" x14ac:dyDescent="0.25">
      <c r="A73" t="s">
        <v>136</v>
      </c>
      <c r="B73" s="2">
        <v>45172</v>
      </c>
      <c r="C73" t="str" cm="1">
        <f t="array" ref="C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3">
        <f>YEAR(AllDataCorrected[[#This Row],[Date]])</f>
        <v>2023</v>
      </c>
      <c r="E73" s="1">
        <v>0.75</v>
      </c>
      <c r="F7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73" t="str">
        <f>_xlfn.XLOOKUP(AllDataCorrected[[#This Row],[Location Name]], Locations[Location Name],Locations[Group As])</f>
        <v>Welford Boat Station</v>
      </c>
      <c r="H73" t="e" vm="2">
        <f>_xlfn.XLOOKUP(AllDataCorrected[[#This Row],[Site Name]],LocationsKey[Site Name],LocationsKey[District])</f>
        <v>#VALUE!</v>
      </c>
      <c r="I73" t="e" vm="5">
        <f>_xlfn.XLOOKUP(AllDataCorrected[[#This Row],[Site Name]],LocationsKey[Site Name],LocationsKey[Town])</f>
        <v>#VALUE!</v>
      </c>
      <c r="J73" t="str">
        <f>_xlfn.XLOOKUP(AllDataCorrected[[#This Row],[Site Name]],LocationsKey[Site Name], LocationsKey[Waterway])</f>
        <v>Avon</v>
      </c>
      <c r="K73" t="s">
        <v>39</v>
      </c>
      <c r="L73">
        <f>_xlfn.XLOOKUP(AllDataCorrected[[#This Row],[Site Name]],Tables!$B$12:$B$78, Tables!C$12:C$78)</f>
        <v>52.175174684210546</v>
      </c>
      <c r="M73">
        <f>_xlfn.XLOOKUP(AllDataCorrected[[#This Row],[Site Name]],Tables!$B$12:$B$78, Tables!D$12:D$78)</f>
        <v>-1.7918551052631577</v>
      </c>
      <c r="N73" t="s">
        <v>29</v>
      </c>
      <c r="O73">
        <v>992</v>
      </c>
      <c r="P73">
        <v>20.100000000000001</v>
      </c>
      <c r="Q73">
        <v>4.5</v>
      </c>
      <c r="R73" t="str">
        <f>IF(AllDataCorrected[[#This Row],[Nitrate (PPM)]]&gt;2, "4. Very high (&gt;2ppm)", IF(AllDataCorrected[[#This Row],[Nitrate (PPM)]]&gt;1, "3. High (1-2ppm)", IF(AllDataCorrected[[#This Row],[Nitrate (PPM)]]&gt;0.5, "2. Some evidence (0.5-1ppm)", IF(AllDataCorrected[[#This Row],[Nitrate (PPM)]]&gt;=0, "1. No evidence (&lt;0.5ppm)"))))</f>
        <v>4. Very high (&gt;2ppm)</v>
      </c>
      <c r="S73">
        <v>0.54</v>
      </c>
      <c r="T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
        <v>0</v>
      </c>
      <c r="V73" t="s">
        <v>137</v>
      </c>
    </row>
    <row r="74" spans="1:22" x14ac:dyDescent="0.25">
      <c r="A74" t="s">
        <v>138</v>
      </c>
      <c r="B74" s="2">
        <v>45173</v>
      </c>
      <c r="C74" t="str" cm="1">
        <f t="array" ref="C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4">
        <f>YEAR(AllDataCorrected[[#This Row],[Date]])</f>
        <v>2023</v>
      </c>
      <c r="E74" s="1">
        <v>0.71180555555555558</v>
      </c>
      <c r="F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 t="str">
        <f>_xlfn.XLOOKUP(AllDataCorrected[[#This Row],[Location Name]], Locations[Location Name],Locations[Group As])</f>
        <v>Weston-on-Avon</v>
      </c>
      <c r="H74" t="e" vm="2">
        <f>_xlfn.XLOOKUP(AllDataCorrected[[#This Row],[Site Name]],LocationsKey[Site Name],LocationsKey[District])</f>
        <v>#VALUE!</v>
      </c>
      <c r="I74" t="e" vm="6">
        <f>_xlfn.XLOOKUP(AllDataCorrected[[#This Row],[Site Name]],LocationsKey[Site Name],LocationsKey[Town])</f>
        <v>#VALUE!</v>
      </c>
      <c r="J74" t="str">
        <f>_xlfn.XLOOKUP(AllDataCorrected[[#This Row],[Site Name]],LocationsKey[Site Name], LocationsKey[Waterway])</f>
        <v>Avon</v>
      </c>
      <c r="K74" t="s">
        <v>41</v>
      </c>
      <c r="L74">
        <f>_xlfn.XLOOKUP(AllDataCorrected[[#This Row],[Site Name]],Tables!$B$12:$B$78, Tables!C$12:C$78)</f>
        <v>52.167429999999996</v>
      </c>
      <c r="M74">
        <f>_xlfn.XLOOKUP(AllDataCorrected[[#This Row],[Site Name]],Tables!$B$12:$B$78, Tables!D$12:D$78)</f>
        <v>-1.7744752941176474</v>
      </c>
      <c r="N74" t="s">
        <v>29</v>
      </c>
      <c r="O74">
        <v>976</v>
      </c>
      <c r="P74">
        <v>21.6</v>
      </c>
      <c r="Q74">
        <v>4</v>
      </c>
      <c r="R74" t="str">
        <f>IF(AllDataCorrected[[#This Row],[Nitrate (PPM)]]&gt;2, "4. Very high (&gt;2ppm)", IF(AllDataCorrected[[#This Row],[Nitrate (PPM)]]&gt;1, "3. High (1-2ppm)", IF(AllDataCorrected[[#This Row],[Nitrate (PPM)]]&gt;0.5, "2. Some evidence (0.5-1ppm)", IF(AllDataCorrected[[#This Row],[Nitrate (PPM)]]&gt;=0, "1. No evidence (&lt;0.5ppm)"))))</f>
        <v>4. Very high (&gt;2ppm)</v>
      </c>
      <c r="S74">
        <v>0.7</v>
      </c>
      <c r="T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
        <v>0</v>
      </c>
    </row>
    <row r="75" spans="1:22" x14ac:dyDescent="0.25">
      <c r="A75" t="s">
        <v>139</v>
      </c>
      <c r="B75" s="2">
        <v>45175</v>
      </c>
      <c r="C75" t="str" cm="1">
        <f t="array" ref="C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5">
        <f>YEAR(AllDataCorrected[[#This Row],[Date]])</f>
        <v>2023</v>
      </c>
      <c r="E75" s="1">
        <v>0.65694444444444444</v>
      </c>
      <c r="F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 t="str">
        <f>_xlfn.XLOOKUP(AllDataCorrected[[#This Row],[Location Name]], Locations[Location Name],Locations[Group As])</f>
        <v>Stour Newbold Mill</v>
      </c>
      <c r="H75" t="e" vm="2">
        <f>_xlfn.XLOOKUP(AllDataCorrected[[#This Row],[Site Name]],LocationsKey[Site Name],LocationsKey[District])</f>
        <v>#VALUE!</v>
      </c>
      <c r="I75" t="e" vm="8">
        <f>_xlfn.XLOOKUP(AllDataCorrected[[#This Row],[Site Name]],LocationsKey[Site Name],LocationsKey[Town])</f>
        <v>#VALUE!</v>
      </c>
      <c r="J75" t="str">
        <f>_xlfn.XLOOKUP(AllDataCorrected[[#This Row],[Site Name]],LocationsKey[Site Name], LocationsKey[Waterway])</f>
        <v>Stour</v>
      </c>
      <c r="K75" t="s">
        <v>140</v>
      </c>
      <c r="L75">
        <f>_xlfn.XLOOKUP(AllDataCorrected[[#This Row],[Site Name]],Tables!$B$12:$B$78, Tables!C$12:C$78)</f>
        <v>52.113052370370362</v>
      </c>
      <c r="M75">
        <f>_xlfn.XLOOKUP(AllDataCorrected[[#This Row],[Site Name]],Tables!$B$12:$B$78, Tables!D$12:D$78)</f>
        <v>-1.6333685185185185</v>
      </c>
      <c r="N75" t="s">
        <v>29</v>
      </c>
      <c r="O75">
        <v>694</v>
      </c>
      <c r="P75">
        <v>19.7</v>
      </c>
      <c r="Q75">
        <v>10</v>
      </c>
      <c r="R75" t="str">
        <f>IF(AllDataCorrected[[#This Row],[Nitrate (PPM)]]&gt;2, "4. Very high (&gt;2ppm)", IF(AllDataCorrected[[#This Row],[Nitrate (PPM)]]&gt;1, "3. High (1-2ppm)", IF(AllDataCorrected[[#This Row],[Nitrate (PPM)]]&gt;0.5, "2. Some evidence (0.5-1ppm)", IF(AllDataCorrected[[#This Row],[Nitrate (PPM)]]&gt;=0, "1. No evidence (&lt;0.5ppm)"))))</f>
        <v>4. Very high (&gt;2ppm)</v>
      </c>
      <c r="S75">
        <v>0.56999999999999995</v>
      </c>
      <c r="T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
        <v>2</v>
      </c>
      <c r="V75" t="s">
        <v>141</v>
      </c>
    </row>
    <row r="76" spans="1:22" x14ac:dyDescent="0.25">
      <c r="A76" t="s">
        <v>142</v>
      </c>
      <c r="B76" s="2">
        <v>45176</v>
      </c>
      <c r="C76" t="str" cm="1">
        <f t="array" ref="C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6">
        <f>YEAR(AllDataCorrected[[#This Row],[Date]])</f>
        <v>2023</v>
      </c>
      <c r="E76" s="1">
        <v>0.46527777777777779</v>
      </c>
      <c r="F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 t="str">
        <f>_xlfn.XLOOKUP(AllDataCorrected[[#This Row],[Location Name]], Locations[Location Name],Locations[Group As])</f>
        <v>Swilgate</v>
      </c>
      <c r="H76" t="e" vm="1">
        <f>_xlfn.XLOOKUP(AllDataCorrected[[#This Row],[Site Name]],LocationsKey[Site Name],LocationsKey[District])</f>
        <v>#VALUE!</v>
      </c>
      <c r="I76" t="e" vm="1">
        <f>_xlfn.XLOOKUP(AllDataCorrected[[#This Row],[Site Name]],LocationsKey[Site Name],LocationsKey[Town])</f>
        <v>#VALUE!</v>
      </c>
      <c r="J76" t="str">
        <f>_xlfn.XLOOKUP(AllDataCorrected[[#This Row],[Site Name]],LocationsKey[Site Name], LocationsKey[Waterway])</f>
        <v>Swilgate</v>
      </c>
      <c r="K76" t="s">
        <v>84</v>
      </c>
      <c r="L76">
        <f>_xlfn.XLOOKUP(AllDataCorrected[[#This Row],[Site Name]],Tables!$B$12:$B$78, Tables!C$12:C$78)</f>
        <v>51.9885442</v>
      </c>
      <c r="M76">
        <f>_xlfn.XLOOKUP(AllDataCorrected[[#This Row],[Site Name]],Tables!$B$12:$B$78, Tables!D$12:D$78)</f>
        <v>-2.1639010000000001</v>
      </c>
      <c r="N76" t="s">
        <v>23</v>
      </c>
      <c r="O76">
        <v>111</v>
      </c>
      <c r="P76">
        <v>20.2</v>
      </c>
      <c r="Q76">
        <v>8</v>
      </c>
      <c r="R76" t="str">
        <f>IF(AllDataCorrected[[#This Row],[Nitrate (PPM)]]&gt;2, "4. Very high (&gt;2ppm)", IF(AllDataCorrected[[#This Row],[Nitrate (PPM)]]&gt;1, "3. High (1-2ppm)", IF(AllDataCorrected[[#This Row],[Nitrate (PPM)]]&gt;0.5, "2. Some evidence (0.5-1ppm)", IF(AllDataCorrected[[#This Row],[Nitrate (PPM)]]&gt;=0, "1. No evidence (&lt;0.5ppm)"))))</f>
        <v>4. Very high (&gt;2ppm)</v>
      </c>
      <c r="U76">
        <v>0</v>
      </c>
      <c r="V76" t="s">
        <v>143</v>
      </c>
    </row>
    <row r="77" spans="1:22" x14ac:dyDescent="0.25">
      <c r="A77" t="s">
        <v>144</v>
      </c>
      <c r="B77" s="2">
        <v>45176</v>
      </c>
      <c r="C77" t="str" cm="1">
        <f t="array" ref="C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7">
        <f>YEAR(AllDataCorrected[[#This Row],[Date]])</f>
        <v>2023</v>
      </c>
      <c r="E77" s="1">
        <v>0.55347222222222225</v>
      </c>
      <c r="F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 t="str">
        <f>_xlfn.XLOOKUP(AllDataCorrected[[#This Row],[Location Name]], Locations[Location Name],Locations[Group As])</f>
        <v>Preston-on-Stour River Bridge</v>
      </c>
      <c r="H77" t="e" vm="2">
        <f>_xlfn.XLOOKUP(AllDataCorrected[[#This Row],[Site Name]],LocationsKey[Site Name],LocationsKey[District])</f>
        <v>#VALUE!</v>
      </c>
      <c r="I77" t="e" vm="9">
        <f>_xlfn.XLOOKUP(AllDataCorrected[[#This Row],[Site Name]],LocationsKey[Site Name],LocationsKey[Town])</f>
        <v>#VALUE!</v>
      </c>
      <c r="J77" t="str">
        <f>_xlfn.XLOOKUP(AllDataCorrected[[#This Row],[Site Name]],LocationsKey[Site Name], LocationsKey[Waterway])</f>
        <v>Stour</v>
      </c>
      <c r="K77" t="s">
        <v>145</v>
      </c>
      <c r="L77">
        <f>_xlfn.XLOOKUP(AllDataCorrected[[#This Row],[Site Name]],Tables!$B$12:$B$78, Tables!C$12:C$78)</f>
        <v>52.146529500000007</v>
      </c>
      <c r="M77">
        <f>_xlfn.XLOOKUP(AllDataCorrected[[#This Row],[Site Name]],Tables!$B$12:$B$78, Tables!D$12:D$78)</f>
        <v>-1.6996899999999999</v>
      </c>
      <c r="N77" t="s">
        <v>29</v>
      </c>
      <c r="O77">
        <v>712</v>
      </c>
      <c r="P77">
        <v>21.4</v>
      </c>
      <c r="Q77">
        <v>5</v>
      </c>
      <c r="R77" t="str">
        <f>IF(AllDataCorrected[[#This Row],[Nitrate (PPM)]]&gt;2, "4. Very high (&gt;2ppm)", IF(AllDataCorrected[[#This Row],[Nitrate (PPM)]]&gt;1, "3. High (1-2ppm)", IF(AllDataCorrected[[#This Row],[Nitrate (PPM)]]&gt;0.5, "2. Some evidence (0.5-1ppm)", IF(AllDataCorrected[[#This Row],[Nitrate (PPM)]]&gt;=0, "1. No evidence (&lt;0.5ppm)"))))</f>
        <v>4. Very high (&gt;2ppm)</v>
      </c>
      <c r="S77">
        <v>0.6</v>
      </c>
      <c r="T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
        <v>4</v>
      </c>
      <c r="V77" t="s">
        <v>146</v>
      </c>
    </row>
    <row r="78" spans="1:22" x14ac:dyDescent="0.25">
      <c r="A78" t="s">
        <v>147</v>
      </c>
      <c r="B78" s="2">
        <v>45178</v>
      </c>
      <c r="C78" t="str" cm="1">
        <f t="array" ref="C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8">
        <f>YEAR(AllDataCorrected[[#This Row],[Date]])</f>
        <v>2023</v>
      </c>
      <c r="E78" s="1">
        <v>0.46875</v>
      </c>
      <c r="F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 t="str">
        <f>_xlfn.XLOOKUP(AllDataCorrected[[#This Row],[Location Name]], Locations[Location Name],Locations[Group As])</f>
        <v>Avonbank Drive</v>
      </c>
      <c r="H78" t="e" vm="2">
        <f>_xlfn.XLOOKUP(AllDataCorrected[[#This Row],[Site Name]],LocationsKey[Site Name],LocationsKey[District])</f>
        <v>#VALUE!</v>
      </c>
      <c r="I78" t="e" vm="7">
        <f>_xlfn.XLOOKUP(AllDataCorrected[[#This Row],[Site Name]],LocationsKey[Site Name],LocationsKey[Town])</f>
        <v>#VALUE!</v>
      </c>
      <c r="J78" t="str">
        <f>_xlfn.XLOOKUP(AllDataCorrected[[#This Row],[Site Name]],LocationsKey[Site Name], LocationsKey[Waterway])</f>
        <v>Avon</v>
      </c>
      <c r="K78" t="s">
        <v>103</v>
      </c>
      <c r="L78">
        <f>_xlfn.XLOOKUP(AllDataCorrected[[#This Row],[Site Name]],Tables!$B$12:$B$78, Tables!C$12:C$78)</f>
        <v>52.177054657142854</v>
      </c>
      <c r="M78">
        <f>_xlfn.XLOOKUP(AllDataCorrected[[#This Row],[Site Name]],Tables!$B$12:$B$78, Tables!D$12:D$78)</f>
        <v>-1.7358669999999996</v>
      </c>
      <c r="N78" t="s">
        <v>66</v>
      </c>
      <c r="O78">
        <v>1030</v>
      </c>
      <c r="P78">
        <v>22.7</v>
      </c>
      <c r="Q78">
        <v>15</v>
      </c>
      <c r="R78" t="str">
        <f>IF(AllDataCorrected[[#This Row],[Nitrate (PPM)]]&gt;2, "4. Very high (&gt;2ppm)", IF(AllDataCorrected[[#This Row],[Nitrate (PPM)]]&gt;1, "3. High (1-2ppm)", IF(AllDataCorrected[[#This Row],[Nitrate (PPM)]]&gt;0.5, "2. Some evidence (0.5-1ppm)", IF(AllDataCorrected[[#This Row],[Nitrate (PPM)]]&gt;=0, "1. No evidence (&lt;0.5ppm)"))))</f>
        <v>4. Very high (&gt;2ppm)</v>
      </c>
      <c r="S78">
        <v>0.67</v>
      </c>
      <c r="T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
        <v>1</v>
      </c>
    </row>
    <row r="79" spans="1:22" x14ac:dyDescent="0.25">
      <c r="A79" t="s">
        <v>148</v>
      </c>
      <c r="B79" s="2">
        <v>45178</v>
      </c>
      <c r="C79" t="str" cm="1">
        <f t="array" ref="C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9">
        <f>YEAR(AllDataCorrected[[#This Row],[Date]])</f>
        <v>2023</v>
      </c>
      <c r="E79" s="1">
        <v>0.4861111111111111</v>
      </c>
      <c r="F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 t="str">
        <f>_xlfn.XLOOKUP(AllDataCorrected[[#This Row],[Location Name]], Locations[Location Name],Locations[Group As])</f>
        <v>Pitch 16</v>
      </c>
      <c r="H79" t="e" vm="2">
        <f>_xlfn.XLOOKUP(AllDataCorrected[[#This Row],[Site Name]],LocationsKey[Site Name],LocationsKey[District])</f>
        <v>#VALUE!</v>
      </c>
      <c r="I79" t="e" vm="7">
        <f>_xlfn.XLOOKUP(AllDataCorrected[[#This Row],[Site Name]],LocationsKey[Site Name],LocationsKey[Town])</f>
        <v>#VALUE!</v>
      </c>
      <c r="J79" t="str">
        <f>_xlfn.XLOOKUP(AllDataCorrected[[#This Row],[Site Name]],LocationsKey[Site Name], LocationsKey[Waterway])</f>
        <v>Avon</v>
      </c>
      <c r="K79" t="s">
        <v>69</v>
      </c>
      <c r="L79">
        <f>_xlfn.XLOOKUP(AllDataCorrected[[#This Row],[Site Name]],Tables!$B$12:$B$78, Tables!C$12:C$78)</f>
        <v>52.17355294117646</v>
      </c>
      <c r="M79">
        <f>_xlfn.XLOOKUP(AllDataCorrected[[#This Row],[Site Name]],Tables!$B$12:$B$78, Tables!D$12:D$78)</f>
        <v>-1.7433199411764708</v>
      </c>
      <c r="N79" t="s">
        <v>29</v>
      </c>
      <c r="O79">
        <v>1010</v>
      </c>
      <c r="P79">
        <v>24.4</v>
      </c>
      <c r="Q79">
        <v>15</v>
      </c>
      <c r="R79" t="str">
        <f>IF(AllDataCorrected[[#This Row],[Nitrate (PPM)]]&gt;2, "4. Very high (&gt;2ppm)", IF(AllDataCorrected[[#This Row],[Nitrate (PPM)]]&gt;1, "3. High (1-2ppm)", IF(AllDataCorrected[[#This Row],[Nitrate (PPM)]]&gt;0.5, "2. Some evidence (0.5-1ppm)", IF(AllDataCorrected[[#This Row],[Nitrate (PPM)]]&gt;=0, "1. No evidence (&lt;0.5ppm)"))))</f>
        <v>4. Very high (&gt;2ppm)</v>
      </c>
      <c r="S79">
        <v>0.69</v>
      </c>
      <c r="T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
        <v>1</v>
      </c>
    </row>
    <row r="80" spans="1:22" x14ac:dyDescent="0.25">
      <c r="A80" t="s">
        <v>149</v>
      </c>
      <c r="B80" s="2">
        <v>45178</v>
      </c>
      <c r="C80" t="str" cm="1">
        <f t="array" ref="C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0">
        <f>YEAR(AllDataCorrected[[#This Row],[Date]])</f>
        <v>2023</v>
      </c>
      <c r="E80" s="1">
        <v>0.58333333333333337</v>
      </c>
      <c r="F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 t="str">
        <f>_xlfn.XLOOKUP(AllDataCorrected[[#This Row],[Location Name]], Locations[Location Name],Locations[Group As])</f>
        <v>Carrant Bredon Rd</v>
      </c>
      <c r="H80" t="e" vm="1">
        <f>_xlfn.XLOOKUP(AllDataCorrected[[#This Row],[Site Name]],LocationsKey[Site Name],LocationsKey[District])</f>
        <v>#VALUE!</v>
      </c>
      <c r="I80" t="e" vm="1">
        <f>_xlfn.XLOOKUP(AllDataCorrected[[#This Row],[Site Name]],LocationsKey[Site Name],LocationsKey[Town])</f>
        <v>#VALUE!</v>
      </c>
      <c r="J80" t="str">
        <f>_xlfn.XLOOKUP(AllDataCorrected[[#This Row],[Site Name]],LocationsKey[Site Name], LocationsKey[Waterway])</f>
        <v>Carrant</v>
      </c>
      <c r="K80" t="s">
        <v>90</v>
      </c>
      <c r="L80">
        <f>_xlfn.XLOOKUP(AllDataCorrected[[#This Row],[Site Name]],Tables!$B$12:$B$78, Tables!C$12:C$78)</f>
        <v>51.996416567567572</v>
      </c>
      <c r="M80">
        <f>_xlfn.XLOOKUP(AllDataCorrected[[#This Row],[Site Name]],Tables!$B$12:$B$78, Tables!D$12:D$78)</f>
        <v>-2.1556626756756749</v>
      </c>
      <c r="N80" t="s">
        <v>23</v>
      </c>
      <c r="O80">
        <v>684</v>
      </c>
      <c r="P80">
        <v>21.3</v>
      </c>
      <c r="Q80">
        <v>8</v>
      </c>
      <c r="R80" t="str">
        <f>IF(AllDataCorrected[[#This Row],[Nitrate (PPM)]]&gt;2, "4. Very high (&gt;2ppm)", IF(AllDataCorrected[[#This Row],[Nitrate (PPM)]]&gt;1, "3. High (1-2ppm)", IF(AllDataCorrected[[#This Row],[Nitrate (PPM)]]&gt;0.5, "2. Some evidence (0.5-1ppm)", IF(AllDataCorrected[[#This Row],[Nitrate (PPM)]]&gt;=0, "1. No evidence (&lt;0.5ppm)"))))</f>
        <v>4. Very high (&gt;2ppm)</v>
      </c>
      <c r="S80">
        <v>0.6</v>
      </c>
      <c r="T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
        <v>0</v>
      </c>
    </row>
    <row r="81" spans="1:22" x14ac:dyDescent="0.25">
      <c r="A81" t="s">
        <v>150</v>
      </c>
      <c r="B81" s="2">
        <v>45179</v>
      </c>
      <c r="C81" t="str" cm="1">
        <f t="array" ref="C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1">
        <f>YEAR(AllDataCorrected[[#This Row],[Date]])</f>
        <v>2023</v>
      </c>
      <c r="E81" s="1">
        <v>0.4861111111111111</v>
      </c>
      <c r="F8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 t="str">
        <f>_xlfn.XLOOKUP(AllDataCorrected[[#This Row],[Location Name]], Locations[Location Name],Locations[Group As])</f>
        <v>Hampton Wood</v>
      </c>
      <c r="H81" t="e" vm="2">
        <f>_xlfn.XLOOKUP(AllDataCorrected[[#This Row],[Site Name]],LocationsKey[Site Name],LocationsKey[District])</f>
        <v>#VALUE!</v>
      </c>
      <c r="I81" t="e" vm="3">
        <f>_xlfn.XLOOKUP(AllDataCorrected[[#This Row],[Site Name]],LocationsKey[Site Name],LocationsKey[Town])</f>
        <v>#VALUE!</v>
      </c>
      <c r="J81" t="str">
        <f>_xlfn.XLOOKUP(AllDataCorrected[[#This Row],[Site Name]],LocationsKey[Site Name], LocationsKey[Waterway])</f>
        <v>Avon</v>
      </c>
      <c r="K81" t="s">
        <v>34</v>
      </c>
      <c r="L81">
        <f>_xlfn.XLOOKUP(AllDataCorrected[[#This Row],[Site Name]],Tables!$B$12:$B$78, Tables!C$12:C$78)</f>
        <v>52.23814999999999</v>
      </c>
      <c r="M81">
        <f>_xlfn.XLOOKUP(AllDataCorrected[[#This Row],[Site Name]],Tables!$B$12:$B$78, Tables!D$12:D$78)</f>
        <v>-1.6245800000000008</v>
      </c>
      <c r="N81" t="s">
        <v>29</v>
      </c>
      <c r="O81">
        <v>984</v>
      </c>
      <c r="P81">
        <v>22.3</v>
      </c>
      <c r="Q81">
        <v>6</v>
      </c>
      <c r="R81" t="str">
        <f>IF(AllDataCorrected[[#This Row],[Nitrate (PPM)]]&gt;2, "4. Very high (&gt;2ppm)", IF(AllDataCorrected[[#This Row],[Nitrate (PPM)]]&gt;1, "3. High (1-2ppm)", IF(AllDataCorrected[[#This Row],[Nitrate (PPM)]]&gt;0.5, "2. Some evidence (0.5-1ppm)", IF(AllDataCorrected[[#This Row],[Nitrate (PPM)]]&gt;=0, "1. No evidence (&lt;0.5ppm)"))))</f>
        <v>4. Very high (&gt;2ppm)</v>
      </c>
      <c r="S81">
        <v>0.5</v>
      </c>
      <c r="T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
        <v>0</v>
      </c>
    </row>
    <row r="82" spans="1:22" x14ac:dyDescent="0.25">
      <c r="A82" t="s">
        <v>151</v>
      </c>
      <c r="B82" s="2">
        <v>45179</v>
      </c>
      <c r="C82" t="str" cm="1">
        <f t="array" ref="C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2">
        <f>YEAR(AllDataCorrected[[#This Row],[Date]])</f>
        <v>2023</v>
      </c>
      <c r="E82" s="1">
        <v>0.52083333333333337</v>
      </c>
      <c r="F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 t="str">
        <f>_xlfn.XLOOKUP(AllDataCorrected[[#This Row],[Location Name]], Locations[Location Name],Locations[Group As])</f>
        <v>Hampton Lucy</v>
      </c>
      <c r="H82" t="e" vm="2">
        <f>_xlfn.XLOOKUP(AllDataCorrected[[#This Row],[Site Name]],LocationsKey[Site Name],LocationsKey[District])</f>
        <v>#VALUE!</v>
      </c>
      <c r="I82" t="e" vm="4">
        <f>_xlfn.XLOOKUP(AllDataCorrected[[#This Row],[Site Name]],LocationsKey[Site Name],LocationsKey[Town])</f>
        <v>#VALUE!</v>
      </c>
      <c r="J82" t="str">
        <f>_xlfn.XLOOKUP(AllDataCorrected[[#This Row],[Site Name]],LocationsKey[Site Name], LocationsKey[Waterway])</f>
        <v>Avon</v>
      </c>
      <c r="K82" t="s">
        <v>37</v>
      </c>
      <c r="L82">
        <f>_xlfn.XLOOKUP(AllDataCorrected[[#This Row],[Site Name]],Tables!$B$12:$B$78, Tables!C$12:C$78)</f>
        <v>52.211679999999973</v>
      </c>
      <c r="M82">
        <f>_xlfn.XLOOKUP(AllDataCorrected[[#This Row],[Site Name]],Tables!$B$12:$B$78, Tables!D$12:D$78)</f>
        <v>-1.6244400000000001</v>
      </c>
      <c r="N82" t="s">
        <v>23</v>
      </c>
      <c r="O82">
        <v>964</v>
      </c>
      <c r="P82">
        <v>21.6</v>
      </c>
      <c r="Q82">
        <v>7</v>
      </c>
      <c r="R82" t="str">
        <f>IF(AllDataCorrected[[#This Row],[Nitrate (PPM)]]&gt;2, "4. Very high (&gt;2ppm)", IF(AllDataCorrected[[#This Row],[Nitrate (PPM)]]&gt;1, "3. High (1-2ppm)", IF(AllDataCorrected[[#This Row],[Nitrate (PPM)]]&gt;0.5, "2. Some evidence (0.5-1ppm)", IF(AllDataCorrected[[#This Row],[Nitrate (PPM)]]&gt;=0, "1. No evidence (&lt;0.5ppm)"))))</f>
        <v>4. Very high (&gt;2ppm)</v>
      </c>
      <c r="S82">
        <v>0.69</v>
      </c>
      <c r="T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
        <v>0</v>
      </c>
    </row>
    <row r="83" spans="1:22" x14ac:dyDescent="0.25">
      <c r="A83" t="s">
        <v>152</v>
      </c>
      <c r="B83" s="2">
        <v>45179</v>
      </c>
      <c r="C83" t="str" cm="1">
        <f t="array" ref="C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3">
        <f>YEAR(AllDataCorrected[[#This Row],[Date]])</f>
        <v>2023</v>
      </c>
      <c r="E83" s="1">
        <v>0.75486111111111109</v>
      </c>
      <c r="F8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3" t="str">
        <f>_xlfn.XLOOKUP(AllDataCorrected[[#This Row],[Location Name]], Locations[Location Name],Locations[Group As])</f>
        <v>Abbey Mill</v>
      </c>
      <c r="H83" t="e" vm="1">
        <f>_xlfn.XLOOKUP(AllDataCorrected[[#This Row],[Site Name]],LocationsKey[Site Name],LocationsKey[District])</f>
        <v>#VALUE!</v>
      </c>
      <c r="I83" t="e" vm="1">
        <f>_xlfn.XLOOKUP(AllDataCorrected[[#This Row],[Site Name]],LocationsKey[Site Name],LocationsKey[Town])</f>
        <v>#VALUE!</v>
      </c>
      <c r="J83" t="str">
        <f>_xlfn.XLOOKUP(AllDataCorrected[[#This Row],[Site Name]],LocationsKey[Site Name], LocationsKey[Waterway])</f>
        <v>Avon</v>
      </c>
      <c r="K83" t="s">
        <v>25</v>
      </c>
      <c r="L83">
        <f>_xlfn.XLOOKUP(AllDataCorrected[[#This Row],[Site Name]],Tables!$B$12:$B$78, Tables!C$12:C$78)</f>
        <v>51.991389555555564</v>
      </c>
      <c r="M83">
        <f>_xlfn.XLOOKUP(AllDataCorrected[[#This Row],[Site Name]],Tables!$B$12:$B$78, Tables!D$12:D$78)</f>
        <v>-2.1620794000000005</v>
      </c>
      <c r="N83" t="s">
        <v>23</v>
      </c>
      <c r="O83">
        <v>1020</v>
      </c>
      <c r="P83">
        <v>23.3</v>
      </c>
      <c r="Q83">
        <v>10</v>
      </c>
      <c r="R83" t="str">
        <f>IF(AllDataCorrected[[#This Row],[Nitrate (PPM)]]&gt;2, "4. Very high (&gt;2ppm)", IF(AllDataCorrected[[#This Row],[Nitrate (PPM)]]&gt;1, "3. High (1-2ppm)", IF(AllDataCorrected[[#This Row],[Nitrate (PPM)]]&gt;0.5, "2. Some evidence (0.5-1ppm)", IF(AllDataCorrected[[#This Row],[Nitrate (PPM)]]&gt;=0, "1. No evidence (&lt;0.5ppm)"))))</f>
        <v>4. Very high (&gt;2ppm)</v>
      </c>
      <c r="S83">
        <v>0.97</v>
      </c>
      <c r="T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
        <v>0</v>
      </c>
    </row>
    <row r="84" spans="1:22" x14ac:dyDescent="0.25">
      <c r="A84" t="s">
        <v>153</v>
      </c>
      <c r="B84" s="2">
        <v>45180</v>
      </c>
      <c r="C84" t="str" cm="1">
        <f t="array" ref="C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4">
        <f>YEAR(AllDataCorrected[[#This Row],[Date]])</f>
        <v>2023</v>
      </c>
      <c r="E84" s="1">
        <v>0.78472222222222221</v>
      </c>
      <c r="F8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4" t="str">
        <f>_xlfn.XLOOKUP(AllDataCorrected[[#This Row],[Location Name]], Locations[Location Name],Locations[Group As])</f>
        <v>Stour Shipston Mill Bridge</v>
      </c>
      <c r="H84" t="e" vm="2">
        <f>_xlfn.XLOOKUP(AllDataCorrected[[#This Row],[Site Name]],LocationsKey[Site Name],LocationsKey[District])</f>
        <v>#VALUE!</v>
      </c>
      <c r="I84" t="e" vm="10">
        <f>_xlfn.XLOOKUP(AllDataCorrected[[#This Row],[Site Name]],LocationsKey[Site Name],LocationsKey[Town])</f>
        <v>#VALUE!</v>
      </c>
      <c r="J84" t="str">
        <f>_xlfn.XLOOKUP(AllDataCorrected[[#This Row],[Site Name]],LocationsKey[Site Name], LocationsKey[Waterway])</f>
        <v>Stour</v>
      </c>
      <c r="K84" t="s">
        <v>154</v>
      </c>
      <c r="L84">
        <f>_xlfn.XLOOKUP(AllDataCorrected[[#This Row],[Site Name]],Tables!$B$12:$B$78, Tables!C$12:C$78)</f>
        <v>52.06201572727273</v>
      </c>
      <c r="M84">
        <f>_xlfn.XLOOKUP(AllDataCorrected[[#This Row],[Site Name]],Tables!$B$12:$B$78, Tables!D$12:D$78)</f>
        <v>-1.6218167272727273</v>
      </c>
      <c r="N84" t="s">
        <v>23</v>
      </c>
      <c r="O84">
        <v>678</v>
      </c>
      <c r="P84">
        <v>20.100000000000001</v>
      </c>
      <c r="Q84">
        <v>4</v>
      </c>
      <c r="R84" t="str">
        <f>IF(AllDataCorrected[[#This Row],[Nitrate (PPM)]]&gt;2, "4. Very high (&gt;2ppm)", IF(AllDataCorrected[[#This Row],[Nitrate (PPM)]]&gt;1, "3. High (1-2ppm)", IF(AllDataCorrected[[#This Row],[Nitrate (PPM)]]&gt;0.5, "2. Some evidence (0.5-1ppm)", IF(AllDataCorrected[[#This Row],[Nitrate (PPM)]]&gt;=0, "1. No evidence (&lt;0.5ppm)"))))</f>
        <v>4. Very high (&gt;2ppm)</v>
      </c>
      <c r="S84">
        <v>0.69</v>
      </c>
      <c r="T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
        <v>0</v>
      </c>
    </row>
    <row r="85" spans="1:22" x14ac:dyDescent="0.25">
      <c r="A85" t="s">
        <v>155</v>
      </c>
      <c r="B85" s="2">
        <v>45182</v>
      </c>
      <c r="C85" t="str" cm="1">
        <f t="array" ref="C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5">
        <f>YEAR(AllDataCorrected[[#This Row],[Date]])</f>
        <v>2023</v>
      </c>
      <c r="E85" s="1">
        <v>0.67500000000000004</v>
      </c>
      <c r="F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5" t="str">
        <f>_xlfn.XLOOKUP(AllDataCorrected[[#This Row],[Location Name]], Locations[Location Name],Locations[Group As])</f>
        <v>Stour Newbold Mill</v>
      </c>
      <c r="H85" t="e" vm="2">
        <f>_xlfn.XLOOKUP(AllDataCorrected[[#This Row],[Site Name]],LocationsKey[Site Name],LocationsKey[District])</f>
        <v>#VALUE!</v>
      </c>
      <c r="I85" t="e" vm="8">
        <f>_xlfn.XLOOKUP(AllDataCorrected[[#This Row],[Site Name]],LocationsKey[Site Name],LocationsKey[Town])</f>
        <v>#VALUE!</v>
      </c>
      <c r="J85" t="str">
        <f>_xlfn.XLOOKUP(AllDataCorrected[[#This Row],[Site Name]],LocationsKey[Site Name], LocationsKey[Waterway])</f>
        <v>Stour</v>
      </c>
      <c r="K85" t="s">
        <v>156</v>
      </c>
      <c r="L85">
        <f>_xlfn.XLOOKUP(AllDataCorrected[[#This Row],[Site Name]],Tables!$B$12:$B$78, Tables!C$12:C$78)</f>
        <v>52.113052370370362</v>
      </c>
      <c r="M85">
        <f>_xlfn.XLOOKUP(AllDataCorrected[[#This Row],[Site Name]],Tables!$B$12:$B$78, Tables!D$12:D$78)</f>
        <v>-1.6333685185185185</v>
      </c>
      <c r="N85" t="s">
        <v>157</v>
      </c>
      <c r="O85">
        <v>729</v>
      </c>
      <c r="P85">
        <v>17.7</v>
      </c>
      <c r="Q85">
        <v>5</v>
      </c>
      <c r="R85" t="str">
        <f>IF(AllDataCorrected[[#This Row],[Nitrate (PPM)]]&gt;2, "4. Very high (&gt;2ppm)", IF(AllDataCorrected[[#This Row],[Nitrate (PPM)]]&gt;1, "3. High (1-2ppm)", IF(AllDataCorrected[[#This Row],[Nitrate (PPM)]]&gt;0.5, "2. Some evidence (0.5-1ppm)", IF(AllDataCorrected[[#This Row],[Nitrate (PPM)]]&gt;=0, "1. No evidence (&lt;0.5ppm)"))))</f>
        <v>4. Very high (&gt;2ppm)</v>
      </c>
      <c r="S85">
        <v>0.78</v>
      </c>
      <c r="T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
        <v>2.1</v>
      </c>
      <c r="V85" t="s">
        <v>158</v>
      </c>
    </row>
    <row r="86" spans="1:22" x14ac:dyDescent="0.25">
      <c r="A86" t="s">
        <v>159</v>
      </c>
      <c r="B86" s="2">
        <v>45183</v>
      </c>
      <c r="C86" t="str" cm="1">
        <f t="array" ref="C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6">
        <f>YEAR(AllDataCorrected[[#This Row],[Date]])</f>
        <v>2023</v>
      </c>
      <c r="E86" s="1">
        <v>0.46736111111111112</v>
      </c>
      <c r="F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 t="str">
        <f>_xlfn.XLOOKUP(AllDataCorrected[[#This Row],[Location Name]], Locations[Location Name],Locations[Group As])</f>
        <v>Stour Shipston Mill Bridge</v>
      </c>
      <c r="H86" t="e" vm="2">
        <f>_xlfn.XLOOKUP(AllDataCorrected[[#This Row],[Site Name]],LocationsKey[Site Name],LocationsKey[District])</f>
        <v>#VALUE!</v>
      </c>
      <c r="I86" t="e" vm="10">
        <f>_xlfn.XLOOKUP(AllDataCorrected[[#This Row],[Site Name]],LocationsKey[Site Name],LocationsKey[Town])</f>
        <v>#VALUE!</v>
      </c>
      <c r="J86" t="str">
        <f>_xlfn.XLOOKUP(AllDataCorrected[[#This Row],[Site Name]],LocationsKey[Site Name], LocationsKey[Waterway])</f>
        <v>Stour</v>
      </c>
      <c r="K86" t="s">
        <v>160</v>
      </c>
      <c r="L86">
        <f>_xlfn.XLOOKUP(AllDataCorrected[[#This Row],[Site Name]],Tables!$B$12:$B$78, Tables!C$12:C$78)</f>
        <v>52.06201572727273</v>
      </c>
      <c r="M86">
        <f>_xlfn.XLOOKUP(AllDataCorrected[[#This Row],[Site Name]],Tables!$B$12:$B$78, Tables!D$12:D$78)</f>
        <v>-1.6218167272727273</v>
      </c>
      <c r="N86" t="s">
        <v>161</v>
      </c>
      <c r="O86">
        <v>656</v>
      </c>
      <c r="P86">
        <v>16.3</v>
      </c>
      <c r="Q86">
        <v>10</v>
      </c>
      <c r="R86" t="str">
        <f>IF(AllDataCorrected[[#This Row],[Nitrate (PPM)]]&gt;2, "4. Very high (&gt;2ppm)", IF(AllDataCorrected[[#This Row],[Nitrate (PPM)]]&gt;1, "3. High (1-2ppm)", IF(AllDataCorrected[[#This Row],[Nitrate (PPM)]]&gt;0.5, "2. Some evidence (0.5-1ppm)", IF(AllDataCorrected[[#This Row],[Nitrate (PPM)]]&gt;=0, "1. No evidence (&lt;0.5ppm)"))))</f>
        <v>4. Very high (&gt;2ppm)</v>
      </c>
      <c r="S86">
        <v>0.55000000000000004</v>
      </c>
      <c r="T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
        <v>0.5</v>
      </c>
    </row>
    <row r="87" spans="1:22" x14ac:dyDescent="0.25">
      <c r="A87" t="s">
        <v>162</v>
      </c>
      <c r="B87" s="2">
        <v>45183</v>
      </c>
      <c r="C87" t="str" cm="1">
        <f t="array" ref="C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7">
        <f>YEAR(AllDataCorrected[[#This Row],[Date]])</f>
        <v>2023</v>
      </c>
      <c r="E87" s="1">
        <v>0.5</v>
      </c>
      <c r="F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 t="str">
        <f>_xlfn.XLOOKUP(AllDataCorrected[[#This Row],[Location Name]], Locations[Location Name],Locations[Group As])</f>
        <v>Preston-on-Stour River Bridge</v>
      </c>
      <c r="H87" t="e" vm="2">
        <f>_xlfn.XLOOKUP(AllDataCorrected[[#This Row],[Site Name]],LocationsKey[Site Name],LocationsKey[District])</f>
        <v>#VALUE!</v>
      </c>
      <c r="I87" t="e" vm="9">
        <f>_xlfn.XLOOKUP(AllDataCorrected[[#This Row],[Site Name]],LocationsKey[Site Name],LocationsKey[Town])</f>
        <v>#VALUE!</v>
      </c>
      <c r="J87" t="str">
        <f>_xlfn.XLOOKUP(AllDataCorrected[[#This Row],[Site Name]],LocationsKey[Site Name], LocationsKey[Waterway])</f>
        <v>Stour</v>
      </c>
      <c r="K87" t="s">
        <v>163</v>
      </c>
      <c r="L87">
        <f>_xlfn.XLOOKUP(AllDataCorrected[[#This Row],[Site Name]],Tables!$B$12:$B$78, Tables!C$12:C$78)</f>
        <v>52.146529500000007</v>
      </c>
      <c r="M87">
        <f>_xlfn.XLOOKUP(AllDataCorrected[[#This Row],[Site Name]],Tables!$B$12:$B$78, Tables!D$12:D$78)</f>
        <v>-1.6996899999999999</v>
      </c>
      <c r="N87" t="s">
        <v>29</v>
      </c>
      <c r="O87">
        <v>717</v>
      </c>
      <c r="P87">
        <v>17.7</v>
      </c>
      <c r="Q87">
        <v>5</v>
      </c>
      <c r="R87" t="str">
        <f>IF(AllDataCorrected[[#This Row],[Nitrate (PPM)]]&gt;2, "4. Very high (&gt;2ppm)", IF(AllDataCorrected[[#This Row],[Nitrate (PPM)]]&gt;1, "3. High (1-2ppm)", IF(AllDataCorrected[[#This Row],[Nitrate (PPM)]]&gt;0.5, "2. Some evidence (0.5-1ppm)", IF(AllDataCorrected[[#This Row],[Nitrate (PPM)]]&gt;=0, "1. No evidence (&lt;0.5ppm)"))))</f>
        <v>4. Very high (&gt;2ppm)</v>
      </c>
      <c r="S87">
        <v>0.6</v>
      </c>
      <c r="T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
        <v>5</v>
      </c>
      <c r="V87" t="s">
        <v>164</v>
      </c>
    </row>
    <row r="88" spans="1:22" x14ac:dyDescent="0.25">
      <c r="A88" t="s">
        <v>165</v>
      </c>
      <c r="B88" s="2">
        <v>45183</v>
      </c>
      <c r="C88" t="str" cm="1">
        <f t="array" ref="C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8">
        <f>YEAR(AllDataCorrected[[#This Row],[Date]])</f>
        <v>2023</v>
      </c>
      <c r="E88" s="1">
        <v>0.66666666666666663</v>
      </c>
      <c r="F8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8" t="str">
        <f>_xlfn.XLOOKUP(AllDataCorrected[[#This Row],[Location Name]], Locations[Location Name],Locations[Group As])</f>
        <v>Welford Boat Station</v>
      </c>
      <c r="H88" t="e" vm="2">
        <f>_xlfn.XLOOKUP(AllDataCorrected[[#This Row],[Site Name]],LocationsKey[Site Name],LocationsKey[District])</f>
        <v>#VALUE!</v>
      </c>
      <c r="I88" t="e" vm="5">
        <f>_xlfn.XLOOKUP(AllDataCorrected[[#This Row],[Site Name]],LocationsKey[Site Name],LocationsKey[Town])</f>
        <v>#VALUE!</v>
      </c>
      <c r="J88" t="str">
        <f>_xlfn.XLOOKUP(AllDataCorrected[[#This Row],[Site Name]],LocationsKey[Site Name], LocationsKey[Waterway])</f>
        <v>Avon</v>
      </c>
      <c r="K88" t="s">
        <v>39</v>
      </c>
      <c r="L88">
        <f>_xlfn.XLOOKUP(AllDataCorrected[[#This Row],[Site Name]],Tables!$B$12:$B$78, Tables!C$12:C$78)</f>
        <v>52.175174684210546</v>
      </c>
      <c r="M88">
        <f>_xlfn.XLOOKUP(AllDataCorrected[[#This Row],[Site Name]],Tables!$B$12:$B$78, Tables!D$12:D$78)</f>
        <v>-1.7918551052631577</v>
      </c>
      <c r="N88" t="s">
        <v>29</v>
      </c>
      <c r="O88">
        <v>1026</v>
      </c>
      <c r="P88">
        <v>18.8</v>
      </c>
      <c r="Q88">
        <v>5</v>
      </c>
      <c r="R88" t="str">
        <f>IF(AllDataCorrected[[#This Row],[Nitrate (PPM)]]&gt;2, "4. Very high (&gt;2ppm)", IF(AllDataCorrected[[#This Row],[Nitrate (PPM)]]&gt;1, "3. High (1-2ppm)", IF(AllDataCorrected[[#This Row],[Nitrate (PPM)]]&gt;0.5, "2. Some evidence (0.5-1ppm)", IF(AllDataCorrected[[#This Row],[Nitrate (PPM)]]&gt;=0, "1. No evidence (&lt;0.5ppm)"))))</f>
        <v>4. Very high (&gt;2ppm)</v>
      </c>
      <c r="S88">
        <v>0.56999999999999995</v>
      </c>
      <c r="T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
        <v>0</v>
      </c>
      <c r="V88" t="s">
        <v>166</v>
      </c>
    </row>
    <row r="89" spans="1:22" x14ac:dyDescent="0.25">
      <c r="A89" t="s">
        <v>167</v>
      </c>
      <c r="B89" s="2">
        <v>45185</v>
      </c>
      <c r="C89" t="str" cm="1">
        <f t="array" ref="C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9">
        <f>YEAR(AllDataCorrected[[#This Row],[Date]])</f>
        <v>2023</v>
      </c>
      <c r="E89" s="1">
        <v>0.41319444444444442</v>
      </c>
      <c r="F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 t="str">
        <f>_xlfn.XLOOKUP(AllDataCorrected[[#This Row],[Location Name]], Locations[Location Name],Locations[Group As])</f>
        <v>Twyning Fleet</v>
      </c>
      <c r="H89" t="e" vm="1">
        <f>_xlfn.XLOOKUP(AllDataCorrected[[#This Row],[Site Name]],LocationsKey[Site Name],LocationsKey[District])</f>
        <v>#VALUE!</v>
      </c>
      <c r="I89" t="str">
        <f>_xlfn.XLOOKUP(AllDataCorrected[[#This Row],[Site Name]],LocationsKey[Site Name],LocationsKey[Town])</f>
        <v>Twyning Green</v>
      </c>
      <c r="J89" t="str">
        <f>_xlfn.XLOOKUP(AllDataCorrected[[#This Row],[Site Name]],LocationsKey[Site Name], LocationsKey[Waterway])</f>
        <v>Avon</v>
      </c>
      <c r="K89" t="s">
        <v>54</v>
      </c>
      <c r="L89">
        <f>_xlfn.XLOOKUP(AllDataCorrected[[#This Row],[Site Name]],Tables!$B$12:$B$78, Tables!C$12:C$78)</f>
        <v>52.027190153846163</v>
      </c>
      <c r="M89">
        <f>_xlfn.XLOOKUP(AllDataCorrected[[#This Row],[Site Name]],Tables!$B$12:$B$78, Tables!D$12:D$78)</f>
        <v>-2.1406086923076924</v>
      </c>
      <c r="N89" t="s">
        <v>29</v>
      </c>
      <c r="O89">
        <v>1010</v>
      </c>
      <c r="P89">
        <v>19.8</v>
      </c>
      <c r="Q89">
        <v>10</v>
      </c>
      <c r="R89" t="str">
        <f>IF(AllDataCorrected[[#This Row],[Nitrate (PPM)]]&gt;2, "4. Very high (&gt;2ppm)", IF(AllDataCorrected[[#This Row],[Nitrate (PPM)]]&gt;1, "3. High (1-2ppm)", IF(AllDataCorrected[[#This Row],[Nitrate (PPM)]]&gt;0.5, "2. Some evidence (0.5-1ppm)", IF(AllDataCorrected[[#This Row],[Nitrate (PPM)]]&gt;=0, "1. No evidence (&lt;0.5ppm)"))))</f>
        <v>4. Very high (&gt;2ppm)</v>
      </c>
      <c r="S89">
        <v>1.25</v>
      </c>
      <c r="T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
        <v>0</v>
      </c>
      <c r="V89" t="s">
        <v>115</v>
      </c>
    </row>
    <row r="90" spans="1:22" x14ac:dyDescent="0.25">
      <c r="A90" t="s">
        <v>168</v>
      </c>
      <c r="B90" s="2">
        <v>45185</v>
      </c>
      <c r="C90" t="str" cm="1">
        <f t="array" ref="C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0">
        <f>YEAR(AllDataCorrected[[#This Row],[Date]])</f>
        <v>2023</v>
      </c>
      <c r="E90" s="1">
        <v>0.44791666666666669</v>
      </c>
      <c r="F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 t="str">
        <f>_xlfn.XLOOKUP(AllDataCorrected[[#This Row],[Location Name]], Locations[Location Name],Locations[Group As])</f>
        <v>Pitch 16</v>
      </c>
      <c r="H90" t="e" vm="2">
        <f>_xlfn.XLOOKUP(AllDataCorrected[[#This Row],[Site Name]],LocationsKey[Site Name],LocationsKey[District])</f>
        <v>#VALUE!</v>
      </c>
      <c r="I90" t="e" vm="7">
        <f>_xlfn.XLOOKUP(AllDataCorrected[[#This Row],[Site Name]],LocationsKey[Site Name],LocationsKey[Town])</f>
        <v>#VALUE!</v>
      </c>
      <c r="J90" t="str">
        <f>_xlfn.XLOOKUP(AllDataCorrected[[#This Row],[Site Name]],LocationsKey[Site Name], LocationsKey[Waterway])</f>
        <v>Avon</v>
      </c>
      <c r="K90" t="s">
        <v>69</v>
      </c>
      <c r="L90">
        <f>_xlfn.XLOOKUP(AllDataCorrected[[#This Row],[Site Name]],Tables!$B$12:$B$78, Tables!C$12:C$78)</f>
        <v>52.17355294117646</v>
      </c>
      <c r="M90">
        <f>_xlfn.XLOOKUP(AllDataCorrected[[#This Row],[Site Name]],Tables!$B$12:$B$78, Tables!D$12:D$78)</f>
        <v>-1.7433199411764708</v>
      </c>
      <c r="N90" t="s">
        <v>29</v>
      </c>
      <c r="O90">
        <v>966</v>
      </c>
      <c r="P90">
        <v>18.600000000000001</v>
      </c>
      <c r="Q90">
        <v>15</v>
      </c>
      <c r="R90" t="str">
        <f>IF(AllDataCorrected[[#This Row],[Nitrate (PPM)]]&gt;2, "4. Very high (&gt;2ppm)", IF(AllDataCorrected[[#This Row],[Nitrate (PPM)]]&gt;1, "3. High (1-2ppm)", IF(AllDataCorrected[[#This Row],[Nitrate (PPM)]]&gt;0.5, "2. Some evidence (0.5-1ppm)", IF(AllDataCorrected[[#This Row],[Nitrate (PPM)]]&gt;=0, "1. No evidence (&lt;0.5ppm)"))))</f>
        <v>4. Very high (&gt;2ppm)</v>
      </c>
      <c r="S90">
        <v>0.73</v>
      </c>
      <c r="T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
        <v>1</v>
      </c>
    </row>
    <row r="91" spans="1:22" x14ac:dyDescent="0.25">
      <c r="A91" t="s">
        <v>169</v>
      </c>
      <c r="B91" s="2">
        <v>45185</v>
      </c>
      <c r="C91" t="str" cm="1">
        <f t="array" ref="C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1">
        <f>YEAR(AllDataCorrected[[#This Row],[Date]])</f>
        <v>2023</v>
      </c>
      <c r="E91" s="1">
        <v>0.46180555555555558</v>
      </c>
      <c r="F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 t="str">
        <f>_xlfn.XLOOKUP(AllDataCorrected[[#This Row],[Location Name]], Locations[Location Name],Locations[Group As])</f>
        <v>Avonbank Drive</v>
      </c>
      <c r="H91" t="e" vm="2">
        <f>_xlfn.XLOOKUP(AllDataCorrected[[#This Row],[Site Name]],LocationsKey[Site Name],LocationsKey[District])</f>
        <v>#VALUE!</v>
      </c>
      <c r="I91" t="e" vm="7">
        <f>_xlfn.XLOOKUP(AllDataCorrected[[#This Row],[Site Name]],LocationsKey[Site Name],LocationsKey[Town])</f>
        <v>#VALUE!</v>
      </c>
      <c r="J91" t="str">
        <f>_xlfn.XLOOKUP(AllDataCorrected[[#This Row],[Site Name]],LocationsKey[Site Name], LocationsKey[Waterway])</f>
        <v>Avon</v>
      </c>
      <c r="K91" t="s">
        <v>103</v>
      </c>
      <c r="L91">
        <f>_xlfn.XLOOKUP(AllDataCorrected[[#This Row],[Site Name]],Tables!$B$12:$B$78, Tables!C$12:C$78)</f>
        <v>52.177054657142854</v>
      </c>
      <c r="M91">
        <f>_xlfn.XLOOKUP(AllDataCorrected[[#This Row],[Site Name]],Tables!$B$12:$B$78, Tables!D$12:D$78)</f>
        <v>-1.7358669999999996</v>
      </c>
      <c r="N91" t="s">
        <v>66</v>
      </c>
      <c r="O91">
        <v>921</v>
      </c>
      <c r="P91">
        <v>18.2</v>
      </c>
      <c r="Q91">
        <v>15</v>
      </c>
      <c r="R91" t="str">
        <f>IF(AllDataCorrected[[#This Row],[Nitrate (PPM)]]&gt;2, "4. Very high (&gt;2ppm)", IF(AllDataCorrected[[#This Row],[Nitrate (PPM)]]&gt;1, "3. High (1-2ppm)", IF(AllDataCorrected[[#This Row],[Nitrate (PPM)]]&gt;0.5, "2. Some evidence (0.5-1ppm)", IF(AllDataCorrected[[#This Row],[Nitrate (PPM)]]&gt;=0, "1. No evidence (&lt;0.5ppm)"))))</f>
        <v>4. Very high (&gt;2ppm)</v>
      </c>
      <c r="S91">
        <v>0.56000000000000005</v>
      </c>
      <c r="T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
        <v>1</v>
      </c>
    </row>
    <row r="92" spans="1:22" x14ac:dyDescent="0.25">
      <c r="A92" t="s">
        <v>170</v>
      </c>
      <c r="B92" s="2">
        <v>45185</v>
      </c>
      <c r="C92" t="str" cm="1">
        <f t="array" ref="C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2">
        <f>YEAR(AllDataCorrected[[#This Row],[Date]])</f>
        <v>2023</v>
      </c>
      <c r="E92" s="1">
        <v>0.6333333333333333</v>
      </c>
      <c r="F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 t="str">
        <f>_xlfn.XLOOKUP(AllDataCorrected[[#This Row],[Location Name]], Locations[Location Name],Locations[Group As])</f>
        <v>Abbey Mill</v>
      </c>
      <c r="H92" t="e" vm="1">
        <f>_xlfn.XLOOKUP(AllDataCorrected[[#This Row],[Site Name]],LocationsKey[Site Name],LocationsKey[District])</f>
        <v>#VALUE!</v>
      </c>
      <c r="I92" t="e" vm="1">
        <f>_xlfn.XLOOKUP(AllDataCorrected[[#This Row],[Site Name]],LocationsKey[Site Name],LocationsKey[Town])</f>
        <v>#VALUE!</v>
      </c>
      <c r="J92" t="str">
        <f>_xlfn.XLOOKUP(AllDataCorrected[[#This Row],[Site Name]],LocationsKey[Site Name], LocationsKey[Waterway])</f>
        <v>Avon</v>
      </c>
      <c r="K92" t="s">
        <v>22</v>
      </c>
      <c r="L92">
        <f>_xlfn.XLOOKUP(AllDataCorrected[[#This Row],[Site Name]],Tables!$B$12:$B$78, Tables!C$12:C$78)</f>
        <v>51.991389555555564</v>
      </c>
      <c r="M92">
        <f>_xlfn.XLOOKUP(AllDataCorrected[[#This Row],[Site Name]],Tables!$B$12:$B$78, Tables!D$12:D$78)</f>
        <v>-2.1620794000000005</v>
      </c>
      <c r="N92" t="s">
        <v>23</v>
      </c>
      <c r="P92">
        <v>20</v>
      </c>
      <c r="Q92">
        <v>5</v>
      </c>
      <c r="R92" t="str">
        <f>IF(AllDataCorrected[[#This Row],[Nitrate (PPM)]]&gt;2, "4. Very high (&gt;2ppm)", IF(AllDataCorrected[[#This Row],[Nitrate (PPM)]]&gt;1, "3. High (1-2ppm)", IF(AllDataCorrected[[#This Row],[Nitrate (PPM)]]&gt;0.5, "2. Some evidence (0.5-1ppm)", IF(AllDataCorrected[[#This Row],[Nitrate (PPM)]]&gt;=0, "1. No evidence (&lt;0.5ppm)"))))</f>
        <v>4. Very high (&gt;2ppm)</v>
      </c>
      <c r="S92">
        <v>1.1000000000000001</v>
      </c>
      <c r="T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
        <v>0</v>
      </c>
    </row>
    <row r="93" spans="1:22" x14ac:dyDescent="0.25">
      <c r="A93" t="s">
        <v>171</v>
      </c>
      <c r="B93" s="2">
        <v>45186</v>
      </c>
      <c r="C93" t="str" cm="1">
        <f t="array" ref="C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3">
        <f>YEAR(AllDataCorrected[[#This Row],[Date]])</f>
        <v>2023</v>
      </c>
      <c r="E93" s="1">
        <v>0.5</v>
      </c>
      <c r="F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 t="str">
        <f>_xlfn.XLOOKUP(AllDataCorrected[[#This Row],[Location Name]], Locations[Location Name],Locations[Group As])</f>
        <v>Hampton Wood</v>
      </c>
      <c r="H93" t="e" vm="2">
        <f>_xlfn.XLOOKUP(AllDataCorrected[[#This Row],[Site Name]],LocationsKey[Site Name],LocationsKey[District])</f>
        <v>#VALUE!</v>
      </c>
      <c r="I93" t="e" vm="3">
        <f>_xlfn.XLOOKUP(AllDataCorrected[[#This Row],[Site Name]],LocationsKey[Site Name],LocationsKey[Town])</f>
        <v>#VALUE!</v>
      </c>
      <c r="J93" t="str">
        <f>_xlfn.XLOOKUP(AllDataCorrected[[#This Row],[Site Name]],LocationsKey[Site Name], LocationsKey[Waterway])</f>
        <v>Avon</v>
      </c>
      <c r="K93" t="s">
        <v>34</v>
      </c>
      <c r="L93">
        <f>_xlfn.XLOOKUP(AllDataCorrected[[#This Row],[Site Name]],Tables!$B$12:$B$78, Tables!C$12:C$78)</f>
        <v>52.23814999999999</v>
      </c>
      <c r="M93">
        <f>_xlfn.XLOOKUP(AllDataCorrected[[#This Row],[Site Name]],Tables!$B$12:$B$78, Tables!D$12:D$78)</f>
        <v>-1.6245800000000008</v>
      </c>
      <c r="N93" t="s">
        <v>29</v>
      </c>
      <c r="O93">
        <v>912</v>
      </c>
      <c r="P93">
        <v>18.8</v>
      </c>
      <c r="Q93">
        <v>6</v>
      </c>
      <c r="R93" t="str">
        <f>IF(AllDataCorrected[[#This Row],[Nitrate (PPM)]]&gt;2, "4. Very high (&gt;2ppm)", IF(AllDataCorrected[[#This Row],[Nitrate (PPM)]]&gt;1, "3. High (1-2ppm)", IF(AllDataCorrected[[#This Row],[Nitrate (PPM)]]&gt;0.5, "2. Some evidence (0.5-1ppm)", IF(AllDataCorrected[[#This Row],[Nitrate (PPM)]]&gt;=0, "1. No evidence (&lt;0.5ppm)"))))</f>
        <v>4. Very high (&gt;2ppm)</v>
      </c>
      <c r="S93">
        <v>0.62</v>
      </c>
      <c r="T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
        <v>0</v>
      </c>
    </row>
    <row r="94" spans="1:22" x14ac:dyDescent="0.25">
      <c r="A94" t="s">
        <v>172</v>
      </c>
      <c r="B94" s="2">
        <v>45186</v>
      </c>
      <c r="C94" t="str" cm="1">
        <f t="array" ref="C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4">
        <f>YEAR(AllDataCorrected[[#This Row],[Date]])</f>
        <v>2023</v>
      </c>
      <c r="E94" s="1">
        <v>0.50069444444444444</v>
      </c>
      <c r="F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 t="str">
        <f>_xlfn.XLOOKUP(AllDataCorrected[[#This Row],[Location Name]], Locations[Location Name],Locations[Group As])</f>
        <v>Carrant Bredon Rd</v>
      </c>
      <c r="H94" t="e" vm="1">
        <f>_xlfn.XLOOKUP(AllDataCorrected[[#This Row],[Site Name]],LocationsKey[Site Name],LocationsKey[District])</f>
        <v>#VALUE!</v>
      </c>
      <c r="I94" t="e" vm="1">
        <f>_xlfn.XLOOKUP(AllDataCorrected[[#This Row],[Site Name]],LocationsKey[Site Name],LocationsKey[Town])</f>
        <v>#VALUE!</v>
      </c>
      <c r="J94" t="str">
        <f>_xlfn.XLOOKUP(AllDataCorrected[[#This Row],[Site Name]],LocationsKey[Site Name], LocationsKey[Waterway])</f>
        <v>Carrant</v>
      </c>
      <c r="K94" t="s">
        <v>90</v>
      </c>
      <c r="L94">
        <f>_xlfn.XLOOKUP(AllDataCorrected[[#This Row],[Site Name]],Tables!$B$12:$B$78, Tables!C$12:C$78)</f>
        <v>51.996416567567572</v>
      </c>
      <c r="M94">
        <f>_xlfn.XLOOKUP(AllDataCorrected[[#This Row],[Site Name]],Tables!$B$12:$B$78, Tables!D$12:D$78)</f>
        <v>-2.1556626756756749</v>
      </c>
      <c r="N94" t="s">
        <v>23</v>
      </c>
      <c r="O94">
        <v>661</v>
      </c>
      <c r="P94">
        <v>16.600000000000001</v>
      </c>
      <c r="Q94">
        <v>7</v>
      </c>
      <c r="R94" t="str">
        <f>IF(AllDataCorrected[[#This Row],[Nitrate (PPM)]]&gt;2, "4. Very high (&gt;2ppm)", IF(AllDataCorrected[[#This Row],[Nitrate (PPM)]]&gt;1, "3. High (1-2ppm)", IF(AllDataCorrected[[#This Row],[Nitrate (PPM)]]&gt;0.5, "2. Some evidence (0.5-1ppm)", IF(AllDataCorrected[[#This Row],[Nitrate (PPM)]]&gt;=0, "1. No evidence (&lt;0.5ppm)"))))</f>
        <v>4. Very high (&gt;2ppm)</v>
      </c>
      <c r="S94">
        <v>0.68</v>
      </c>
      <c r="T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
        <v>0</v>
      </c>
    </row>
    <row r="95" spans="1:22" x14ac:dyDescent="0.25">
      <c r="A95" t="s">
        <v>173</v>
      </c>
      <c r="B95" s="2">
        <v>45186</v>
      </c>
      <c r="C95" t="str" cm="1">
        <f t="array" ref="C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5">
        <f>YEAR(AllDataCorrected[[#This Row],[Date]])</f>
        <v>2023</v>
      </c>
      <c r="E95" s="1">
        <v>0.52777777777777779</v>
      </c>
      <c r="F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 t="str">
        <f>_xlfn.XLOOKUP(AllDataCorrected[[#This Row],[Location Name]], Locations[Location Name],Locations[Group As])</f>
        <v>Hampton Lucy</v>
      </c>
      <c r="H95" t="e" vm="2">
        <f>_xlfn.XLOOKUP(AllDataCorrected[[#This Row],[Site Name]],LocationsKey[Site Name],LocationsKey[District])</f>
        <v>#VALUE!</v>
      </c>
      <c r="I95" t="e" vm="4">
        <f>_xlfn.XLOOKUP(AllDataCorrected[[#This Row],[Site Name]],LocationsKey[Site Name],LocationsKey[Town])</f>
        <v>#VALUE!</v>
      </c>
      <c r="J95" t="str">
        <f>_xlfn.XLOOKUP(AllDataCorrected[[#This Row],[Site Name]],LocationsKey[Site Name], LocationsKey[Waterway])</f>
        <v>Avon</v>
      </c>
      <c r="K95" t="s">
        <v>37</v>
      </c>
      <c r="L95">
        <f>_xlfn.XLOOKUP(AllDataCorrected[[#This Row],[Site Name]],Tables!$B$12:$B$78, Tables!C$12:C$78)</f>
        <v>52.211679999999973</v>
      </c>
      <c r="M95">
        <f>_xlfn.XLOOKUP(AllDataCorrected[[#This Row],[Site Name]],Tables!$B$12:$B$78, Tables!D$12:D$78)</f>
        <v>-1.6244400000000001</v>
      </c>
      <c r="N95" t="s">
        <v>23</v>
      </c>
      <c r="O95">
        <v>854</v>
      </c>
      <c r="P95">
        <v>18.600000000000001</v>
      </c>
      <c r="Q95">
        <v>4</v>
      </c>
      <c r="R95" t="str">
        <f>IF(AllDataCorrected[[#This Row],[Nitrate (PPM)]]&gt;2, "4. Very high (&gt;2ppm)", IF(AllDataCorrected[[#This Row],[Nitrate (PPM)]]&gt;1, "3. High (1-2ppm)", IF(AllDataCorrected[[#This Row],[Nitrate (PPM)]]&gt;0.5, "2. Some evidence (0.5-1ppm)", IF(AllDataCorrected[[#This Row],[Nitrate (PPM)]]&gt;=0, "1. No evidence (&lt;0.5ppm)"))))</f>
        <v>4. Very high (&gt;2ppm)</v>
      </c>
      <c r="S95">
        <v>0.61</v>
      </c>
      <c r="T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
        <v>0</v>
      </c>
    </row>
    <row r="96" spans="1:22" x14ac:dyDescent="0.25">
      <c r="A96" t="s">
        <v>174</v>
      </c>
      <c r="B96" s="2">
        <v>45186</v>
      </c>
      <c r="C96" t="str" cm="1">
        <f t="array" ref="C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6">
        <f>YEAR(AllDataCorrected[[#This Row],[Date]])</f>
        <v>2023</v>
      </c>
      <c r="E96" s="1">
        <v>0.70833333333333337</v>
      </c>
      <c r="F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 t="str">
        <f>_xlfn.XLOOKUP(AllDataCorrected[[#This Row],[Location Name]], Locations[Location Name],Locations[Group As])</f>
        <v>Welford Boat Station</v>
      </c>
      <c r="H96" t="e" vm="2">
        <f>_xlfn.XLOOKUP(AllDataCorrected[[#This Row],[Site Name]],LocationsKey[Site Name],LocationsKey[District])</f>
        <v>#VALUE!</v>
      </c>
      <c r="I96" t="e" vm="5">
        <f>_xlfn.XLOOKUP(AllDataCorrected[[#This Row],[Site Name]],LocationsKey[Site Name],LocationsKey[Town])</f>
        <v>#VALUE!</v>
      </c>
      <c r="J96" t="str">
        <f>_xlfn.XLOOKUP(AllDataCorrected[[#This Row],[Site Name]],LocationsKey[Site Name], LocationsKey[Waterway])</f>
        <v>Avon</v>
      </c>
      <c r="K96" t="s">
        <v>39</v>
      </c>
      <c r="L96">
        <f>_xlfn.XLOOKUP(AllDataCorrected[[#This Row],[Site Name]],Tables!$B$12:$B$78, Tables!C$12:C$78)</f>
        <v>52.175174684210546</v>
      </c>
      <c r="M96">
        <f>_xlfn.XLOOKUP(AllDataCorrected[[#This Row],[Site Name]],Tables!$B$12:$B$78, Tables!D$12:D$78)</f>
        <v>-1.7918551052631577</v>
      </c>
      <c r="N96" t="s">
        <v>29</v>
      </c>
      <c r="O96">
        <v>836</v>
      </c>
      <c r="P96">
        <v>18.2</v>
      </c>
      <c r="Q96">
        <v>4</v>
      </c>
      <c r="R96" t="str">
        <f>IF(AllDataCorrected[[#This Row],[Nitrate (PPM)]]&gt;2, "4. Very high (&gt;2ppm)", IF(AllDataCorrected[[#This Row],[Nitrate (PPM)]]&gt;1, "3. High (1-2ppm)", IF(AllDataCorrected[[#This Row],[Nitrate (PPM)]]&gt;0.5, "2. Some evidence (0.5-1ppm)", IF(AllDataCorrected[[#This Row],[Nitrate (PPM)]]&gt;=0, "1. No evidence (&lt;0.5ppm)"))))</f>
        <v>4. Very high (&gt;2ppm)</v>
      </c>
      <c r="S96">
        <v>0.65</v>
      </c>
      <c r="T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
        <v>0</v>
      </c>
      <c r="V96" t="s">
        <v>175</v>
      </c>
    </row>
    <row r="97" spans="1:22" x14ac:dyDescent="0.25">
      <c r="A97" t="s">
        <v>176</v>
      </c>
      <c r="B97" s="2">
        <v>45187</v>
      </c>
      <c r="C97" t="str" cm="1">
        <f t="array" ref="C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7">
        <f>YEAR(AllDataCorrected[[#This Row],[Date]])</f>
        <v>2023</v>
      </c>
      <c r="E97" s="1">
        <v>0.72916666666666663</v>
      </c>
      <c r="F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 t="str">
        <f>_xlfn.XLOOKUP(AllDataCorrected[[#This Row],[Location Name]], Locations[Location Name],Locations[Group As])</f>
        <v>Barton</v>
      </c>
      <c r="H97" t="e" vm="2">
        <f>_xlfn.XLOOKUP(AllDataCorrected[[#This Row],[Site Name]],LocationsKey[Site Name],LocationsKey[District])</f>
        <v>#VALUE!</v>
      </c>
      <c r="I97" t="str">
        <f>_xlfn.XLOOKUP(AllDataCorrected[[#This Row],[Site Name]],LocationsKey[Site Name],LocationsKey[Town])</f>
        <v>Barton</v>
      </c>
      <c r="J97" t="str">
        <f>_xlfn.XLOOKUP(AllDataCorrected[[#This Row],[Site Name]],LocationsKey[Site Name], LocationsKey[Waterway])</f>
        <v>Avon</v>
      </c>
      <c r="K97" t="s">
        <v>49</v>
      </c>
      <c r="L97">
        <f>_xlfn.XLOOKUP(AllDataCorrected[[#This Row],[Site Name]],Tables!$B$12:$B$78, Tables!C$12:C$78)</f>
        <v>52.16120999999999</v>
      </c>
      <c r="M97">
        <f>_xlfn.XLOOKUP(AllDataCorrected[[#This Row],[Site Name]],Tables!$B$12:$B$78, Tables!D$12:D$78)</f>
        <v>-1.8301499999999999</v>
      </c>
      <c r="N97" t="s">
        <v>29</v>
      </c>
      <c r="O97">
        <v>872</v>
      </c>
      <c r="P97">
        <v>17.100000000000001</v>
      </c>
      <c r="S97">
        <v>0.66</v>
      </c>
      <c r="T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
        <v>0</v>
      </c>
      <c r="V97" t="s">
        <v>177</v>
      </c>
    </row>
    <row r="98" spans="1:22" x14ac:dyDescent="0.25">
      <c r="A98" t="s">
        <v>178</v>
      </c>
      <c r="B98" s="2">
        <v>45189</v>
      </c>
      <c r="C98" t="str" cm="1">
        <f t="array" ref="C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8">
        <f>YEAR(AllDataCorrected[[#This Row],[Date]])</f>
        <v>2023</v>
      </c>
      <c r="E98" s="1">
        <v>0.70833333333333337</v>
      </c>
      <c r="F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 t="str">
        <f>_xlfn.XLOOKUP(AllDataCorrected[[#This Row],[Location Name]], Locations[Location Name],Locations[Group As])</f>
        <v>Stour Newbold Mill</v>
      </c>
      <c r="H98" t="e" vm="2">
        <f>_xlfn.XLOOKUP(AllDataCorrected[[#This Row],[Site Name]],LocationsKey[Site Name],LocationsKey[District])</f>
        <v>#VALUE!</v>
      </c>
      <c r="I98" t="e" vm="8">
        <f>_xlfn.XLOOKUP(AllDataCorrected[[#This Row],[Site Name]],LocationsKey[Site Name],LocationsKey[Town])</f>
        <v>#VALUE!</v>
      </c>
      <c r="J98" t="str">
        <f>_xlfn.XLOOKUP(AllDataCorrected[[#This Row],[Site Name]],LocationsKey[Site Name], LocationsKey[Waterway])</f>
        <v>Stour</v>
      </c>
      <c r="K98" t="s">
        <v>140</v>
      </c>
      <c r="L98">
        <f>_xlfn.XLOOKUP(AllDataCorrected[[#This Row],[Site Name]],Tables!$B$12:$B$78, Tables!C$12:C$78)</f>
        <v>52.113052370370362</v>
      </c>
      <c r="M98">
        <f>_xlfn.XLOOKUP(AllDataCorrected[[#This Row],[Site Name]],Tables!$B$12:$B$78, Tables!D$12:D$78)</f>
        <v>-1.6333685185185185</v>
      </c>
      <c r="N98" t="s">
        <v>29</v>
      </c>
      <c r="O98">
        <v>668</v>
      </c>
      <c r="P98">
        <v>16.399999999999999</v>
      </c>
      <c r="Q98">
        <v>10</v>
      </c>
      <c r="R98" t="str">
        <f>IF(AllDataCorrected[[#This Row],[Nitrate (PPM)]]&gt;2, "4. Very high (&gt;2ppm)", IF(AllDataCorrected[[#This Row],[Nitrate (PPM)]]&gt;1, "3. High (1-2ppm)", IF(AllDataCorrected[[#This Row],[Nitrate (PPM)]]&gt;0.5, "2. Some evidence (0.5-1ppm)", IF(AllDataCorrected[[#This Row],[Nitrate (PPM)]]&gt;=0, "1. No evidence (&lt;0.5ppm)"))))</f>
        <v>4. Very high (&gt;2ppm)</v>
      </c>
      <c r="S98">
        <v>0.79</v>
      </c>
      <c r="T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
        <v>2.1</v>
      </c>
      <c r="V98" t="s">
        <v>179</v>
      </c>
    </row>
    <row r="99" spans="1:22" x14ac:dyDescent="0.25">
      <c r="A99" t="s">
        <v>180</v>
      </c>
      <c r="B99" s="2">
        <v>45190</v>
      </c>
      <c r="C99" t="str" cm="1">
        <f t="array" ref="C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9">
        <f>YEAR(AllDataCorrected[[#This Row],[Date]])</f>
        <v>2023</v>
      </c>
      <c r="E99" s="1">
        <v>0.42708333333333331</v>
      </c>
      <c r="F9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 t="str">
        <f>_xlfn.XLOOKUP(AllDataCorrected[[#This Row],[Location Name]], Locations[Location Name],Locations[Group As])</f>
        <v>Swilgate</v>
      </c>
      <c r="H99" t="e" vm="1">
        <f>_xlfn.XLOOKUP(AllDataCorrected[[#This Row],[Site Name]],LocationsKey[Site Name],LocationsKey[District])</f>
        <v>#VALUE!</v>
      </c>
      <c r="I99" t="e" vm="1">
        <f>_xlfn.XLOOKUP(AllDataCorrected[[#This Row],[Site Name]],LocationsKey[Site Name],LocationsKey[Town])</f>
        <v>#VALUE!</v>
      </c>
      <c r="J99" t="str">
        <f>_xlfn.XLOOKUP(AllDataCorrected[[#This Row],[Site Name]],LocationsKey[Site Name], LocationsKey[Waterway])</f>
        <v>Swilgate</v>
      </c>
      <c r="K99" t="s">
        <v>84</v>
      </c>
      <c r="L99">
        <f>_xlfn.XLOOKUP(AllDataCorrected[[#This Row],[Site Name]],Tables!$B$12:$B$78, Tables!C$12:C$78)</f>
        <v>51.9885442</v>
      </c>
      <c r="M99">
        <f>_xlfn.XLOOKUP(AllDataCorrected[[#This Row],[Site Name]],Tables!$B$12:$B$78, Tables!D$12:D$78)</f>
        <v>-2.1639010000000001</v>
      </c>
      <c r="N99" t="s">
        <v>23</v>
      </c>
      <c r="O99">
        <v>736</v>
      </c>
      <c r="P99">
        <v>15.8</v>
      </c>
      <c r="Q99">
        <v>7</v>
      </c>
      <c r="R99" t="str">
        <f>IF(AllDataCorrected[[#This Row],[Nitrate (PPM)]]&gt;2, "4. Very high (&gt;2ppm)", IF(AllDataCorrected[[#This Row],[Nitrate (PPM)]]&gt;1, "3. High (1-2ppm)", IF(AllDataCorrected[[#This Row],[Nitrate (PPM)]]&gt;0.5, "2. Some evidence (0.5-1ppm)", IF(AllDataCorrected[[#This Row],[Nitrate (PPM)]]&gt;=0, "1. No evidence (&lt;0.5ppm)"))))</f>
        <v>4. Very high (&gt;2ppm)</v>
      </c>
      <c r="S99">
        <v>0.83</v>
      </c>
      <c r="T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
        <v>0</v>
      </c>
    </row>
    <row r="100" spans="1:22" x14ac:dyDescent="0.25">
      <c r="A100" t="s">
        <v>181</v>
      </c>
      <c r="B100" s="2">
        <v>45190</v>
      </c>
      <c r="C100" t="str" cm="1">
        <f t="array" ref="C1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0">
        <f>YEAR(AllDataCorrected[[#This Row],[Date]])</f>
        <v>2023</v>
      </c>
      <c r="E100" s="1">
        <v>0.4375</v>
      </c>
      <c r="F10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 t="str">
        <f>_xlfn.XLOOKUP(AllDataCorrected[[#This Row],[Location Name]], Locations[Location Name],Locations[Group As])</f>
        <v>Abbey Mill</v>
      </c>
      <c r="H100" t="e" vm="1">
        <f>_xlfn.XLOOKUP(AllDataCorrected[[#This Row],[Site Name]],LocationsKey[Site Name],LocationsKey[District])</f>
        <v>#VALUE!</v>
      </c>
      <c r="I100" t="e" vm="1">
        <f>_xlfn.XLOOKUP(AllDataCorrected[[#This Row],[Site Name]],LocationsKey[Site Name],LocationsKey[Town])</f>
        <v>#VALUE!</v>
      </c>
      <c r="J100" t="str">
        <f>_xlfn.XLOOKUP(AllDataCorrected[[#This Row],[Site Name]],LocationsKey[Site Name], LocationsKey[Waterway])</f>
        <v>Avon</v>
      </c>
      <c r="K100" t="s">
        <v>22</v>
      </c>
      <c r="L100">
        <f>_xlfn.XLOOKUP(AllDataCorrected[[#This Row],[Site Name]],Tables!$B$12:$B$78, Tables!C$12:C$78)</f>
        <v>51.991389555555564</v>
      </c>
      <c r="M100">
        <f>_xlfn.XLOOKUP(AllDataCorrected[[#This Row],[Site Name]],Tables!$B$12:$B$78, Tables!D$12:D$78)</f>
        <v>-2.1620794000000005</v>
      </c>
      <c r="N100" t="s">
        <v>23</v>
      </c>
      <c r="O100">
        <v>105</v>
      </c>
      <c r="P100">
        <v>17.100000000000001</v>
      </c>
      <c r="Q100">
        <v>8</v>
      </c>
      <c r="R1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
        <v>1.04</v>
      </c>
      <c r="T1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
        <v>0</v>
      </c>
    </row>
    <row r="101" spans="1:22" x14ac:dyDescent="0.25">
      <c r="A101" t="s">
        <v>182</v>
      </c>
      <c r="B101" s="2">
        <v>45190</v>
      </c>
      <c r="C101" t="str" cm="1">
        <f t="array" ref="C1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1">
        <f>YEAR(AllDataCorrected[[#This Row],[Date]])</f>
        <v>2023</v>
      </c>
      <c r="E101" s="1">
        <v>0.58333333333333337</v>
      </c>
      <c r="F1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 t="str">
        <f>_xlfn.XLOOKUP(AllDataCorrected[[#This Row],[Location Name]], Locations[Location Name],Locations[Group As])</f>
        <v>Preston-on-Stour River Bridge</v>
      </c>
      <c r="H101" t="e" vm="2">
        <f>_xlfn.XLOOKUP(AllDataCorrected[[#This Row],[Site Name]],LocationsKey[Site Name],LocationsKey[District])</f>
        <v>#VALUE!</v>
      </c>
      <c r="I101" t="e" vm="9">
        <f>_xlfn.XLOOKUP(AllDataCorrected[[#This Row],[Site Name]],LocationsKey[Site Name],LocationsKey[Town])</f>
        <v>#VALUE!</v>
      </c>
      <c r="J101" t="str">
        <f>_xlfn.XLOOKUP(AllDataCorrected[[#This Row],[Site Name]],LocationsKey[Site Name], LocationsKey[Waterway])</f>
        <v>Stour</v>
      </c>
      <c r="K101" t="s">
        <v>183</v>
      </c>
      <c r="L101">
        <f>_xlfn.XLOOKUP(AllDataCorrected[[#This Row],[Site Name]],Tables!$B$12:$B$78, Tables!C$12:C$78)</f>
        <v>52.146529500000007</v>
      </c>
      <c r="M101">
        <f>_xlfn.XLOOKUP(AllDataCorrected[[#This Row],[Site Name]],Tables!$B$12:$B$78, Tables!D$12:D$78)</f>
        <v>-1.6996899999999999</v>
      </c>
      <c r="N101" t="s">
        <v>29</v>
      </c>
      <c r="O101">
        <v>671</v>
      </c>
      <c r="P101">
        <v>16.2</v>
      </c>
      <c r="Q101">
        <v>5</v>
      </c>
      <c r="R1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
        <v>0.8</v>
      </c>
      <c r="T1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
        <v>7</v>
      </c>
      <c r="V101" t="s">
        <v>184</v>
      </c>
    </row>
    <row r="102" spans="1:22" x14ac:dyDescent="0.25">
      <c r="A102" t="s">
        <v>185</v>
      </c>
      <c r="B102" s="2">
        <v>45192</v>
      </c>
      <c r="C102" t="str" cm="1">
        <f t="array" ref="C1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2">
        <f>YEAR(AllDataCorrected[[#This Row],[Date]])</f>
        <v>2023</v>
      </c>
      <c r="E102" s="1">
        <v>0.46527777777777779</v>
      </c>
      <c r="F1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 t="str">
        <f>_xlfn.XLOOKUP(AllDataCorrected[[#This Row],[Location Name]], Locations[Location Name],Locations[Group As])</f>
        <v>Pitch 16</v>
      </c>
      <c r="H102" t="e" vm="2">
        <f>_xlfn.XLOOKUP(AllDataCorrected[[#This Row],[Site Name]],LocationsKey[Site Name],LocationsKey[District])</f>
        <v>#VALUE!</v>
      </c>
      <c r="I102" t="e" vm="7">
        <f>_xlfn.XLOOKUP(AllDataCorrected[[#This Row],[Site Name]],LocationsKey[Site Name],LocationsKey[Town])</f>
        <v>#VALUE!</v>
      </c>
      <c r="J102" t="str">
        <f>_xlfn.XLOOKUP(AllDataCorrected[[#This Row],[Site Name]],LocationsKey[Site Name], LocationsKey[Waterway])</f>
        <v>Avon</v>
      </c>
      <c r="K102" t="s">
        <v>69</v>
      </c>
      <c r="L102">
        <f>_xlfn.XLOOKUP(AllDataCorrected[[#This Row],[Site Name]],Tables!$B$12:$B$78, Tables!C$12:C$78)</f>
        <v>52.17355294117646</v>
      </c>
      <c r="M102">
        <f>_xlfn.XLOOKUP(AllDataCorrected[[#This Row],[Site Name]],Tables!$B$12:$B$78, Tables!D$12:D$78)</f>
        <v>-1.7433199411764708</v>
      </c>
      <c r="N102" t="s">
        <v>29</v>
      </c>
      <c r="O102">
        <v>856</v>
      </c>
      <c r="P102">
        <v>15.5</v>
      </c>
      <c r="Q102">
        <v>15</v>
      </c>
      <c r="R1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
        <v>0.97</v>
      </c>
      <c r="T1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
        <v>0.6</v>
      </c>
      <c r="V102" t="s">
        <v>186</v>
      </c>
    </row>
    <row r="103" spans="1:22" x14ac:dyDescent="0.25">
      <c r="A103" t="s">
        <v>187</v>
      </c>
      <c r="B103" s="2">
        <v>45192</v>
      </c>
      <c r="C103" t="str" cm="1">
        <f t="array" ref="C1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3">
        <f>YEAR(AllDataCorrected[[#This Row],[Date]])</f>
        <v>2023</v>
      </c>
      <c r="E103" s="1">
        <v>0.48888888888888887</v>
      </c>
      <c r="F1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 t="str">
        <f>_xlfn.XLOOKUP(AllDataCorrected[[#This Row],[Location Name]], Locations[Location Name],Locations[Group As])</f>
        <v>Avonbank Drive</v>
      </c>
      <c r="H103" t="e" vm="2">
        <f>_xlfn.XLOOKUP(AllDataCorrected[[#This Row],[Site Name]],LocationsKey[Site Name],LocationsKey[District])</f>
        <v>#VALUE!</v>
      </c>
      <c r="I103" t="e" vm="7">
        <f>_xlfn.XLOOKUP(AllDataCorrected[[#This Row],[Site Name]],LocationsKey[Site Name],LocationsKey[Town])</f>
        <v>#VALUE!</v>
      </c>
      <c r="J103" t="str">
        <f>_xlfn.XLOOKUP(AllDataCorrected[[#This Row],[Site Name]],LocationsKey[Site Name], LocationsKey[Waterway])</f>
        <v>Avon</v>
      </c>
      <c r="K103" t="s">
        <v>65</v>
      </c>
      <c r="L103">
        <f>_xlfn.XLOOKUP(AllDataCorrected[[#This Row],[Site Name]],Tables!$B$12:$B$78, Tables!C$12:C$78)</f>
        <v>52.177054657142854</v>
      </c>
      <c r="M103">
        <f>_xlfn.XLOOKUP(AllDataCorrected[[#This Row],[Site Name]],Tables!$B$12:$B$78, Tables!D$12:D$78)</f>
        <v>-1.7358669999999996</v>
      </c>
      <c r="N103" t="s">
        <v>66</v>
      </c>
      <c r="O103">
        <v>882</v>
      </c>
      <c r="P103">
        <v>18.5</v>
      </c>
      <c r="Q103">
        <v>15</v>
      </c>
      <c r="R1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
        <v>0.8</v>
      </c>
      <c r="T1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
        <v>0.6</v>
      </c>
    </row>
    <row r="104" spans="1:22" x14ac:dyDescent="0.25">
      <c r="A104" t="s">
        <v>188</v>
      </c>
      <c r="B104" s="2">
        <v>45192</v>
      </c>
      <c r="C104" t="str" cm="1">
        <f t="array" ref="C1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4">
        <f>YEAR(AllDataCorrected[[#This Row],[Date]])</f>
        <v>2023</v>
      </c>
      <c r="E104" s="1">
        <v>0.53194444444444444</v>
      </c>
      <c r="F1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 t="str">
        <f>_xlfn.XLOOKUP(AllDataCorrected[[#This Row],[Location Name]], Locations[Location Name],Locations[Group As])</f>
        <v>Trinity Church</v>
      </c>
      <c r="H104" t="e" vm="2">
        <f>_xlfn.XLOOKUP(AllDataCorrected[[#This Row],[Site Name]],LocationsKey[Site Name],LocationsKey[District])</f>
        <v>#VALUE!</v>
      </c>
      <c r="I104" t="e" vm="7">
        <f>_xlfn.XLOOKUP(AllDataCorrected[[#This Row],[Site Name]],LocationsKey[Site Name],LocationsKey[Town])</f>
        <v>#VALUE!</v>
      </c>
      <c r="J104" t="str">
        <f>_xlfn.XLOOKUP(AllDataCorrected[[#This Row],[Site Name]],LocationsKey[Site Name], LocationsKey[Waterway])</f>
        <v>Avon</v>
      </c>
      <c r="K104" t="s">
        <v>189</v>
      </c>
      <c r="L104">
        <f>_xlfn.XLOOKUP(AllDataCorrected[[#This Row],[Site Name]],Tables!$B$12:$B$78, Tables!C$12:C$78)</f>
        <v>52.187393</v>
      </c>
      <c r="M104">
        <f>_xlfn.XLOOKUP(AllDataCorrected[[#This Row],[Site Name]],Tables!$B$12:$B$78, Tables!D$12:D$78)</f>
        <v>-1.706607</v>
      </c>
      <c r="N104" t="s">
        <v>80</v>
      </c>
      <c r="O104">
        <v>887</v>
      </c>
      <c r="P104">
        <v>16.600000000000001</v>
      </c>
      <c r="Q104">
        <v>15</v>
      </c>
      <c r="R1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
        <v>0.6</v>
      </c>
      <c r="T1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
        <v>0.6</v>
      </c>
      <c r="V104" t="s">
        <v>190</v>
      </c>
    </row>
    <row r="105" spans="1:22" x14ac:dyDescent="0.25">
      <c r="A105" t="s">
        <v>191</v>
      </c>
      <c r="B105" s="2">
        <v>45192</v>
      </c>
      <c r="C105" t="str" cm="1">
        <f t="array" ref="C1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5">
        <f>YEAR(AllDataCorrected[[#This Row],[Date]])</f>
        <v>2023</v>
      </c>
      <c r="E105" s="1">
        <v>0.60416666666666663</v>
      </c>
      <c r="F1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 t="str">
        <f>_xlfn.XLOOKUP(AllDataCorrected[[#This Row],[Location Name]], Locations[Location Name],Locations[Group As])</f>
        <v>Carrant Bredon Rd</v>
      </c>
      <c r="H105" t="e" vm="1">
        <f>_xlfn.XLOOKUP(AllDataCorrected[[#This Row],[Site Name]],LocationsKey[Site Name],LocationsKey[District])</f>
        <v>#VALUE!</v>
      </c>
      <c r="I105" t="e" vm="1">
        <f>_xlfn.XLOOKUP(AllDataCorrected[[#This Row],[Site Name]],LocationsKey[Site Name],LocationsKey[Town])</f>
        <v>#VALUE!</v>
      </c>
      <c r="J105" t="str">
        <f>_xlfn.XLOOKUP(AllDataCorrected[[#This Row],[Site Name]],LocationsKey[Site Name], LocationsKey[Waterway])</f>
        <v>Carrant</v>
      </c>
      <c r="K105" t="s">
        <v>90</v>
      </c>
      <c r="L105">
        <f>_xlfn.XLOOKUP(AllDataCorrected[[#This Row],[Site Name]],Tables!$B$12:$B$78, Tables!C$12:C$78)</f>
        <v>51.996416567567572</v>
      </c>
      <c r="M105">
        <f>_xlfn.XLOOKUP(AllDataCorrected[[#This Row],[Site Name]],Tables!$B$12:$B$78, Tables!D$12:D$78)</f>
        <v>-2.1556626756756749</v>
      </c>
      <c r="N105" t="s">
        <v>23</v>
      </c>
      <c r="O105">
        <v>655</v>
      </c>
      <c r="P105">
        <v>13.4</v>
      </c>
      <c r="Q105">
        <v>8</v>
      </c>
      <c r="R1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
        <v>0.94</v>
      </c>
      <c r="T1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
        <v>0</v>
      </c>
    </row>
    <row r="106" spans="1:22" x14ac:dyDescent="0.25">
      <c r="A106" t="s">
        <v>192</v>
      </c>
      <c r="B106" s="2">
        <v>45196</v>
      </c>
      <c r="C106" t="str" cm="1">
        <f t="array" ref="C1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6">
        <f>YEAR(AllDataCorrected[[#This Row],[Date]])</f>
        <v>2023</v>
      </c>
      <c r="E106" s="1">
        <v>0.67222222222222228</v>
      </c>
      <c r="F1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6" t="str">
        <f>_xlfn.XLOOKUP(AllDataCorrected[[#This Row],[Location Name]], Locations[Location Name],Locations[Group As])</f>
        <v>Stour Newbold Mill</v>
      </c>
      <c r="H106" t="e" vm="2">
        <f>_xlfn.XLOOKUP(AllDataCorrected[[#This Row],[Site Name]],LocationsKey[Site Name],LocationsKey[District])</f>
        <v>#VALUE!</v>
      </c>
      <c r="I106" t="e" vm="8">
        <f>_xlfn.XLOOKUP(AllDataCorrected[[#This Row],[Site Name]],LocationsKey[Site Name],LocationsKey[Town])</f>
        <v>#VALUE!</v>
      </c>
      <c r="J106" t="str">
        <f>_xlfn.XLOOKUP(AllDataCorrected[[#This Row],[Site Name]],LocationsKey[Site Name], LocationsKey[Waterway])</f>
        <v>Stour</v>
      </c>
      <c r="K106" t="s">
        <v>140</v>
      </c>
      <c r="L106">
        <f>_xlfn.XLOOKUP(AllDataCorrected[[#This Row],[Site Name]],Tables!$B$12:$B$78, Tables!C$12:C$78)</f>
        <v>52.113052370370362</v>
      </c>
      <c r="M106">
        <f>_xlfn.XLOOKUP(AllDataCorrected[[#This Row],[Site Name]],Tables!$B$12:$B$78, Tables!D$12:D$78)</f>
        <v>-1.6333685185185185</v>
      </c>
      <c r="N106" t="s">
        <v>29</v>
      </c>
      <c r="O106">
        <v>687</v>
      </c>
      <c r="P106">
        <v>16.7</v>
      </c>
      <c r="Q106">
        <v>5</v>
      </c>
      <c r="R1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
        <v>0.7</v>
      </c>
      <c r="T1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
        <v>2</v>
      </c>
      <c r="V106" t="s">
        <v>115</v>
      </c>
    </row>
    <row r="107" spans="1:22" x14ac:dyDescent="0.25">
      <c r="A107" t="s">
        <v>193</v>
      </c>
      <c r="B107" s="2">
        <v>45197</v>
      </c>
      <c r="C107" t="str" cm="1">
        <f t="array" ref="C1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7">
        <f>YEAR(AllDataCorrected[[#This Row],[Date]])</f>
        <v>2023</v>
      </c>
      <c r="E107" s="1">
        <v>0.46875</v>
      </c>
      <c r="F1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7" t="str">
        <f>_xlfn.XLOOKUP(AllDataCorrected[[#This Row],[Location Name]], Locations[Location Name],Locations[Group As])</f>
        <v>Preston-on-Stour River Bridge</v>
      </c>
      <c r="H107" t="e" vm="2">
        <f>_xlfn.XLOOKUP(AllDataCorrected[[#This Row],[Site Name]],LocationsKey[Site Name],LocationsKey[District])</f>
        <v>#VALUE!</v>
      </c>
      <c r="I107" t="e" vm="9">
        <f>_xlfn.XLOOKUP(AllDataCorrected[[#This Row],[Site Name]],LocationsKey[Site Name],LocationsKey[Town])</f>
        <v>#VALUE!</v>
      </c>
      <c r="J107" t="str">
        <f>_xlfn.XLOOKUP(AllDataCorrected[[#This Row],[Site Name]],LocationsKey[Site Name], LocationsKey[Waterway])</f>
        <v>Stour</v>
      </c>
      <c r="K107" t="s">
        <v>163</v>
      </c>
      <c r="L107">
        <f>_xlfn.XLOOKUP(AllDataCorrected[[#This Row],[Site Name]],Tables!$B$12:$B$78, Tables!C$12:C$78)</f>
        <v>52.146529500000007</v>
      </c>
      <c r="M107">
        <f>_xlfn.XLOOKUP(AllDataCorrected[[#This Row],[Site Name]],Tables!$B$12:$B$78, Tables!D$12:D$78)</f>
        <v>-1.6996899999999999</v>
      </c>
      <c r="N107" t="s">
        <v>29</v>
      </c>
      <c r="O107">
        <v>705</v>
      </c>
      <c r="P107">
        <v>15.1</v>
      </c>
      <c r="Q107">
        <v>5</v>
      </c>
      <c r="R1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
        <v>0.6</v>
      </c>
      <c r="T1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
        <v>6</v>
      </c>
      <c r="V107" t="s">
        <v>194</v>
      </c>
    </row>
    <row r="108" spans="1:22" x14ac:dyDescent="0.25">
      <c r="A108" t="s">
        <v>195</v>
      </c>
      <c r="B108" s="2">
        <v>45197</v>
      </c>
      <c r="C108" t="str" cm="1">
        <f t="array" ref="C1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8">
        <f>YEAR(AllDataCorrected[[#This Row],[Date]])</f>
        <v>2023</v>
      </c>
      <c r="E108" s="1">
        <v>0.62916666666666665</v>
      </c>
      <c r="F1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 t="str">
        <f>_xlfn.XLOOKUP(AllDataCorrected[[#This Row],[Location Name]], Locations[Location Name],Locations[Group As])</f>
        <v>Swilgate</v>
      </c>
      <c r="H108" t="e" vm="1">
        <f>_xlfn.XLOOKUP(AllDataCorrected[[#This Row],[Site Name]],LocationsKey[Site Name],LocationsKey[District])</f>
        <v>#VALUE!</v>
      </c>
      <c r="I108" t="e" vm="1">
        <f>_xlfn.XLOOKUP(AllDataCorrected[[#This Row],[Site Name]],LocationsKey[Site Name],LocationsKey[Town])</f>
        <v>#VALUE!</v>
      </c>
      <c r="J108" t="str">
        <f>_xlfn.XLOOKUP(AllDataCorrected[[#This Row],[Site Name]],LocationsKey[Site Name], LocationsKey[Waterway])</f>
        <v>Swilgate</v>
      </c>
      <c r="K108" t="s">
        <v>84</v>
      </c>
      <c r="L108">
        <f>_xlfn.XLOOKUP(AllDataCorrected[[#This Row],[Site Name]],Tables!$B$12:$B$78, Tables!C$12:C$78)</f>
        <v>51.9885442</v>
      </c>
      <c r="M108">
        <f>_xlfn.XLOOKUP(AllDataCorrected[[#This Row],[Site Name]],Tables!$B$12:$B$78, Tables!D$12:D$78)</f>
        <v>-2.1639010000000001</v>
      </c>
      <c r="N108" t="s">
        <v>23</v>
      </c>
      <c r="O108">
        <v>813</v>
      </c>
      <c r="P108">
        <v>15.6</v>
      </c>
      <c r="Q108">
        <v>7</v>
      </c>
      <c r="R1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
        <v>0.62</v>
      </c>
      <c r="T1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
        <v>0</v>
      </c>
    </row>
    <row r="109" spans="1:22" x14ac:dyDescent="0.25">
      <c r="A109" t="s">
        <v>197</v>
      </c>
      <c r="B109" s="2">
        <v>45199</v>
      </c>
      <c r="C109" t="str" cm="1">
        <f t="array" ref="C1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9">
        <f>YEAR(AllDataCorrected[[#This Row],[Date]])</f>
        <v>2023</v>
      </c>
      <c r="E109" s="1">
        <v>0.39583333333333331</v>
      </c>
      <c r="F1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 t="str">
        <f>_xlfn.XLOOKUP(AllDataCorrected[[#This Row],[Location Name]], Locations[Location Name],Locations[Group As])</f>
        <v>Avonbank Drive</v>
      </c>
      <c r="H109" t="e" vm="2">
        <f>_xlfn.XLOOKUP(AllDataCorrected[[#This Row],[Site Name]],LocationsKey[Site Name],LocationsKey[District])</f>
        <v>#VALUE!</v>
      </c>
      <c r="I109" t="e" vm="7">
        <f>_xlfn.XLOOKUP(AllDataCorrected[[#This Row],[Site Name]],LocationsKey[Site Name],LocationsKey[Town])</f>
        <v>#VALUE!</v>
      </c>
      <c r="J109" t="str">
        <f>_xlfn.XLOOKUP(AllDataCorrected[[#This Row],[Site Name]],LocationsKey[Site Name], LocationsKey[Waterway])</f>
        <v>Avon</v>
      </c>
      <c r="K109" t="s">
        <v>103</v>
      </c>
      <c r="L109">
        <f>_xlfn.XLOOKUP(AllDataCorrected[[#This Row],[Site Name]],Tables!$B$12:$B$78, Tables!C$12:C$78)</f>
        <v>52.177054657142854</v>
      </c>
      <c r="M109">
        <f>_xlfn.XLOOKUP(AllDataCorrected[[#This Row],[Site Name]],Tables!$B$12:$B$78, Tables!D$12:D$78)</f>
        <v>-1.7358669999999996</v>
      </c>
      <c r="N109" t="s">
        <v>66</v>
      </c>
      <c r="O109">
        <v>917</v>
      </c>
      <c r="P109">
        <v>18.899999999999999</v>
      </c>
      <c r="Q109">
        <v>10</v>
      </c>
      <c r="R1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
        <v>0.95</v>
      </c>
      <c r="T1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
        <v>0.6</v>
      </c>
    </row>
    <row r="110" spans="1:22" x14ac:dyDescent="0.25">
      <c r="A110" t="s">
        <v>196</v>
      </c>
      <c r="B110" s="2">
        <v>45199</v>
      </c>
      <c r="C110" t="str" cm="1">
        <f t="array" ref="C1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0">
        <f>YEAR(AllDataCorrected[[#This Row],[Date]])</f>
        <v>2023</v>
      </c>
      <c r="E110" s="1">
        <v>0.39583333333333331</v>
      </c>
      <c r="F1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 t="str">
        <f>_xlfn.XLOOKUP(AllDataCorrected[[#This Row],[Location Name]], Locations[Location Name],Locations[Group As])</f>
        <v>Pitch 16</v>
      </c>
      <c r="H110" t="e" vm="2">
        <f>_xlfn.XLOOKUP(AllDataCorrected[[#This Row],[Site Name]],LocationsKey[Site Name],LocationsKey[District])</f>
        <v>#VALUE!</v>
      </c>
      <c r="I110" t="e" vm="7">
        <f>_xlfn.XLOOKUP(AllDataCorrected[[#This Row],[Site Name]],LocationsKey[Site Name],LocationsKey[Town])</f>
        <v>#VALUE!</v>
      </c>
      <c r="J110" t="str">
        <f>_xlfn.XLOOKUP(AllDataCorrected[[#This Row],[Site Name]],LocationsKey[Site Name], LocationsKey[Waterway])</f>
        <v>Avon</v>
      </c>
      <c r="K110" t="s">
        <v>69</v>
      </c>
      <c r="L110">
        <f>_xlfn.XLOOKUP(AllDataCorrected[[#This Row],[Site Name]],Tables!$B$12:$B$78, Tables!C$12:C$78)</f>
        <v>52.17355294117646</v>
      </c>
      <c r="M110">
        <f>_xlfn.XLOOKUP(AllDataCorrected[[#This Row],[Site Name]],Tables!$B$12:$B$78, Tables!D$12:D$78)</f>
        <v>-1.7433199411764708</v>
      </c>
      <c r="N110" t="s">
        <v>29</v>
      </c>
      <c r="O110">
        <v>902</v>
      </c>
      <c r="P110">
        <v>19.3</v>
      </c>
      <c r="Q110">
        <v>15</v>
      </c>
      <c r="R1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
        <v>0.74</v>
      </c>
      <c r="T1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
        <v>0.6</v>
      </c>
    </row>
    <row r="111" spans="1:22" x14ac:dyDescent="0.25">
      <c r="A111" t="s">
        <v>198</v>
      </c>
      <c r="B111" s="2">
        <v>45200</v>
      </c>
      <c r="C111" t="str" cm="1">
        <f t="array" ref="C1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1">
        <f>YEAR(AllDataCorrected[[#This Row],[Date]])</f>
        <v>2023</v>
      </c>
      <c r="E111" s="1">
        <v>0.42708333333333331</v>
      </c>
      <c r="F1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 t="str">
        <f>_xlfn.XLOOKUP(AllDataCorrected[[#This Row],[Location Name]], Locations[Location Name],Locations[Group As])</f>
        <v>Abbey Mill</v>
      </c>
      <c r="H111" t="e" vm="1">
        <f>_xlfn.XLOOKUP(AllDataCorrected[[#This Row],[Site Name]],LocationsKey[Site Name],LocationsKey[District])</f>
        <v>#VALUE!</v>
      </c>
      <c r="I111" t="e" vm="1">
        <f>_xlfn.XLOOKUP(AllDataCorrected[[#This Row],[Site Name]],LocationsKey[Site Name],LocationsKey[Town])</f>
        <v>#VALUE!</v>
      </c>
      <c r="J111" t="str">
        <f>_xlfn.XLOOKUP(AllDataCorrected[[#This Row],[Site Name]],LocationsKey[Site Name], LocationsKey[Waterway])</f>
        <v>Avon</v>
      </c>
      <c r="K111" t="s">
        <v>25</v>
      </c>
      <c r="L111">
        <f>_xlfn.XLOOKUP(AllDataCorrected[[#This Row],[Site Name]],Tables!$B$12:$B$78, Tables!C$12:C$78)</f>
        <v>51.991389555555564</v>
      </c>
      <c r="M111">
        <f>_xlfn.XLOOKUP(AllDataCorrected[[#This Row],[Site Name]],Tables!$B$12:$B$78, Tables!D$12:D$78)</f>
        <v>-2.1620794000000005</v>
      </c>
      <c r="N111" t="s">
        <v>23</v>
      </c>
      <c r="O111">
        <v>870</v>
      </c>
      <c r="P111">
        <v>17.5</v>
      </c>
      <c r="Q111">
        <v>10</v>
      </c>
      <c r="R1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
        <v>0.98</v>
      </c>
      <c r="T1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
        <v>0</v>
      </c>
    </row>
    <row r="112" spans="1:22" x14ac:dyDescent="0.25">
      <c r="A112" t="s">
        <v>199</v>
      </c>
      <c r="B112" s="2">
        <v>45200</v>
      </c>
      <c r="C112" t="str" cm="1">
        <f t="array" ref="C1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2">
        <f>YEAR(AllDataCorrected[[#This Row],[Date]])</f>
        <v>2023</v>
      </c>
      <c r="E112" s="1">
        <v>0.43125000000000002</v>
      </c>
      <c r="F1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 t="str">
        <f>_xlfn.XLOOKUP(AllDataCorrected[[#This Row],[Location Name]], Locations[Location Name],Locations[Group As])</f>
        <v>Stour Shipston Mill Bridge</v>
      </c>
      <c r="H112" t="e" vm="2">
        <f>_xlfn.XLOOKUP(AllDataCorrected[[#This Row],[Site Name]],LocationsKey[Site Name],LocationsKey[District])</f>
        <v>#VALUE!</v>
      </c>
      <c r="I112" t="e" vm="10">
        <f>_xlfn.XLOOKUP(AllDataCorrected[[#This Row],[Site Name]],LocationsKey[Site Name],LocationsKey[Town])</f>
        <v>#VALUE!</v>
      </c>
      <c r="J112" t="str">
        <f>_xlfn.XLOOKUP(AllDataCorrected[[#This Row],[Site Name]],LocationsKey[Site Name], LocationsKey[Waterway])</f>
        <v>Stour</v>
      </c>
      <c r="K112" t="s">
        <v>200</v>
      </c>
      <c r="L112">
        <f>_xlfn.XLOOKUP(AllDataCorrected[[#This Row],[Site Name]],Tables!$B$12:$B$78, Tables!C$12:C$78)</f>
        <v>52.06201572727273</v>
      </c>
      <c r="M112">
        <f>_xlfn.XLOOKUP(AllDataCorrected[[#This Row],[Site Name]],Tables!$B$12:$B$78, Tables!D$12:D$78)</f>
        <v>-1.6218167272727273</v>
      </c>
      <c r="N112" t="s">
        <v>201</v>
      </c>
      <c r="O112">
        <v>642</v>
      </c>
      <c r="P112">
        <v>16</v>
      </c>
      <c r="Q112">
        <v>10</v>
      </c>
      <c r="R1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
        <v>0.41</v>
      </c>
      <c r="T1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
        <v>5</v>
      </c>
    </row>
    <row r="113" spans="1:22" x14ac:dyDescent="0.25">
      <c r="A113" t="s">
        <v>202</v>
      </c>
      <c r="B113" s="2">
        <v>45203</v>
      </c>
      <c r="C113" t="str" cm="1">
        <f t="array" ref="C1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3">
        <f>YEAR(AllDataCorrected[[#This Row],[Date]])</f>
        <v>2023</v>
      </c>
      <c r="E113" s="1">
        <v>0.67708333333333337</v>
      </c>
      <c r="F1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 t="str">
        <f>_xlfn.XLOOKUP(AllDataCorrected[[#This Row],[Location Name]], Locations[Location Name],Locations[Group As])</f>
        <v>Stour Newbold Mill</v>
      </c>
      <c r="H113" t="e" vm="2">
        <f>_xlfn.XLOOKUP(AllDataCorrected[[#This Row],[Site Name]],LocationsKey[Site Name],LocationsKey[District])</f>
        <v>#VALUE!</v>
      </c>
      <c r="I113" t="e" vm="8">
        <f>_xlfn.XLOOKUP(AllDataCorrected[[#This Row],[Site Name]],LocationsKey[Site Name],LocationsKey[Town])</f>
        <v>#VALUE!</v>
      </c>
      <c r="J113" t="str">
        <f>_xlfn.XLOOKUP(AllDataCorrected[[#This Row],[Site Name]],LocationsKey[Site Name], LocationsKey[Waterway])</f>
        <v>Stour</v>
      </c>
      <c r="K113" t="s">
        <v>203</v>
      </c>
      <c r="L113">
        <f>_xlfn.XLOOKUP(AllDataCorrected[[#This Row],[Site Name]],Tables!$B$12:$B$78, Tables!C$12:C$78)</f>
        <v>52.113052370370362</v>
      </c>
      <c r="M113">
        <f>_xlfn.XLOOKUP(AllDataCorrected[[#This Row],[Site Name]],Tables!$B$12:$B$78, Tables!D$12:D$78)</f>
        <v>-1.6333685185185185</v>
      </c>
      <c r="N113" t="s">
        <v>29</v>
      </c>
      <c r="O113">
        <v>704</v>
      </c>
      <c r="P113">
        <v>15.5</v>
      </c>
      <c r="Q113">
        <v>2</v>
      </c>
      <c r="R113" t="str">
        <f>IF(AllDataCorrected[[#This Row],[Nitrate (PPM)]]&gt;2, "4. Very high (&gt;2ppm)", IF(AllDataCorrected[[#This Row],[Nitrate (PPM)]]&gt;1, "3. High (1-2ppm)", IF(AllDataCorrected[[#This Row],[Nitrate (PPM)]]&gt;0.5, "2. Some evidence (0.5-1ppm)", IF(AllDataCorrected[[#This Row],[Nitrate (PPM)]]&gt;=0, "1. No evidence (&lt;0.5ppm)"))))</f>
        <v>3. High (1-2ppm)</v>
      </c>
      <c r="S113">
        <v>0.71</v>
      </c>
      <c r="T1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
        <v>2</v>
      </c>
      <c r="V113" t="s">
        <v>115</v>
      </c>
    </row>
    <row r="114" spans="1:22" x14ac:dyDescent="0.25">
      <c r="A114" t="s">
        <v>204</v>
      </c>
      <c r="B114" s="2">
        <v>45204</v>
      </c>
      <c r="C114" t="str" cm="1">
        <f t="array" ref="C1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4">
        <f>YEAR(AllDataCorrected[[#This Row],[Date]])</f>
        <v>2023</v>
      </c>
      <c r="E114" s="1">
        <v>0.4375</v>
      </c>
      <c r="F1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 t="str">
        <f>_xlfn.XLOOKUP(AllDataCorrected[[#This Row],[Location Name]], Locations[Location Name],Locations[Group As])</f>
        <v>Swilgate</v>
      </c>
      <c r="H114" t="e" vm="1">
        <f>_xlfn.XLOOKUP(AllDataCorrected[[#This Row],[Site Name]],LocationsKey[Site Name],LocationsKey[District])</f>
        <v>#VALUE!</v>
      </c>
      <c r="I114" t="e" vm="1">
        <f>_xlfn.XLOOKUP(AllDataCorrected[[#This Row],[Site Name]],LocationsKey[Site Name],LocationsKey[Town])</f>
        <v>#VALUE!</v>
      </c>
      <c r="J114" t="str">
        <f>_xlfn.XLOOKUP(AllDataCorrected[[#This Row],[Site Name]],LocationsKey[Site Name], LocationsKey[Waterway])</f>
        <v>Swilgate</v>
      </c>
      <c r="K114" t="s">
        <v>84</v>
      </c>
      <c r="L114">
        <f>_xlfn.XLOOKUP(AllDataCorrected[[#This Row],[Site Name]],Tables!$B$12:$B$78, Tables!C$12:C$78)</f>
        <v>51.9885442</v>
      </c>
      <c r="M114">
        <f>_xlfn.XLOOKUP(AllDataCorrected[[#This Row],[Site Name]],Tables!$B$12:$B$78, Tables!D$12:D$78)</f>
        <v>-2.1639010000000001</v>
      </c>
      <c r="N114" t="s">
        <v>23</v>
      </c>
      <c r="O114">
        <v>868</v>
      </c>
      <c r="P114">
        <v>15.2</v>
      </c>
      <c r="Q114">
        <v>10</v>
      </c>
      <c r="R1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
        <v>0.7</v>
      </c>
      <c r="T1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
        <v>0</v>
      </c>
    </row>
    <row r="115" spans="1:22" x14ac:dyDescent="0.25">
      <c r="A115" t="s">
        <v>205</v>
      </c>
      <c r="B115" s="2">
        <v>45204</v>
      </c>
      <c r="C115" t="str" cm="1">
        <f t="array" ref="C1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5">
        <f>YEAR(AllDataCorrected[[#This Row],[Date]])</f>
        <v>2023</v>
      </c>
      <c r="E115" s="1">
        <v>0.59236111111111112</v>
      </c>
      <c r="F1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 t="str">
        <f>_xlfn.XLOOKUP(AllDataCorrected[[#This Row],[Location Name]], Locations[Location Name],Locations[Group As])</f>
        <v>Preston-on-Stour River Bridge</v>
      </c>
      <c r="H115" t="e" vm="2">
        <f>_xlfn.XLOOKUP(AllDataCorrected[[#This Row],[Site Name]],LocationsKey[Site Name],LocationsKey[District])</f>
        <v>#VALUE!</v>
      </c>
      <c r="I115" t="e" vm="9">
        <f>_xlfn.XLOOKUP(AllDataCorrected[[#This Row],[Site Name]],LocationsKey[Site Name],LocationsKey[Town])</f>
        <v>#VALUE!</v>
      </c>
      <c r="J115" t="str">
        <f>_xlfn.XLOOKUP(AllDataCorrected[[#This Row],[Site Name]],LocationsKey[Site Name], LocationsKey[Waterway])</f>
        <v>Stour</v>
      </c>
      <c r="K115" t="s">
        <v>163</v>
      </c>
      <c r="L115">
        <f>_xlfn.XLOOKUP(AllDataCorrected[[#This Row],[Site Name]],Tables!$B$12:$B$78, Tables!C$12:C$78)</f>
        <v>52.146529500000007</v>
      </c>
      <c r="M115">
        <f>_xlfn.XLOOKUP(AllDataCorrected[[#This Row],[Site Name]],Tables!$B$12:$B$78, Tables!D$12:D$78)</f>
        <v>-1.6996899999999999</v>
      </c>
      <c r="N115" t="s">
        <v>29</v>
      </c>
      <c r="O115">
        <v>692</v>
      </c>
      <c r="P115">
        <v>15.8</v>
      </c>
      <c r="Q115">
        <v>5</v>
      </c>
      <c r="R1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
        <v>0.61</v>
      </c>
      <c r="T1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
        <v>6</v>
      </c>
      <c r="V115" t="s">
        <v>206</v>
      </c>
    </row>
    <row r="116" spans="1:22" x14ac:dyDescent="0.25">
      <c r="A116" t="s">
        <v>207</v>
      </c>
      <c r="B116" s="2">
        <v>45206</v>
      </c>
      <c r="C116" t="str" cm="1">
        <f t="array" ref="C1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6">
        <f>YEAR(AllDataCorrected[[#This Row],[Date]])</f>
        <v>2023</v>
      </c>
      <c r="E116" s="1">
        <v>0.48888888888888887</v>
      </c>
      <c r="F1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 t="str">
        <f>_xlfn.XLOOKUP(AllDataCorrected[[#This Row],[Location Name]], Locations[Location Name],Locations[Group As])</f>
        <v>Site 1  :  Middle Street</v>
      </c>
      <c r="H116" t="e" vm="2">
        <f>_xlfn.XLOOKUP(AllDataCorrected[[#This Row],[Site Name]],LocationsKey[Site Name],LocationsKey[District])</f>
        <v>#VALUE!</v>
      </c>
      <c r="I116" t="e" vm="11">
        <f>_xlfn.XLOOKUP(AllDataCorrected[[#This Row],[Site Name]],LocationsKey[Site Name],LocationsKey[Town])</f>
        <v>#VALUE!</v>
      </c>
      <c r="J116" t="str">
        <f>_xlfn.XLOOKUP(AllDataCorrected[[#This Row],[Site Name]],LocationsKey[Site Name], LocationsKey[Waterway])</f>
        <v>Fosseway Brook</v>
      </c>
      <c r="K116" t="s">
        <v>208</v>
      </c>
      <c r="L116">
        <f>_xlfn.XLOOKUP(AllDataCorrected[[#This Row],[Site Name]],Tables!$B$12:$B$78, Tables!C$12:C$78)</f>
        <v>52.090077380952394</v>
      </c>
      <c r="M116">
        <f>_xlfn.XLOOKUP(AllDataCorrected[[#This Row],[Site Name]],Tables!$B$12:$B$78, Tables!D$12:D$78)</f>
        <v>-1.6926051666666673</v>
      </c>
      <c r="N116" t="s">
        <v>66</v>
      </c>
      <c r="O116">
        <v>608</v>
      </c>
      <c r="P116">
        <v>17.100000000000001</v>
      </c>
      <c r="Q116">
        <v>1</v>
      </c>
      <c r="R116"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16">
        <v>0.18</v>
      </c>
      <c r="T1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
        <v>0</v>
      </c>
    </row>
    <row r="117" spans="1:22" x14ac:dyDescent="0.25">
      <c r="A117" t="s">
        <v>215</v>
      </c>
      <c r="B117" s="2">
        <v>45207</v>
      </c>
      <c r="C117" t="str" cm="1">
        <f t="array" ref="C1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7">
        <f>YEAR(AllDataCorrected[[#This Row],[Date]])</f>
        <v>2023</v>
      </c>
      <c r="E117" s="1">
        <v>0.41666666666666669</v>
      </c>
      <c r="F1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 t="str">
        <f>_xlfn.XLOOKUP(AllDataCorrected[[#This Row],[Location Name]], Locations[Location Name],Locations[Group As])</f>
        <v>Lucy's Mill Bridge</v>
      </c>
      <c r="H117" t="e" vm="2">
        <f>_xlfn.XLOOKUP(AllDataCorrected[[#This Row],[Site Name]],LocationsKey[Site Name],LocationsKey[District])</f>
        <v>#VALUE!</v>
      </c>
      <c r="I117" t="e" vm="7">
        <f>_xlfn.XLOOKUP(AllDataCorrected[[#This Row],[Site Name]],LocationsKey[Site Name],LocationsKey[Town])</f>
        <v>#VALUE!</v>
      </c>
      <c r="J117" t="str">
        <f>_xlfn.XLOOKUP(AllDataCorrected[[#This Row],[Site Name]],LocationsKey[Site Name], LocationsKey[Waterway])</f>
        <v>Avon</v>
      </c>
      <c r="K117" t="s">
        <v>216</v>
      </c>
      <c r="L117">
        <f>_xlfn.XLOOKUP(AllDataCorrected[[#This Row],[Site Name]],Tables!$B$12:$B$78, Tables!C$12:C$78)</f>
        <v>52.183699000000011</v>
      </c>
      <c r="M117">
        <f>_xlfn.XLOOKUP(AllDataCorrected[[#This Row],[Site Name]],Tables!$B$12:$B$78, Tables!D$12:D$78)</f>
        <v>-1.7078160000000004</v>
      </c>
      <c r="N117" t="s">
        <v>29</v>
      </c>
      <c r="P117">
        <v>16</v>
      </c>
      <c r="Q117">
        <v>10</v>
      </c>
      <c r="R1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
        <v>0.59</v>
      </c>
      <c r="T1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
        <v>0.7</v>
      </c>
    </row>
    <row r="118" spans="1:22" x14ac:dyDescent="0.25">
      <c r="A118" t="s">
        <v>209</v>
      </c>
      <c r="B118" s="2">
        <v>45207</v>
      </c>
      <c r="C118" t="str" cm="1">
        <f t="array" ref="C1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8">
        <f>YEAR(AllDataCorrected[[#This Row],[Date]])</f>
        <v>2023</v>
      </c>
      <c r="E118" s="1">
        <v>0.52083333333333337</v>
      </c>
      <c r="F1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 t="str">
        <f>_xlfn.XLOOKUP(AllDataCorrected[[#This Row],[Location Name]], Locations[Location Name],Locations[Group As])</f>
        <v>Hampton Wood</v>
      </c>
      <c r="H118" t="e" vm="2">
        <f>_xlfn.XLOOKUP(AllDataCorrected[[#This Row],[Site Name]],LocationsKey[Site Name],LocationsKey[District])</f>
        <v>#VALUE!</v>
      </c>
      <c r="I118" t="e" vm="3">
        <f>_xlfn.XLOOKUP(AllDataCorrected[[#This Row],[Site Name]],LocationsKey[Site Name],LocationsKey[Town])</f>
        <v>#VALUE!</v>
      </c>
      <c r="J118" t="str">
        <f>_xlfn.XLOOKUP(AllDataCorrected[[#This Row],[Site Name]],LocationsKey[Site Name], LocationsKey[Waterway])</f>
        <v>Avon</v>
      </c>
      <c r="K118" t="s">
        <v>34</v>
      </c>
      <c r="L118">
        <f>_xlfn.XLOOKUP(AllDataCorrected[[#This Row],[Site Name]],Tables!$B$12:$B$78, Tables!C$12:C$78)</f>
        <v>52.23814999999999</v>
      </c>
      <c r="M118">
        <f>_xlfn.XLOOKUP(AllDataCorrected[[#This Row],[Site Name]],Tables!$B$12:$B$78, Tables!D$12:D$78)</f>
        <v>-1.6245800000000008</v>
      </c>
      <c r="N118" t="s">
        <v>29</v>
      </c>
      <c r="O118">
        <v>918</v>
      </c>
      <c r="P118">
        <v>16.100000000000001</v>
      </c>
      <c r="Q118">
        <v>9</v>
      </c>
      <c r="R1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
        <v>0.73</v>
      </c>
      <c r="T1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
        <v>0</v>
      </c>
    </row>
    <row r="119" spans="1:22" x14ac:dyDescent="0.25">
      <c r="A119" t="s">
        <v>210</v>
      </c>
      <c r="B119" s="2">
        <v>45207</v>
      </c>
      <c r="C119" t="str" cm="1">
        <f t="array" ref="C1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9">
        <f>YEAR(AllDataCorrected[[#This Row],[Date]])</f>
        <v>2023</v>
      </c>
      <c r="E119" s="1">
        <v>0.58333333333333337</v>
      </c>
      <c r="F1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 t="str">
        <f>_xlfn.XLOOKUP(AllDataCorrected[[#This Row],[Location Name]], Locations[Location Name],Locations[Group As])</f>
        <v>Hampton Lucy</v>
      </c>
      <c r="H119" t="e" vm="2">
        <f>_xlfn.XLOOKUP(AllDataCorrected[[#This Row],[Site Name]],LocationsKey[Site Name],LocationsKey[District])</f>
        <v>#VALUE!</v>
      </c>
      <c r="I119" t="e" vm="4">
        <f>_xlfn.XLOOKUP(AllDataCorrected[[#This Row],[Site Name]],LocationsKey[Site Name],LocationsKey[Town])</f>
        <v>#VALUE!</v>
      </c>
      <c r="J119" t="str">
        <f>_xlfn.XLOOKUP(AllDataCorrected[[#This Row],[Site Name]],LocationsKey[Site Name], LocationsKey[Waterway])</f>
        <v>Avon</v>
      </c>
      <c r="K119" t="s">
        <v>37</v>
      </c>
      <c r="L119">
        <f>_xlfn.XLOOKUP(AllDataCorrected[[#This Row],[Site Name]],Tables!$B$12:$B$78, Tables!C$12:C$78)</f>
        <v>52.211679999999973</v>
      </c>
      <c r="M119">
        <f>_xlfn.XLOOKUP(AllDataCorrected[[#This Row],[Site Name]],Tables!$B$12:$B$78, Tables!D$12:D$78)</f>
        <v>-1.6244400000000001</v>
      </c>
      <c r="N119" t="s">
        <v>23</v>
      </c>
      <c r="O119">
        <v>884</v>
      </c>
      <c r="P119">
        <v>18</v>
      </c>
      <c r="Q119">
        <v>7.5</v>
      </c>
      <c r="R1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
        <v>0.6</v>
      </c>
      <c r="T1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
        <v>0</v>
      </c>
    </row>
    <row r="120" spans="1:22" x14ac:dyDescent="0.25">
      <c r="A120" t="s">
        <v>211</v>
      </c>
      <c r="B120" s="2">
        <v>45207</v>
      </c>
      <c r="C120" t="str" cm="1">
        <f t="array" ref="C1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0">
        <f>YEAR(AllDataCorrected[[#This Row],[Date]])</f>
        <v>2023</v>
      </c>
      <c r="E120" s="1">
        <v>0.66666666666666663</v>
      </c>
      <c r="F1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 t="str">
        <f>_xlfn.XLOOKUP(AllDataCorrected[[#This Row],[Location Name]], Locations[Location Name],Locations[Group As])</f>
        <v>Welford Boat Station</v>
      </c>
      <c r="H120" t="e" vm="2">
        <f>_xlfn.XLOOKUP(AllDataCorrected[[#This Row],[Site Name]],LocationsKey[Site Name],LocationsKey[District])</f>
        <v>#VALUE!</v>
      </c>
      <c r="I120" t="e" vm="5">
        <f>_xlfn.XLOOKUP(AllDataCorrected[[#This Row],[Site Name]],LocationsKey[Site Name],LocationsKey[Town])</f>
        <v>#VALUE!</v>
      </c>
      <c r="J120" t="str">
        <f>_xlfn.XLOOKUP(AllDataCorrected[[#This Row],[Site Name]],LocationsKey[Site Name], LocationsKey[Waterway])</f>
        <v>Avon</v>
      </c>
      <c r="K120" t="s">
        <v>39</v>
      </c>
      <c r="L120">
        <f>_xlfn.XLOOKUP(AllDataCorrected[[#This Row],[Site Name]],Tables!$B$12:$B$78, Tables!C$12:C$78)</f>
        <v>52.175174684210546</v>
      </c>
      <c r="M120">
        <f>_xlfn.XLOOKUP(AllDataCorrected[[#This Row],[Site Name]],Tables!$B$12:$B$78, Tables!D$12:D$78)</f>
        <v>-1.7918551052631577</v>
      </c>
      <c r="N120" t="s">
        <v>29</v>
      </c>
      <c r="O120">
        <v>830</v>
      </c>
      <c r="P120">
        <v>17.600000000000001</v>
      </c>
      <c r="Q120">
        <v>4.5</v>
      </c>
      <c r="R1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
        <v>0.56999999999999995</v>
      </c>
      <c r="T1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
        <v>0</v>
      </c>
      <c r="V120" t="s">
        <v>96</v>
      </c>
    </row>
    <row r="121" spans="1:22" x14ac:dyDescent="0.25">
      <c r="A121" t="s">
        <v>212</v>
      </c>
      <c r="B121" s="2">
        <v>45207</v>
      </c>
      <c r="C121" t="str" cm="1">
        <f t="array" ref="C1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1">
        <f>YEAR(AllDataCorrected[[#This Row],[Date]])</f>
        <v>2023</v>
      </c>
      <c r="E121" s="1">
        <v>0.69374999999999998</v>
      </c>
      <c r="F1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 t="str">
        <f>_xlfn.XLOOKUP(AllDataCorrected[[#This Row],[Location Name]], Locations[Location Name],Locations[Group As])</f>
        <v>Abbey Mill</v>
      </c>
      <c r="H121" t="e" vm="1">
        <f>_xlfn.XLOOKUP(AllDataCorrected[[#This Row],[Site Name]],LocationsKey[Site Name],LocationsKey[District])</f>
        <v>#VALUE!</v>
      </c>
      <c r="I121" t="e" vm="1">
        <f>_xlfn.XLOOKUP(AllDataCorrected[[#This Row],[Site Name]],LocationsKey[Site Name],LocationsKey[Town])</f>
        <v>#VALUE!</v>
      </c>
      <c r="J121" t="str">
        <f>_xlfn.XLOOKUP(AllDataCorrected[[#This Row],[Site Name]],LocationsKey[Site Name], LocationsKey[Waterway])</f>
        <v>Avon</v>
      </c>
      <c r="K121" t="s">
        <v>22</v>
      </c>
      <c r="L121">
        <f>_xlfn.XLOOKUP(AllDataCorrected[[#This Row],[Site Name]],Tables!$B$12:$B$78, Tables!C$12:C$78)</f>
        <v>51.991389555555564</v>
      </c>
      <c r="M121">
        <f>_xlfn.XLOOKUP(AllDataCorrected[[#This Row],[Site Name]],Tables!$B$12:$B$78, Tables!D$12:D$78)</f>
        <v>-2.1620794000000005</v>
      </c>
      <c r="N121" t="s">
        <v>23</v>
      </c>
      <c r="O121">
        <v>811</v>
      </c>
      <c r="P121">
        <v>18.100000000000001</v>
      </c>
      <c r="Q121">
        <v>9</v>
      </c>
      <c r="R1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
        <v>1.01</v>
      </c>
      <c r="T1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
        <v>0</v>
      </c>
    </row>
    <row r="122" spans="1:22" x14ac:dyDescent="0.25">
      <c r="A122" t="s">
        <v>214</v>
      </c>
      <c r="B122" s="2">
        <v>45207</v>
      </c>
      <c r="C122" t="str" cm="1">
        <f t="array" ref="C1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2">
        <f>YEAR(AllDataCorrected[[#This Row],[Date]])</f>
        <v>2023</v>
      </c>
      <c r="E122" s="1">
        <v>0.77083333333333337</v>
      </c>
      <c r="F1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2" t="str">
        <f>_xlfn.XLOOKUP(AllDataCorrected[[#This Row],[Location Name]], Locations[Location Name],Locations[Group As])</f>
        <v>Avonbank Drive</v>
      </c>
      <c r="H122" t="e" vm="2">
        <f>_xlfn.XLOOKUP(AllDataCorrected[[#This Row],[Site Name]],LocationsKey[Site Name],LocationsKey[District])</f>
        <v>#VALUE!</v>
      </c>
      <c r="I122" t="e" vm="7">
        <f>_xlfn.XLOOKUP(AllDataCorrected[[#This Row],[Site Name]],LocationsKey[Site Name],LocationsKey[Town])</f>
        <v>#VALUE!</v>
      </c>
      <c r="J122" t="str">
        <f>_xlfn.XLOOKUP(AllDataCorrected[[#This Row],[Site Name]],LocationsKey[Site Name], LocationsKey[Waterway])</f>
        <v>Avon</v>
      </c>
      <c r="K122" t="s">
        <v>103</v>
      </c>
      <c r="L122">
        <f>_xlfn.XLOOKUP(AllDataCorrected[[#This Row],[Site Name]],Tables!$B$12:$B$78, Tables!C$12:C$78)</f>
        <v>52.177054657142854</v>
      </c>
      <c r="M122">
        <f>_xlfn.XLOOKUP(AllDataCorrected[[#This Row],[Site Name]],Tables!$B$12:$B$78, Tables!D$12:D$78)</f>
        <v>-1.7358669999999996</v>
      </c>
      <c r="N122" t="s">
        <v>66</v>
      </c>
      <c r="O122">
        <v>915</v>
      </c>
      <c r="P122">
        <v>18</v>
      </c>
      <c r="Q122">
        <v>20</v>
      </c>
      <c r="R1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
        <v>1.74</v>
      </c>
      <c r="T1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
        <v>0.56999999999999995</v>
      </c>
    </row>
    <row r="123" spans="1:22" x14ac:dyDescent="0.25">
      <c r="A123" t="s">
        <v>213</v>
      </c>
      <c r="B123" s="2">
        <v>45207</v>
      </c>
      <c r="C123" t="str" cm="1">
        <f t="array" ref="C1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
        <f>YEAR(AllDataCorrected[[#This Row],[Date]])</f>
        <v>2023</v>
      </c>
      <c r="E123" s="1">
        <v>0.77083333333333337</v>
      </c>
      <c r="F12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 t="str">
        <f>_xlfn.XLOOKUP(AllDataCorrected[[#This Row],[Location Name]], Locations[Location Name],Locations[Group As])</f>
        <v>Pitch 16</v>
      </c>
      <c r="H123" t="e" vm="2">
        <f>_xlfn.XLOOKUP(AllDataCorrected[[#This Row],[Site Name]],LocationsKey[Site Name],LocationsKey[District])</f>
        <v>#VALUE!</v>
      </c>
      <c r="I123" t="e" vm="7">
        <f>_xlfn.XLOOKUP(AllDataCorrected[[#This Row],[Site Name]],LocationsKey[Site Name],LocationsKey[Town])</f>
        <v>#VALUE!</v>
      </c>
      <c r="J123" t="str">
        <f>_xlfn.XLOOKUP(AllDataCorrected[[#This Row],[Site Name]],LocationsKey[Site Name], LocationsKey[Waterway])</f>
        <v>Avon</v>
      </c>
      <c r="K123" t="s">
        <v>69</v>
      </c>
      <c r="L123">
        <f>_xlfn.XLOOKUP(AllDataCorrected[[#This Row],[Site Name]],Tables!$B$12:$B$78, Tables!C$12:C$78)</f>
        <v>52.17355294117646</v>
      </c>
      <c r="M123">
        <f>_xlfn.XLOOKUP(AllDataCorrected[[#This Row],[Site Name]],Tables!$B$12:$B$78, Tables!D$12:D$78)</f>
        <v>-1.7433199411764708</v>
      </c>
      <c r="N123" t="s">
        <v>29</v>
      </c>
      <c r="O123">
        <v>925</v>
      </c>
      <c r="P123">
        <v>17.399999999999999</v>
      </c>
      <c r="Q123">
        <v>0.15</v>
      </c>
      <c r="R12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3">
        <v>0.97</v>
      </c>
      <c r="T1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
        <v>0.56999999999999995</v>
      </c>
    </row>
    <row r="124" spans="1:22" x14ac:dyDescent="0.25">
      <c r="A124" t="s">
        <v>217</v>
      </c>
      <c r="B124" s="2">
        <v>45209</v>
      </c>
      <c r="C124" t="str" cm="1">
        <f t="array" ref="C1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4">
        <f>YEAR(AllDataCorrected[[#This Row],[Date]])</f>
        <v>2023</v>
      </c>
      <c r="E124" s="1">
        <v>0.6875</v>
      </c>
      <c r="F1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4" t="str">
        <f>_xlfn.XLOOKUP(AllDataCorrected[[#This Row],[Location Name]], Locations[Location Name],Locations[Group As])</f>
        <v>Weston-on-Avon</v>
      </c>
      <c r="H124" t="e" vm="2">
        <f>_xlfn.XLOOKUP(AllDataCorrected[[#This Row],[Site Name]],LocationsKey[Site Name],LocationsKey[District])</f>
        <v>#VALUE!</v>
      </c>
      <c r="I124" t="e" vm="6">
        <f>_xlfn.XLOOKUP(AllDataCorrected[[#This Row],[Site Name]],LocationsKey[Site Name],LocationsKey[Town])</f>
        <v>#VALUE!</v>
      </c>
      <c r="J124" t="str">
        <f>_xlfn.XLOOKUP(AllDataCorrected[[#This Row],[Site Name]],LocationsKey[Site Name], LocationsKey[Waterway])</f>
        <v>Avon</v>
      </c>
      <c r="K124" t="s">
        <v>41</v>
      </c>
      <c r="L124">
        <f>_xlfn.XLOOKUP(AllDataCorrected[[#This Row],[Site Name]],Tables!$B$12:$B$78, Tables!C$12:C$78)</f>
        <v>52.167429999999996</v>
      </c>
      <c r="M124">
        <f>_xlfn.XLOOKUP(AllDataCorrected[[#This Row],[Site Name]],Tables!$B$12:$B$78, Tables!D$12:D$78)</f>
        <v>-1.7744752941176474</v>
      </c>
      <c r="N124" t="s">
        <v>29</v>
      </c>
      <c r="O124">
        <v>972</v>
      </c>
      <c r="P124">
        <v>17.7</v>
      </c>
      <c r="Q124">
        <v>4</v>
      </c>
      <c r="R1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4">
        <v>0.66</v>
      </c>
      <c r="T1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4">
        <v>0</v>
      </c>
    </row>
    <row r="125" spans="1:22" x14ac:dyDescent="0.25">
      <c r="A125" t="s">
        <v>218</v>
      </c>
      <c r="B125" s="2">
        <v>45210</v>
      </c>
      <c r="C125" t="str" cm="1">
        <f t="array" ref="C1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5">
        <f>YEAR(AllDataCorrected[[#This Row],[Date]])</f>
        <v>2023</v>
      </c>
      <c r="E125" s="1">
        <v>0.52083333333333337</v>
      </c>
      <c r="F1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5" t="str">
        <f>_xlfn.XLOOKUP(AllDataCorrected[[#This Row],[Location Name]], Locations[Location Name],Locations[Group As])</f>
        <v>Barton</v>
      </c>
      <c r="H125" t="e" vm="2">
        <f>_xlfn.XLOOKUP(AllDataCorrected[[#This Row],[Site Name]],LocationsKey[Site Name],LocationsKey[District])</f>
        <v>#VALUE!</v>
      </c>
      <c r="I125" t="str">
        <f>_xlfn.XLOOKUP(AllDataCorrected[[#This Row],[Site Name]],LocationsKey[Site Name],LocationsKey[Town])</f>
        <v>Barton</v>
      </c>
      <c r="J125" t="str">
        <f>_xlfn.XLOOKUP(AllDataCorrected[[#This Row],[Site Name]],LocationsKey[Site Name], LocationsKey[Waterway])</f>
        <v>Avon</v>
      </c>
      <c r="K125" t="s">
        <v>49</v>
      </c>
      <c r="L125">
        <f>_xlfn.XLOOKUP(AllDataCorrected[[#This Row],[Site Name]],Tables!$B$12:$B$78, Tables!C$12:C$78)</f>
        <v>52.16120999999999</v>
      </c>
      <c r="M125">
        <f>_xlfn.XLOOKUP(AllDataCorrected[[#This Row],[Site Name]],Tables!$B$12:$B$78, Tables!D$12:D$78)</f>
        <v>-1.8301499999999999</v>
      </c>
      <c r="N125" t="s">
        <v>29</v>
      </c>
      <c r="O125">
        <v>962</v>
      </c>
      <c r="P125">
        <v>16.5</v>
      </c>
      <c r="Q125">
        <v>4</v>
      </c>
      <c r="R12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5">
        <v>0.84</v>
      </c>
      <c r="T1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5">
        <v>0</v>
      </c>
    </row>
    <row r="126" spans="1:22" x14ac:dyDescent="0.25">
      <c r="A126" t="s">
        <v>219</v>
      </c>
      <c r="B126" s="2">
        <v>45210</v>
      </c>
      <c r="C126" t="str" cm="1">
        <f t="array" ref="C1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6">
        <f>YEAR(AllDataCorrected[[#This Row],[Date]])</f>
        <v>2023</v>
      </c>
      <c r="E126" s="1">
        <v>0.65902777777777777</v>
      </c>
      <c r="F1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6" t="str">
        <f>_xlfn.XLOOKUP(AllDataCorrected[[#This Row],[Location Name]], Locations[Location Name],Locations[Group As])</f>
        <v>Stour Newbold Mill</v>
      </c>
      <c r="H126" t="e" vm="2">
        <f>_xlfn.XLOOKUP(AllDataCorrected[[#This Row],[Site Name]],LocationsKey[Site Name],LocationsKey[District])</f>
        <v>#VALUE!</v>
      </c>
      <c r="I126" t="e" vm="8">
        <f>_xlfn.XLOOKUP(AllDataCorrected[[#This Row],[Site Name]],LocationsKey[Site Name],LocationsKey[Town])</f>
        <v>#VALUE!</v>
      </c>
      <c r="J126" t="str">
        <f>_xlfn.XLOOKUP(AllDataCorrected[[#This Row],[Site Name]],LocationsKey[Site Name], LocationsKey[Waterway])</f>
        <v>Stour</v>
      </c>
      <c r="K126" t="s">
        <v>220</v>
      </c>
      <c r="L126">
        <f>_xlfn.XLOOKUP(AllDataCorrected[[#This Row],[Site Name]],Tables!$B$12:$B$78, Tables!C$12:C$78)</f>
        <v>52.113052370370362</v>
      </c>
      <c r="M126">
        <f>_xlfn.XLOOKUP(AllDataCorrected[[#This Row],[Site Name]],Tables!$B$12:$B$78, Tables!D$12:D$78)</f>
        <v>-1.6333685185185185</v>
      </c>
      <c r="N126" t="s">
        <v>157</v>
      </c>
      <c r="O126">
        <v>711</v>
      </c>
      <c r="P126">
        <v>15.8</v>
      </c>
      <c r="Q126">
        <v>5</v>
      </c>
      <c r="R12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6">
        <v>0.76</v>
      </c>
      <c r="T1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6">
        <v>2.5</v>
      </c>
      <c r="V126" t="s">
        <v>221</v>
      </c>
    </row>
    <row r="127" spans="1:22" x14ac:dyDescent="0.25">
      <c r="A127" t="s">
        <v>222</v>
      </c>
      <c r="B127" s="2">
        <v>45210</v>
      </c>
      <c r="C127" t="str" cm="1">
        <f t="array" ref="C1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7">
        <f>YEAR(AllDataCorrected[[#This Row],[Date]])</f>
        <v>2023</v>
      </c>
      <c r="E127" s="1">
        <v>0.68680555555555556</v>
      </c>
      <c r="F1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7" t="str">
        <f>_xlfn.XLOOKUP(AllDataCorrected[[#This Row],[Location Name]], Locations[Location Name],Locations[Group As])</f>
        <v>Stour Shipston Mill Bridge</v>
      </c>
      <c r="H127" t="e" vm="2">
        <f>_xlfn.XLOOKUP(AllDataCorrected[[#This Row],[Site Name]],LocationsKey[Site Name],LocationsKey[District])</f>
        <v>#VALUE!</v>
      </c>
      <c r="I127" t="e" vm="10">
        <f>_xlfn.XLOOKUP(AllDataCorrected[[#This Row],[Site Name]],LocationsKey[Site Name],LocationsKey[Town])</f>
        <v>#VALUE!</v>
      </c>
      <c r="J127" t="str">
        <f>_xlfn.XLOOKUP(AllDataCorrected[[#This Row],[Site Name]],LocationsKey[Site Name], LocationsKey[Waterway])</f>
        <v>Stour</v>
      </c>
      <c r="K127" t="s">
        <v>223</v>
      </c>
      <c r="L127">
        <f>_xlfn.XLOOKUP(AllDataCorrected[[#This Row],[Site Name]],Tables!$B$12:$B$78, Tables!C$12:C$78)</f>
        <v>52.06201572727273</v>
      </c>
      <c r="M127">
        <f>_xlfn.XLOOKUP(AllDataCorrected[[#This Row],[Site Name]],Tables!$B$12:$B$78, Tables!D$12:D$78)</f>
        <v>-1.6218167272727273</v>
      </c>
      <c r="N127" t="s">
        <v>161</v>
      </c>
      <c r="O127">
        <v>684</v>
      </c>
      <c r="P127">
        <v>15.7</v>
      </c>
      <c r="Q127">
        <v>10</v>
      </c>
      <c r="R1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7">
        <v>0.42</v>
      </c>
      <c r="T1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7">
        <v>0.5</v>
      </c>
      <c r="V127" t="s">
        <v>224</v>
      </c>
    </row>
    <row r="128" spans="1:22" x14ac:dyDescent="0.25">
      <c r="A128" t="s">
        <v>225</v>
      </c>
      <c r="B128" s="2">
        <v>45211</v>
      </c>
      <c r="C128" t="str" cm="1">
        <f t="array" ref="C1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8">
        <f>YEAR(AllDataCorrected[[#This Row],[Date]])</f>
        <v>2023</v>
      </c>
      <c r="E128" s="1">
        <v>0.4375</v>
      </c>
      <c r="F1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8" t="str">
        <f>_xlfn.XLOOKUP(AllDataCorrected[[#This Row],[Location Name]], Locations[Location Name],Locations[Group As])</f>
        <v>Swilgate</v>
      </c>
      <c r="H128" t="e" vm="1">
        <f>_xlfn.XLOOKUP(AllDataCorrected[[#This Row],[Site Name]],LocationsKey[Site Name],LocationsKey[District])</f>
        <v>#VALUE!</v>
      </c>
      <c r="I128" t="e" vm="1">
        <f>_xlfn.XLOOKUP(AllDataCorrected[[#This Row],[Site Name]],LocationsKey[Site Name],LocationsKey[Town])</f>
        <v>#VALUE!</v>
      </c>
      <c r="J128" t="str">
        <f>_xlfn.XLOOKUP(AllDataCorrected[[#This Row],[Site Name]],LocationsKey[Site Name], LocationsKey[Waterway])</f>
        <v>Swilgate</v>
      </c>
      <c r="K128" t="s">
        <v>84</v>
      </c>
      <c r="L128">
        <f>_xlfn.XLOOKUP(AllDataCorrected[[#This Row],[Site Name]],Tables!$B$12:$B$78, Tables!C$12:C$78)</f>
        <v>51.9885442</v>
      </c>
      <c r="M128">
        <f>_xlfn.XLOOKUP(AllDataCorrected[[#This Row],[Site Name]],Tables!$B$12:$B$78, Tables!D$12:D$78)</f>
        <v>-2.1639010000000001</v>
      </c>
      <c r="N128" t="s">
        <v>23</v>
      </c>
      <c r="O128">
        <v>637</v>
      </c>
      <c r="P128">
        <v>15</v>
      </c>
      <c r="Q128">
        <v>3</v>
      </c>
      <c r="R1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8">
        <v>0.67</v>
      </c>
      <c r="T1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8">
        <v>0</v>
      </c>
      <c r="V128" t="s">
        <v>226</v>
      </c>
    </row>
    <row r="129" spans="1:22" x14ac:dyDescent="0.25">
      <c r="A129" t="s">
        <v>227</v>
      </c>
      <c r="B129" s="2">
        <v>45211</v>
      </c>
      <c r="C129" t="str" cm="1">
        <f t="array" ref="C1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9">
        <f>YEAR(AllDataCorrected[[#This Row],[Date]])</f>
        <v>2023</v>
      </c>
      <c r="E129" s="1">
        <v>0.58888888888888891</v>
      </c>
      <c r="F1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9" t="str">
        <f>_xlfn.XLOOKUP(AllDataCorrected[[#This Row],[Location Name]], Locations[Location Name],Locations[Group As])</f>
        <v>Preston-on-Stour River Bridge</v>
      </c>
      <c r="H129" t="e" vm="2">
        <f>_xlfn.XLOOKUP(AllDataCorrected[[#This Row],[Site Name]],LocationsKey[Site Name],LocationsKey[District])</f>
        <v>#VALUE!</v>
      </c>
      <c r="I129" t="e" vm="9">
        <f>_xlfn.XLOOKUP(AllDataCorrected[[#This Row],[Site Name]],LocationsKey[Site Name],LocationsKey[Town])</f>
        <v>#VALUE!</v>
      </c>
      <c r="J129" t="str">
        <f>_xlfn.XLOOKUP(AllDataCorrected[[#This Row],[Site Name]],LocationsKey[Site Name], LocationsKey[Waterway])</f>
        <v>Stour</v>
      </c>
      <c r="K129" t="s">
        <v>228</v>
      </c>
      <c r="L129">
        <f>_xlfn.XLOOKUP(AllDataCorrected[[#This Row],[Site Name]],Tables!$B$12:$B$78, Tables!C$12:C$78)</f>
        <v>52.146529500000007</v>
      </c>
      <c r="M129">
        <f>_xlfn.XLOOKUP(AllDataCorrected[[#This Row],[Site Name]],Tables!$B$12:$B$78, Tables!D$12:D$78)</f>
        <v>-1.6996899999999999</v>
      </c>
      <c r="N129" t="s">
        <v>29</v>
      </c>
      <c r="O129">
        <v>718</v>
      </c>
      <c r="P129">
        <v>15.2</v>
      </c>
      <c r="Q129">
        <v>5</v>
      </c>
      <c r="R1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9">
        <v>0.69</v>
      </c>
      <c r="T1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9">
        <v>1.2</v>
      </c>
      <c r="V129" t="s">
        <v>229</v>
      </c>
    </row>
    <row r="130" spans="1:22" x14ac:dyDescent="0.25">
      <c r="A130" t="s">
        <v>230</v>
      </c>
      <c r="B130" s="2">
        <v>45212</v>
      </c>
      <c r="C130" t="str" cm="1">
        <f t="array" ref="C1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0">
        <f>YEAR(AllDataCorrected[[#This Row],[Date]])</f>
        <v>2023</v>
      </c>
      <c r="E130" s="1">
        <v>0.53194444444444444</v>
      </c>
      <c r="F1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0" t="str">
        <f>_xlfn.XLOOKUP(AllDataCorrected[[#This Row],[Location Name]], Locations[Location Name],Locations[Group As])</f>
        <v>Twyning Fleet</v>
      </c>
      <c r="H130" t="e" vm="1">
        <f>_xlfn.XLOOKUP(AllDataCorrected[[#This Row],[Site Name]],LocationsKey[Site Name],LocationsKey[District])</f>
        <v>#VALUE!</v>
      </c>
      <c r="I130" t="str">
        <f>_xlfn.XLOOKUP(AllDataCorrected[[#This Row],[Site Name]],LocationsKey[Site Name],LocationsKey[Town])</f>
        <v>Twyning Green</v>
      </c>
      <c r="J130" t="str">
        <f>_xlfn.XLOOKUP(AllDataCorrected[[#This Row],[Site Name]],LocationsKey[Site Name], LocationsKey[Waterway])</f>
        <v>Avon</v>
      </c>
      <c r="K130" t="s">
        <v>54</v>
      </c>
      <c r="L130">
        <f>_xlfn.XLOOKUP(AllDataCorrected[[#This Row],[Site Name]],Tables!$B$12:$B$78, Tables!C$12:C$78)</f>
        <v>52.027190153846163</v>
      </c>
      <c r="M130">
        <f>_xlfn.XLOOKUP(AllDataCorrected[[#This Row],[Site Name]],Tables!$B$12:$B$78, Tables!D$12:D$78)</f>
        <v>-2.1406086923076924</v>
      </c>
      <c r="N130" t="s">
        <v>29</v>
      </c>
      <c r="P130">
        <v>17.600000000000001</v>
      </c>
      <c r="Q130">
        <v>10</v>
      </c>
      <c r="R130" t="str">
        <f>IF(AllDataCorrected[[#This Row],[Nitrate (PPM)]]&gt;2, "4. Very high (&gt;2ppm)", IF(AllDataCorrected[[#This Row],[Nitrate (PPM)]]&gt;1, "3. High (1-2ppm)", IF(AllDataCorrected[[#This Row],[Nitrate (PPM)]]&gt;0.5, "2. Some evidence (0.5-1ppm)", IF(AllDataCorrected[[#This Row],[Nitrate (PPM)]]&gt;=0, "1. No evidence (&lt;0.5ppm)"))))</f>
        <v>4. Very high (&gt;2ppm)</v>
      </c>
      <c r="S130">
        <v>1.02</v>
      </c>
      <c r="T1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0">
        <v>0</v>
      </c>
      <c r="V130" t="s">
        <v>231</v>
      </c>
    </row>
    <row r="131" spans="1:22" x14ac:dyDescent="0.25">
      <c r="A131" t="s">
        <v>232</v>
      </c>
      <c r="B131" s="2">
        <v>45213</v>
      </c>
      <c r="C131" t="str" cm="1">
        <f t="array" ref="C1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1">
        <f>YEAR(AllDataCorrected[[#This Row],[Date]])</f>
        <v>2023</v>
      </c>
      <c r="E131" s="1">
        <v>0.47916666666666669</v>
      </c>
      <c r="F1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1" t="str">
        <f>_xlfn.XLOOKUP(AllDataCorrected[[#This Row],[Location Name]], Locations[Location Name],Locations[Group As])</f>
        <v>Pitch 16</v>
      </c>
      <c r="H131" t="e" vm="2">
        <f>_xlfn.XLOOKUP(AllDataCorrected[[#This Row],[Site Name]],LocationsKey[Site Name],LocationsKey[District])</f>
        <v>#VALUE!</v>
      </c>
      <c r="I131" t="e" vm="7">
        <f>_xlfn.XLOOKUP(AllDataCorrected[[#This Row],[Site Name]],LocationsKey[Site Name],LocationsKey[Town])</f>
        <v>#VALUE!</v>
      </c>
      <c r="J131" t="str">
        <f>_xlfn.XLOOKUP(AllDataCorrected[[#This Row],[Site Name]],LocationsKey[Site Name], LocationsKey[Waterway])</f>
        <v>Avon</v>
      </c>
      <c r="K131" t="s">
        <v>69</v>
      </c>
      <c r="L131">
        <f>_xlfn.XLOOKUP(AllDataCorrected[[#This Row],[Site Name]],Tables!$B$12:$B$78, Tables!C$12:C$78)</f>
        <v>52.17355294117646</v>
      </c>
      <c r="M131">
        <f>_xlfn.XLOOKUP(AllDataCorrected[[#This Row],[Site Name]],Tables!$B$12:$B$78, Tables!D$12:D$78)</f>
        <v>-1.7433199411764708</v>
      </c>
      <c r="N131" t="s">
        <v>29</v>
      </c>
      <c r="O131">
        <v>679</v>
      </c>
      <c r="P131">
        <v>15.3</v>
      </c>
      <c r="Q131">
        <v>5</v>
      </c>
      <c r="R131" t="str">
        <f>IF(AllDataCorrected[[#This Row],[Nitrate (PPM)]]&gt;2, "4. Very high (&gt;2ppm)", IF(AllDataCorrected[[#This Row],[Nitrate (PPM)]]&gt;1, "3. High (1-2ppm)", IF(AllDataCorrected[[#This Row],[Nitrate (PPM)]]&gt;0.5, "2. Some evidence (0.5-1ppm)", IF(AllDataCorrected[[#This Row],[Nitrate (PPM)]]&gt;=0, "1. No evidence (&lt;0.5ppm)"))))</f>
        <v>4. Very high (&gt;2ppm)</v>
      </c>
      <c r="S131">
        <v>0.84</v>
      </c>
      <c r="T1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1">
        <v>0.9</v>
      </c>
      <c r="V131" t="s">
        <v>233</v>
      </c>
    </row>
    <row r="132" spans="1:22" x14ac:dyDescent="0.25">
      <c r="A132" t="s">
        <v>234</v>
      </c>
      <c r="B132" s="2">
        <v>45213</v>
      </c>
      <c r="C132" t="str" cm="1">
        <f t="array" ref="C1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2">
        <f>YEAR(AllDataCorrected[[#This Row],[Date]])</f>
        <v>2023</v>
      </c>
      <c r="E132" s="1">
        <v>0.49305555555555558</v>
      </c>
      <c r="F1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2" t="str">
        <f>_xlfn.XLOOKUP(AllDataCorrected[[#This Row],[Location Name]], Locations[Location Name],Locations[Group As])</f>
        <v>Avonbank Drive</v>
      </c>
      <c r="H132" t="e" vm="2">
        <f>_xlfn.XLOOKUP(AllDataCorrected[[#This Row],[Site Name]],LocationsKey[Site Name],LocationsKey[District])</f>
        <v>#VALUE!</v>
      </c>
      <c r="I132" t="e" vm="7">
        <f>_xlfn.XLOOKUP(AllDataCorrected[[#This Row],[Site Name]],LocationsKey[Site Name],LocationsKey[Town])</f>
        <v>#VALUE!</v>
      </c>
      <c r="J132" t="str">
        <f>_xlfn.XLOOKUP(AllDataCorrected[[#This Row],[Site Name]],LocationsKey[Site Name], LocationsKey[Waterway])</f>
        <v>Avon</v>
      </c>
      <c r="K132" t="s">
        <v>65</v>
      </c>
      <c r="L132">
        <f>_xlfn.XLOOKUP(AllDataCorrected[[#This Row],[Site Name]],Tables!$B$12:$B$78, Tables!C$12:C$78)</f>
        <v>52.177054657142854</v>
      </c>
      <c r="M132">
        <f>_xlfn.XLOOKUP(AllDataCorrected[[#This Row],[Site Name]],Tables!$B$12:$B$78, Tables!D$12:D$78)</f>
        <v>-1.7358669999999996</v>
      </c>
      <c r="N132" t="s">
        <v>66</v>
      </c>
      <c r="O132">
        <v>688</v>
      </c>
      <c r="P132">
        <v>15.5</v>
      </c>
      <c r="Q132">
        <v>10</v>
      </c>
      <c r="R1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32">
        <v>0.86</v>
      </c>
      <c r="T1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2">
        <v>0.9</v>
      </c>
    </row>
    <row r="133" spans="1:22" x14ac:dyDescent="0.25">
      <c r="A133" t="s">
        <v>235</v>
      </c>
      <c r="B133" s="2">
        <v>45213</v>
      </c>
      <c r="C133" t="str" cm="1">
        <f t="array" ref="C1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3">
        <f>YEAR(AllDataCorrected[[#This Row],[Date]])</f>
        <v>2023</v>
      </c>
      <c r="E133" s="1">
        <v>0.52916666666666667</v>
      </c>
      <c r="F1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3" t="str">
        <f>_xlfn.XLOOKUP(AllDataCorrected[[#This Row],[Location Name]], Locations[Location Name],Locations[Group As])</f>
        <v>Carrant Bredon Rd</v>
      </c>
      <c r="H133" t="e" vm="1">
        <f>_xlfn.XLOOKUP(AllDataCorrected[[#This Row],[Site Name]],LocationsKey[Site Name],LocationsKey[District])</f>
        <v>#VALUE!</v>
      </c>
      <c r="I133" t="e" vm="1">
        <f>_xlfn.XLOOKUP(AllDataCorrected[[#This Row],[Site Name]],LocationsKey[Site Name],LocationsKey[Town])</f>
        <v>#VALUE!</v>
      </c>
      <c r="J133" t="str">
        <f>_xlfn.XLOOKUP(AllDataCorrected[[#This Row],[Site Name]],LocationsKey[Site Name], LocationsKey[Waterway])</f>
        <v>Carrant</v>
      </c>
      <c r="K133" t="s">
        <v>90</v>
      </c>
      <c r="L133">
        <f>_xlfn.XLOOKUP(AllDataCorrected[[#This Row],[Site Name]],Tables!$B$12:$B$78, Tables!C$12:C$78)</f>
        <v>51.996416567567572</v>
      </c>
      <c r="M133">
        <f>_xlfn.XLOOKUP(AllDataCorrected[[#This Row],[Site Name]],Tables!$B$12:$B$78, Tables!D$12:D$78)</f>
        <v>-2.1556626756756749</v>
      </c>
      <c r="N133" t="s">
        <v>23</v>
      </c>
      <c r="O133">
        <v>694</v>
      </c>
      <c r="P133">
        <v>14.1</v>
      </c>
      <c r="Q133">
        <v>7</v>
      </c>
      <c r="R1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33">
        <v>0.93</v>
      </c>
      <c r="T1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3">
        <v>0.3</v>
      </c>
      <c r="V133" t="s">
        <v>236</v>
      </c>
    </row>
    <row r="134" spans="1:22" x14ac:dyDescent="0.25">
      <c r="A134" t="s">
        <v>237</v>
      </c>
      <c r="B134" s="2">
        <v>45213</v>
      </c>
      <c r="C134" t="str" cm="1">
        <f t="array" ref="C1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4">
        <f>YEAR(AllDataCorrected[[#This Row],[Date]])</f>
        <v>2023</v>
      </c>
      <c r="E134" s="1">
        <v>0.625</v>
      </c>
      <c r="F1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4" t="str">
        <f>_xlfn.XLOOKUP(AllDataCorrected[[#This Row],[Location Name]], Locations[Location Name],Locations[Group As])</f>
        <v>Abbey Mill</v>
      </c>
      <c r="H134" t="e" vm="1">
        <f>_xlfn.XLOOKUP(AllDataCorrected[[#This Row],[Site Name]],LocationsKey[Site Name],LocationsKey[District])</f>
        <v>#VALUE!</v>
      </c>
      <c r="I134" t="e" vm="1">
        <f>_xlfn.XLOOKUP(AllDataCorrected[[#This Row],[Site Name]],LocationsKey[Site Name],LocationsKey[Town])</f>
        <v>#VALUE!</v>
      </c>
      <c r="J134" t="str">
        <f>_xlfn.XLOOKUP(AllDataCorrected[[#This Row],[Site Name]],LocationsKey[Site Name], LocationsKey[Waterway])</f>
        <v>Avon</v>
      </c>
      <c r="K134" t="s">
        <v>22</v>
      </c>
      <c r="L134">
        <f>_xlfn.XLOOKUP(AllDataCorrected[[#This Row],[Site Name]],Tables!$B$12:$B$78, Tables!C$12:C$78)</f>
        <v>51.991389555555564</v>
      </c>
      <c r="M134">
        <f>_xlfn.XLOOKUP(AllDataCorrected[[#This Row],[Site Name]],Tables!$B$12:$B$78, Tables!D$12:D$78)</f>
        <v>-2.1620794000000005</v>
      </c>
      <c r="N134" t="s">
        <v>23</v>
      </c>
      <c r="O134">
        <v>906</v>
      </c>
      <c r="P134">
        <v>15.6</v>
      </c>
      <c r="Q134">
        <v>9</v>
      </c>
      <c r="R1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34">
        <v>1.1499999999999999</v>
      </c>
      <c r="T1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4">
        <v>1</v>
      </c>
      <c r="V134" t="s">
        <v>238</v>
      </c>
    </row>
    <row r="135" spans="1:22" x14ac:dyDescent="0.25">
      <c r="A135" t="s">
        <v>245</v>
      </c>
      <c r="B135" s="2">
        <v>45214</v>
      </c>
      <c r="C135" t="str" cm="1">
        <f t="array" ref="C1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5">
        <f>YEAR(AllDataCorrected[[#This Row],[Date]])</f>
        <v>2023</v>
      </c>
      <c r="E135" s="1">
        <v>0.40277777777777779</v>
      </c>
      <c r="F1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5" t="str">
        <f>_xlfn.XLOOKUP(AllDataCorrected[[#This Row],[Location Name]], Locations[Location Name],Locations[Group As])</f>
        <v>Lucy's Mill Bridge</v>
      </c>
      <c r="H135" t="e" vm="2">
        <f>_xlfn.XLOOKUP(AllDataCorrected[[#This Row],[Site Name]],LocationsKey[Site Name],LocationsKey[District])</f>
        <v>#VALUE!</v>
      </c>
      <c r="I135" t="e" vm="7">
        <f>_xlfn.XLOOKUP(AllDataCorrected[[#This Row],[Site Name]],LocationsKey[Site Name],LocationsKey[Town])</f>
        <v>#VALUE!</v>
      </c>
      <c r="J135" t="str">
        <f>_xlfn.XLOOKUP(AllDataCorrected[[#This Row],[Site Name]],LocationsKey[Site Name], LocationsKey[Waterway])</f>
        <v>Avon</v>
      </c>
      <c r="K135" t="s">
        <v>216</v>
      </c>
      <c r="L135">
        <f>_xlfn.XLOOKUP(AllDataCorrected[[#This Row],[Site Name]],Tables!$B$12:$B$78, Tables!C$12:C$78)</f>
        <v>52.183699000000011</v>
      </c>
      <c r="M135">
        <f>_xlfn.XLOOKUP(AllDataCorrected[[#This Row],[Site Name]],Tables!$B$12:$B$78, Tables!D$12:D$78)</f>
        <v>-1.7078160000000004</v>
      </c>
      <c r="N135" t="s">
        <v>29</v>
      </c>
      <c r="P135">
        <v>13</v>
      </c>
      <c r="Q135">
        <v>5</v>
      </c>
      <c r="R1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35">
        <v>0.76</v>
      </c>
      <c r="T1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5">
        <v>0.7</v>
      </c>
    </row>
    <row r="136" spans="1:22" x14ac:dyDescent="0.25">
      <c r="A136" t="s">
        <v>239</v>
      </c>
      <c r="B136" s="2">
        <v>45214</v>
      </c>
      <c r="C136" t="str" cm="1">
        <f t="array" ref="C1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6">
        <f>YEAR(AllDataCorrected[[#This Row],[Date]])</f>
        <v>2023</v>
      </c>
      <c r="E136" s="1">
        <v>0.4375</v>
      </c>
      <c r="F1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6" t="str">
        <f>_xlfn.XLOOKUP(AllDataCorrected[[#This Row],[Location Name]], Locations[Location Name],Locations[Group As])</f>
        <v>Hampton Wood</v>
      </c>
      <c r="H136" t="e" vm="2">
        <f>_xlfn.XLOOKUP(AllDataCorrected[[#This Row],[Site Name]],LocationsKey[Site Name],LocationsKey[District])</f>
        <v>#VALUE!</v>
      </c>
      <c r="I136" t="e" vm="3">
        <f>_xlfn.XLOOKUP(AllDataCorrected[[#This Row],[Site Name]],LocationsKey[Site Name],LocationsKey[Town])</f>
        <v>#VALUE!</v>
      </c>
      <c r="J136" t="str">
        <f>_xlfn.XLOOKUP(AllDataCorrected[[#This Row],[Site Name]],LocationsKey[Site Name], LocationsKey[Waterway])</f>
        <v>Avon</v>
      </c>
      <c r="K136" t="s">
        <v>34</v>
      </c>
      <c r="L136">
        <f>_xlfn.XLOOKUP(AllDataCorrected[[#This Row],[Site Name]],Tables!$B$12:$B$78, Tables!C$12:C$78)</f>
        <v>52.23814999999999</v>
      </c>
      <c r="M136">
        <f>_xlfn.XLOOKUP(AllDataCorrected[[#This Row],[Site Name]],Tables!$B$12:$B$78, Tables!D$12:D$78)</f>
        <v>-1.6245800000000008</v>
      </c>
      <c r="N136" t="s">
        <v>29</v>
      </c>
      <c r="O136">
        <v>608</v>
      </c>
      <c r="P136">
        <v>12.6</v>
      </c>
      <c r="Q136">
        <v>4</v>
      </c>
      <c r="R1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36">
        <v>0.74</v>
      </c>
      <c r="T1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6">
        <v>0</v>
      </c>
      <c r="V136" t="s">
        <v>240</v>
      </c>
    </row>
    <row r="137" spans="1:22" x14ac:dyDescent="0.25">
      <c r="A137" t="s">
        <v>241</v>
      </c>
      <c r="B137" s="2">
        <v>45214</v>
      </c>
      <c r="C137" t="str" cm="1">
        <f t="array" ref="C1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7">
        <f>YEAR(AllDataCorrected[[#This Row],[Date]])</f>
        <v>2023</v>
      </c>
      <c r="E137" s="1">
        <v>0.51041666666666663</v>
      </c>
      <c r="F1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7" t="str">
        <f>_xlfn.XLOOKUP(AllDataCorrected[[#This Row],[Location Name]], Locations[Location Name],Locations[Group As])</f>
        <v>Hampton Lucy</v>
      </c>
      <c r="H137" t="e" vm="2">
        <f>_xlfn.XLOOKUP(AllDataCorrected[[#This Row],[Site Name]],LocationsKey[Site Name],LocationsKey[District])</f>
        <v>#VALUE!</v>
      </c>
      <c r="I137" t="e" vm="4">
        <f>_xlfn.XLOOKUP(AllDataCorrected[[#This Row],[Site Name]],LocationsKey[Site Name],LocationsKey[Town])</f>
        <v>#VALUE!</v>
      </c>
      <c r="J137" t="str">
        <f>_xlfn.XLOOKUP(AllDataCorrected[[#This Row],[Site Name]],LocationsKey[Site Name], LocationsKey[Waterway])</f>
        <v>Avon</v>
      </c>
      <c r="K137" t="s">
        <v>37</v>
      </c>
      <c r="L137">
        <f>_xlfn.XLOOKUP(AllDataCorrected[[#This Row],[Site Name]],Tables!$B$12:$B$78, Tables!C$12:C$78)</f>
        <v>52.211679999999973</v>
      </c>
      <c r="M137">
        <f>_xlfn.XLOOKUP(AllDataCorrected[[#This Row],[Site Name]],Tables!$B$12:$B$78, Tables!D$12:D$78)</f>
        <v>-1.6244400000000001</v>
      </c>
      <c r="N137" t="s">
        <v>23</v>
      </c>
      <c r="O137">
        <v>586</v>
      </c>
      <c r="P137">
        <v>13.1</v>
      </c>
      <c r="Q137">
        <v>3</v>
      </c>
      <c r="R1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37">
        <v>0.6</v>
      </c>
      <c r="T1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7">
        <v>0</v>
      </c>
      <c r="V137" t="s">
        <v>242</v>
      </c>
    </row>
    <row r="138" spans="1:22" x14ac:dyDescent="0.25">
      <c r="A138" t="s">
        <v>243</v>
      </c>
      <c r="B138" s="2">
        <v>45214</v>
      </c>
      <c r="C138" t="str" cm="1">
        <f t="array" ref="C1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8">
        <f>YEAR(AllDataCorrected[[#This Row],[Date]])</f>
        <v>2023</v>
      </c>
      <c r="E138" s="1">
        <v>0.66666666666666663</v>
      </c>
      <c r="F1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8" t="str">
        <f>_xlfn.XLOOKUP(AllDataCorrected[[#This Row],[Location Name]], Locations[Location Name],Locations[Group As])</f>
        <v>Welford Boat Station</v>
      </c>
      <c r="H138" t="e" vm="2">
        <f>_xlfn.XLOOKUP(AllDataCorrected[[#This Row],[Site Name]],LocationsKey[Site Name],LocationsKey[District])</f>
        <v>#VALUE!</v>
      </c>
      <c r="I138" t="e" vm="5">
        <f>_xlfn.XLOOKUP(AllDataCorrected[[#This Row],[Site Name]],LocationsKey[Site Name],LocationsKey[Town])</f>
        <v>#VALUE!</v>
      </c>
      <c r="J138" t="str">
        <f>_xlfn.XLOOKUP(AllDataCorrected[[#This Row],[Site Name]],LocationsKey[Site Name], LocationsKey[Waterway])</f>
        <v>Avon</v>
      </c>
      <c r="K138" t="s">
        <v>39</v>
      </c>
      <c r="L138">
        <f>_xlfn.XLOOKUP(AllDataCorrected[[#This Row],[Site Name]],Tables!$B$12:$B$78, Tables!C$12:C$78)</f>
        <v>52.175174684210546</v>
      </c>
      <c r="M138">
        <f>_xlfn.XLOOKUP(AllDataCorrected[[#This Row],[Site Name]],Tables!$B$12:$B$78, Tables!D$12:D$78)</f>
        <v>-1.7918551052631577</v>
      </c>
      <c r="N138" t="s">
        <v>29</v>
      </c>
      <c r="O138">
        <v>582</v>
      </c>
      <c r="P138">
        <v>13.2</v>
      </c>
      <c r="Q138">
        <v>2</v>
      </c>
      <c r="R138" t="str">
        <f>IF(AllDataCorrected[[#This Row],[Nitrate (PPM)]]&gt;2, "4. Very high (&gt;2ppm)", IF(AllDataCorrected[[#This Row],[Nitrate (PPM)]]&gt;1, "3. High (1-2ppm)", IF(AllDataCorrected[[#This Row],[Nitrate (PPM)]]&gt;0.5, "2. Some evidence (0.5-1ppm)", IF(AllDataCorrected[[#This Row],[Nitrate (PPM)]]&gt;=0, "1. No evidence (&lt;0.5ppm)"))))</f>
        <v>3. High (1-2ppm)</v>
      </c>
      <c r="S138">
        <v>0.78</v>
      </c>
      <c r="T1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8">
        <v>0</v>
      </c>
      <c r="V138" t="s">
        <v>244</v>
      </c>
    </row>
    <row r="139" spans="1:22" x14ac:dyDescent="0.25">
      <c r="A139" t="s">
        <v>246</v>
      </c>
      <c r="B139" s="2">
        <v>45215</v>
      </c>
      <c r="C139" t="str" cm="1">
        <f t="array" ref="C1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9">
        <f>YEAR(AllDataCorrected[[#This Row],[Date]])</f>
        <v>2023</v>
      </c>
      <c r="E139" s="1">
        <v>0.625</v>
      </c>
      <c r="F1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9" t="str">
        <f>_xlfn.XLOOKUP(AllDataCorrected[[#This Row],[Location Name]], Locations[Location Name],Locations[Group As])</f>
        <v>Weston-on-Avon</v>
      </c>
      <c r="H139" t="e" vm="2">
        <f>_xlfn.XLOOKUP(AllDataCorrected[[#This Row],[Site Name]],LocationsKey[Site Name],LocationsKey[District])</f>
        <v>#VALUE!</v>
      </c>
      <c r="I139" t="e" vm="6">
        <f>_xlfn.XLOOKUP(AllDataCorrected[[#This Row],[Site Name]],LocationsKey[Site Name],LocationsKey[Town])</f>
        <v>#VALUE!</v>
      </c>
      <c r="J139" t="str">
        <f>_xlfn.XLOOKUP(AllDataCorrected[[#This Row],[Site Name]],LocationsKey[Site Name], LocationsKey[Waterway])</f>
        <v>Avon</v>
      </c>
      <c r="K139" t="s">
        <v>41</v>
      </c>
      <c r="L139">
        <f>_xlfn.XLOOKUP(AllDataCorrected[[#This Row],[Site Name]],Tables!$B$12:$B$78, Tables!C$12:C$78)</f>
        <v>52.167429999999996</v>
      </c>
      <c r="M139">
        <f>_xlfn.XLOOKUP(AllDataCorrected[[#This Row],[Site Name]],Tables!$B$12:$B$78, Tables!D$12:D$78)</f>
        <v>-1.7744752941176474</v>
      </c>
      <c r="N139" t="s">
        <v>29</v>
      </c>
      <c r="O139">
        <v>696</v>
      </c>
      <c r="P139">
        <v>12</v>
      </c>
      <c r="Q139">
        <v>4</v>
      </c>
      <c r="R139" t="str">
        <f>IF(AllDataCorrected[[#This Row],[Nitrate (PPM)]]&gt;2, "4. Very high (&gt;2ppm)", IF(AllDataCorrected[[#This Row],[Nitrate (PPM)]]&gt;1, "3. High (1-2ppm)", IF(AllDataCorrected[[#This Row],[Nitrate (PPM)]]&gt;0.5, "2. Some evidence (0.5-1ppm)", IF(AllDataCorrected[[#This Row],[Nitrate (PPM)]]&gt;=0, "1. No evidence (&lt;0.5ppm)"))))</f>
        <v>4. Very high (&gt;2ppm)</v>
      </c>
      <c r="S139">
        <v>0.64</v>
      </c>
      <c r="T1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9">
        <v>0</v>
      </c>
      <c r="V139" t="s">
        <v>247</v>
      </c>
    </row>
    <row r="140" spans="1:22" x14ac:dyDescent="0.25">
      <c r="A140" t="s">
        <v>248</v>
      </c>
      <c r="B140" s="2">
        <v>45216</v>
      </c>
      <c r="C140" t="str" cm="1">
        <f t="array" ref="C1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0">
        <f>YEAR(AllDataCorrected[[#This Row],[Date]])</f>
        <v>2023</v>
      </c>
      <c r="E140" s="1">
        <v>0.42708333333333331</v>
      </c>
      <c r="F1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0" t="str">
        <f>_xlfn.XLOOKUP(AllDataCorrected[[#This Row],[Location Name]], Locations[Location Name],Locations[Group As])</f>
        <v>Clifford Chambers Mill Bridge</v>
      </c>
      <c r="H140" t="e" vm="2">
        <f>_xlfn.XLOOKUP(AllDataCorrected[[#This Row],[Site Name]],LocationsKey[Site Name],LocationsKey[District])</f>
        <v>#VALUE!</v>
      </c>
      <c r="I140" t="e" vm="12">
        <f>_xlfn.XLOOKUP(AllDataCorrected[[#This Row],[Site Name]],LocationsKey[Site Name],LocationsKey[Town])</f>
        <v>#VALUE!</v>
      </c>
      <c r="J140" t="str">
        <f>_xlfn.XLOOKUP(AllDataCorrected[[#This Row],[Site Name]],LocationsKey[Site Name], LocationsKey[Waterway])</f>
        <v>Stour</v>
      </c>
      <c r="K140" t="s">
        <v>249</v>
      </c>
      <c r="L140">
        <f>_xlfn.XLOOKUP(AllDataCorrected[[#This Row],[Site Name]],Tables!$B$12:$B$78, Tables!C$12:C$78)</f>
        <v>52.166358517241363</v>
      </c>
      <c r="M140">
        <f>_xlfn.XLOOKUP(AllDataCorrected[[#This Row],[Site Name]],Tables!$B$12:$B$78, Tables!D$12:D$78)</f>
        <v>-1.7080419310344837</v>
      </c>
      <c r="N140" t="s">
        <v>66</v>
      </c>
      <c r="O140">
        <v>599</v>
      </c>
      <c r="P140">
        <v>12.6</v>
      </c>
      <c r="Q140">
        <v>8</v>
      </c>
      <c r="R1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40">
        <v>0.42</v>
      </c>
      <c r="T1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0">
        <v>0.5</v>
      </c>
    </row>
    <row r="141" spans="1:22" x14ac:dyDescent="0.25">
      <c r="A141" t="s">
        <v>250</v>
      </c>
      <c r="B141" s="2">
        <v>45217</v>
      </c>
      <c r="C141" t="str" cm="1">
        <f t="array" ref="C1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1">
        <f>YEAR(AllDataCorrected[[#This Row],[Date]])</f>
        <v>2023</v>
      </c>
      <c r="E141" s="1">
        <v>0.66666666666666663</v>
      </c>
      <c r="F1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1" t="str">
        <f>_xlfn.XLOOKUP(AllDataCorrected[[#This Row],[Location Name]], Locations[Location Name],Locations[Group As])</f>
        <v>Stour Newbold Mill</v>
      </c>
      <c r="H141" t="e" vm="2">
        <f>_xlfn.XLOOKUP(AllDataCorrected[[#This Row],[Site Name]],LocationsKey[Site Name],LocationsKey[District])</f>
        <v>#VALUE!</v>
      </c>
      <c r="I141" t="e" vm="8">
        <f>_xlfn.XLOOKUP(AllDataCorrected[[#This Row],[Site Name]],LocationsKey[Site Name],LocationsKey[Town])</f>
        <v>#VALUE!</v>
      </c>
      <c r="J141" t="str">
        <f>_xlfn.XLOOKUP(AllDataCorrected[[#This Row],[Site Name]],LocationsKey[Site Name], LocationsKey[Waterway])</f>
        <v>Stour</v>
      </c>
      <c r="K141" t="s">
        <v>203</v>
      </c>
      <c r="L141">
        <f>_xlfn.XLOOKUP(AllDataCorrected[[#This Row],[Site Name]],Tables!$B$12:$B$78, Tables!C$12:C$78)</f>
        <v>52.113052370370362</v>
      </c>
      <c r="M141">
        <f>_xlfn.XLOOKUP(AllDataCorrected[[#This Row],[Site Name]],Tables!$B$12:$B$78, Tables!D$12:D$78)</f>
        <v>-1.6333685185185185</v>
      </c>
      <c r="N141" t="s">
        <v>29</v>
      </c>
      <c r="O141">
        <v>674</v>
      </c>
      <c r="P141">
        <v>11.7</v>
      </c>
      <c r="Q141">
        <v>5</v>
      </c>
      <c r="R1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41">
        <v>0.52</v>
      </c>
      <c r="T1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1">
        <v>2</v>
      </c>
      <c r="V141" t="s">
        <v>251</v>
      </c>
    </row>
    <row r="142" spans="1:22" x14ac:dyDescent="0.25">
      <c r="A142" t="s">
        <v>252</v>
      </c>
      <c r="B142" s="2">
        <v>45218</v>
      </c>
      <c r="C142" t="str" cm="1">
        <f t="array" ref="C1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2">
        <f>YEAR(AllDataCorrected[[#This Row],[Date]])</f>
        <v>2023</v>
      </c>
      <c r="E142" s="1">
        <v>0.42708333333333331</v>
      </c>
      <c r="F1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2" t="str">
        <f>_xlfn.XLOOKUP(AllDataCorrected[[#This Row],[Location Name]], Locations[Location Name],Locations[Group As])</f>
        <v>Swilgate</v>
      </c>
      <c r="H142" t="e" vm="1">
        <f>_xlfn.XLOOKUP(AllDataCorrected[[#This Row],[Site Name]],LocationsKey[Site Name],LocationsKey[District])</f>
        <v>#VALUE!</v>
      </c>
      <c r="I142" t="e" vm="1">
        <f>_xlfn.XLOOKUP(AllDataCorrected[[#This Row],[Site Name]],LocationsKey[Site Name],LocationsKey[Town])</f>
        <v>#VALUE!</v>
      </c>
      <c r="J142" t="str">
        <f>_xlfn.XLOOKUP(AllDataCorrected[[#This Row],[Site Name]],LocationsKey[Site Name], LocationsKey[Waterway])</f>
        <v>Swilgate</v>
      </c>
      <c r="K142" t="s">
        <v>84</v>
      </c>
      <c r="L142">
        <f>_xlfn.XLOOKUP(AllDataCorrected[[#This Row],[Site Name]],Tables!$B$12:$B$78, Tables!C$12:C$78)</f>
        <v>51.9885442</v>
      </c>
      <c r="M142">
        <f>_xlfn.XLOOKUP(AllDataCorrected[[#This Row],[Site Name]],Tables!$B$12:$B$78, Tables!D$12:D$78)</f>
        <v>-2.1639010000000001</v>
      </c>
      <c r="N142" t="s">
        <v>23</v>
      </c>
      <c r="O142">
        <v>542</v>
      </c>
      <c r="P142">
        <v>14.6</v>
      </c>
      <c r="Q142">
        <v>6</v>
      </c>
      <c r="R142" t="str">
        <f>IF(AllDataCorrected[[#This Row],[Nitrate (PPM)]]&gt;2, "4. Very high (&gt;2ppm)", IF(AllDataCorrected[[#This Row],[Nitrate (PPM)]]&gt;1, "3. High (1-2ppm)", IF(AllDataCorrected[[#This Row],[Nitrate (PPM)]]&gt;0.5, "2. Some evidence (0.5-1ppm)", IF(AllDataCorrected[[#This Row],[Nitrate (PPM)]]&gt;=0, "1. No evidence (&lt;0.5ppm)"))))</f>
        <v>4. Very high (&gt;2ppm)</v>
      </c>
      <c r="S142">
        <v>0.6</v>
      </c>
      <c r="T1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2">
        <v>1</v>
      </c>
      <c r="V142" t="s">
        <v>26</v>
      </c>
    </row>
    <row r="143" spans="1:22" x14ac:dyDescent="0.25">
      <c r="A143" t="s">
        <v>253</v>
      </c>
      <c r="B143" s="2">
        <v>45218</v>
      </c>
      <c r="C143" t="str" cm="1">
        <f t="array" ref="C1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3">
        <f>YEAR(AllDataCorrected[[#This Row],[Date]])</f>
        <v>2023</v>
      </c>
      <c r="E143" s="1">
        <v>0.52083333333333337</v>
      </c>
      <c r="F1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3" t="str">
        <f>_xlfn.XLOOKUP(AllDataCorrected[[#This Row],[Location Name]], Locations[Location Name],Locations[Group As])</f>
        <v>Preston-on-Stour River Bridge</v>
      </c>
      <c r="H143" t="e" vm="2">
        <f>_xlfn.XLOOKUP(AllDataCorrected[[#This Row],[Site Name]],LocationsKey[Site Name],LocationsKey[District])</f>
        <v>#VALUE!</v>
      </c>
      <c r="I143" t="e" vm="9">
        <f>_xlfn.XLOOKUP(AllDataCorrected[[#This Row],[Site Name]],LocationsKey[Site Name],LocationsKey[Town])</f>
        <v>#VALUE!</v>
      </c>
      <c r="J143" t="str">
        <f>_xlfn.XLOOKUP(AllDataCorrected[[#This Row],[Site Name]],LocationsKey[Site Name], LocationsKey[Waterway])</f>
        <v>Stour</v>
      </c>
      <c r="K143" t="s">
        <v>163</v>
      </c>
      <c r="L143">
        <f>_xlfn.XLOOKUP(AllDataCorrected[[#This Row],[Site Name]],Tables!$B$12:$B$78, Tables!C$12:C$78)</f>
        <v>52.146529500000007</v>
      </c>
      <c r="M143">
        <f>_xlfn.XLOOKUP(AllDataCorrected[[#This Row],[Site Name]],Tables!$B$12:$B$78, Tables!D$12:D$78)</f>
        <v>-1.6996899999999999</v>
      </c>
      <c r="N143" t="s">
        <v>29</v>
      </c>
      <c r="O143">
        <v>675</v>
      </c>
      <c r="P143">
        <v>14.7</v>
      </c>
      <c r="Q143">
        <v>5</v>
      </c>
      <c r="R143" t="str">
        <f>IF(AllDataCorrected[[#This Row],[Nitrate (PPM)]]&gt;2, "4. Very high (&gt;2ppm)", IF(AllDataCorrected[[#This Row],[Nitrate (PPM)]]&gt;1, "3. High (1-2ppm)", IF(AllDataCorrected[[#This Row],[Nitrate (PPM)]]&gt;0.5, "2. Some evidence (0.5-1ppm)", IF(AllDataCorrected[[#This Row],[Nitrate (PPM)]]&gt;=0, "1. No evidence (&lt;0.5ppm)"))))</f>
        <v>4. Very high (&gt;2ppm)</v>
      </c>
      <c r="S143">
        <v>0.61</v>
      </c>
      <c r="T1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3">
        <v>1.5</v>
      </c>
      <c r="V143" t="s">
        <v>254</v>
      </c>
    </row>
    <row r="144" spans="1:22" x14ac:dyDescent="0.25">
      <c r="A144" t="s">
        <v>255</v>
      </c>
      <c r="B144" s="2">
        <v>45220</v>
      </c>
      <c r="C144" t="str" cm="1">
        <f t="array" ref="C1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4">
        <f>YEAR(AllDataCorrected[[#This Row],[Date]])</f>
        <v>2023</v>
      </c>
      <c r="E144" s="1">
        <v>0.46875</v>
      </c>
      <c r="F1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4" t="str">
        <f>_xlfn.XLOOKUP(AllDataCorrected[[#This Row],[Location Name]], Locations[Location Name],Locations[Group As])</f>
        <v>Avonbank Drive</v>
      </c>
      <c r="H144" t="e" vm="2">
        <f>_xlfn.XLOOKUP(AllDataCorrected[[#This Row],[Site Name]],LocationsKey[Site Name],LocationsKey[District])</f>
        <v>#VALUE!</v>
      </c>
      <c r="I144" t="e" vm="7">
        <f>_xlfn.XLOOKUP(AllDataCorrected[[#This Row],[Site Name]],LocationsKey[Site Name],LocationsKey[Town])</f>
        <v>#VALUE!</v>
      </c>
      <c r="J144" t="str">
        <f>_xlfn.XLOOKUP(AllDataCorrected[[#This Row],[Site Name]],LocationsKey[Site Name], LocationsKey[Waterway])</f>
        <v>Avon</v>
      </c>
      <c r="K144" t="s">
        <v>103</v>
      </c>
      <c r="L144">
        <f>_xlfn.XLOOKUP(AllDataCorrected[[#This Row],[Site Name]],Tables!$B$12:$B$78, Tables!C$12:C$78)</f>
        <v>52.177054657142854</v>
      </c>
      <c r="M144">
        <f>_xlfn.XLOOKUP(AllDataCorrected[[#This Row],[Site Name]],Tables!$B$12:$B$78, Tables!D$12:D$78)</f>
        <v>-1.7358669999999996</v>
      </c>
      <c r="N144" t="s">
        <v>66</v>
      </c>
      <c r="O144">
        <v>454</v>
      </c>
      <c r="P144">
        <v>14.7</v>
      </c>
      <c r="Q144">
        <v>10</v>
      </c>
      <c r="R1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44">
        <v>1.1000000000000001</v>
      </c>
      <c r="T1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4">
        <v>1.1000000000000001</v>
      </c>
      <c r="V144" t="s">
        <v>256</v>
      </c>
    </row>
    <row r="145" spans="1:22" x14ac:dyDescent="0.25">
      <c r="A145" t="s">
        <v>257</v>
      </c>
      <c r="B145" s="2">
        <v>45220</v>
      </c>
      <c r="C145" t="str" cm="1">
        <f t="array" ref="C1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5">
        <f>YEAR(AllDataCorrected[[#This Row],[Date]])</f>
        <v>2023</v>
      </c>
      <c r="E145" s="1">
        <v>0.65625</v>
      </c>
      <c r="F1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5" t="str">
        <f>_xlfn.XLOOKUP(AllDataCorrected[[#This Row],[Location Name]], Locations[Location Name],Locations[Group As])</f>
        <v>Abbey Mill</v>
      </c>
      <c r="H145" t="e" vm="1">
        <f>_xlfn.XLOOKUP(AllDataCorrected[[#This Row],[Site Name]],LocationsKey[Site Name],LocationsKey[District])</f>
        <v>#VALUE!</v>
      </c>
      <c r="I145" t="e" vm="1">
        <f>_xlfn.XLOOKUP(AllDataCorrected[[#This Row],[Site Name]],LocationsKey[Site Name],LocationsKey[Town])</f>
        <v>#VALUE!</v>
      </c>
      <c r="J145" t="str">
        <f>_xlfn.XLOOKUP(AllDataCorrected[[#This Row],[Site Name]],LocationsKey[Site Name], LocationsKey[Waterway])</f>
        <v>Avon</v>
      </c>
      <c r="K145" t="s">
        <v>22</v>
      </c>
      <c r="L145">
        <f>_xlfn.XLOOKUP(AllDataCorrected[[#This Row],[Site Name]],Tables!$B$12:$B$78, Tables!C$12:C$78)</f>
        <v>51.991389555555564</v>
      </c>
      <c r="M145">
        <f>_xlfn.XLOOKUP(AllDataCorrected[[#This Row],[Site Name]],Tables!$B$12:$B$78, Tables!D$12:D$78)</f>
        <v>-2.1620794000000005</v>
      </c>
      <c r="N145" t="s">
        <v>23</v>
      </c>
      <c r="O145">
        <v>435</v>
      </c>
      <c r="P145">
        <v>15.3</v>
      </c>
      <c r="Q145">
        <v>4</v>
      </c>
      <c r="R145" t="str">
        <f>IF(AllDataCorrected[[#This Row],[Nitrate (PPM)]]&gt;2, "4. Very high (&gt;2ppm)", IF(AllDataCorrected[[#This Row],[Nitrate (PPM)]]&gt;1, "3. High (1-2ppm)", IF(AllDataCorrected[[#This Row],[Nitrate (PPM)]]&gt;0.5, "2. Some evidence (0.5-1ppm)", IF(AllDataCorrected[[#This Row],[Nitrate (PPM)]]&gt;=0, "1. No evidence (&lt;0.5ppm)"))))</f>
        <v>4. Very high (&gt;2ppm)</v>
      </c>
      <c r="S145">
        <v>1.1499999999999999</v>
      </c>
      <c r="T1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5">
        <v>2</v>
      </c>
      <c r="V145" t="s">
        <v>258</v>
      </c>
    </row>
    <row r="146" spans="1:22" x14ac:dyDescent="0.25">
      <c r="A146" t="s">
        <v>265</v>
      </c>
      <c r="B146" s="2">
        <v>45221</v>
      </c>
      <c r="C146" t="str" cm="1">
        <f t="array" ref="C1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6">
        <f>YEAR(AllDataCorrected[[#This Row],[Date]])</f>
        <v>2023</v>
      </c>
      <c r="E146" s="1">
        <v>0.42708333333333331</v>
      </c>
      <c r="F1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6" t="str">
        <f>_xlfn.XLOOKUP(AllDataCorrected[[#This Row],[Location Name]], Locations[Location Name],Locations[Group As])</f>
        <v>Lucy's Mill Bridge</v>
      </c>
      <c r="H146" t="e" vm="2">
        <f>_xlfn.XLOOKUP(AllDataCorrected[[#This Row],[Site Name]],LocationsKey[Site Name],LocationsKey[District])</f>
        <v>#VALUE!</v>
      </c>
      <c r="I146" t="e" vm="7">
        <f>_xlfn.XLOOKUP(AllDataCorrected[[#This Row],[Site Name]],LocationsKey[Site Name],LocationsKey[Town])</f>
        <v>#VALUE!</v>
      </c>
      <c r="J146" t="str">
        <f>_xlfn.XLOOKUP(AllDataCorrected[[#This Row],[Site Name]],LocationsKey[Site Name], LocationsKey[Waterway])</f>
        <v>Avon</v>
      </c>
      <c r="K146" t="s">
        <v>216</v>
      </c>
      <c r="L146">
        <f>_xlfn.XLOOKUP(AllDataCorrected[[#This Row],[Site Name]],Tables!$B$12:$B$78, Tables!C$12:C$78)</f>
        <v>52.183699000000011</v>
      </c>
      <c r="M146">
        <f>_xlfn.XLOOKUP(AllDataCorrected[[#This Row],[Site Name]],Tables!$B$12:$B$78, Tables!D$12:D$78)</f>
        <v>-1.7078160000000004</v>
      </c>
      <c r="N146" t="s">
        <v>29</v>
      </c>
      <c r="P146">
        <v>13</v>
      </c>
      <c r="Q146">
        <v>10</v>
      </c>
      <c r="R1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46">
        <v>0.88</v>
      </c>
      <c r="T1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6">
        <v>0.7</v>
      </c>
    </row>
    <row r="147" spans="1:22" x14ac:dyDescent="0.25">
      <c r="A147" t="s">
        <v>259</v>
      </c>
      <c r="B147" s="2">
        <v>45221</v>
      </c>
      <c r="C147" t="str" cm="1">
        <f t="array" ref="C1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7">
        <f>YEAR(AllDataCorrected[[#This Row],[Date]])</f>
        <v>2023</v>
      </c>
      <c r="E147" s="1">
        <v>0.44444444444444442</v>
      </c>
      <c r="F1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7" t="str">
        <f>_xlfn.XLOOKUP(AllDataCorrected[[#This Row],[Location Name]], Locations[Location Name],Locations[Group As])</f>
        <v>Hampton Wood</v>
      </c>
      <c r="H147" t="e" vm="2">
        <f>_xlfn.XLOOKUP(AllDataCorrected[[#This Row],[Site Name]],LocationsKey[Site Name],LocationsKey[District])</f>
        <v>#VALUE!</v>
      </c>
      <c r="I147" t="e" vm="3">
        <f>_xlfn.XLOOKUP(AllDataCorrected[[#This Row],[Site Name]],LocationsKey[Site Name],LocationsKey[Town])</f>
        <v>#VALUE!</v>
      </c>
      <c r="J147" t="str">
        <f>_xlfn.XLOOKUP(AllDataCorrected[[#This Row],[Site Name]],LocationsKey[Site Name], LocationsKey[Waterway])</f>
        <v>Avon</v>
      </c>
      <c r="K147" t="s">
        <v>34</v>
      </c>
      <c r="L147">
        <f>_xlfn.XLOOKUP(AllDataCorrected[[#This Row],[Site Name]],Tables!$B$12:$B$78, Tables!C$12:C$78)</f>
        <v>52.23814999999999</v>
      </c>
      <c r="M147">
        <f>_xlfn.XLOOKUP(AllDataCorrected[[#This Row],[Site Name]],Tables!$B$12:$B$78, Tables!D$12:D$78)</f>
        <v>-1.6245800000000008</v>
      </c>
      <c r="N147" t="s">
        <v>29</v>
      </c>
      <c r="O147">
        <v>530</v>
      </c>
      <c r="P147">
        <v>11.5</v>
      </c>
      <c r="Q147">
        <v>3</v>
      </c>
      <c r="R147" t="str">
        <f>IF(AllDataCorrected[[#This Row],[Nitrate (PPM)]]&gt;2, "4. Very high (&gt;2ppm)", IF(AllDataCorrected[[#This Row],[Nitrate (PPM)]]&gt;1, "3. High (1-2ppm)", IF(AllDataCorrected[[#This Row],[Nitrate (PPM)]]&gt;0.5, "2. Some evidence (0.5-1ppm)", IF(AllDataCorrected[[#This Row],[Nitrate (PPM)]]&gt;=0, "1. No evidence (&lt;0.5ppm)"))))</f>
        <v>4. Very high (&gt;2ppm)</v>
      </c>
      <c r="S147">
        <v>0.73</v>
      </c>
      <c r="T1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7">
        <v>0</v>
      </c>
      <c r="V147" t="s">
        <v>260</v>
      </c>
    </row>
    <row r="148" spans="1:22" x14ac:dyDescent="0.25">
      <c r="A148" t="s">
        <v>261</v>
      </c>
      <c r="B148" s="2">
        <v>45221</v>
      </c>
      <c r="C148" t="str" cm="1">
        <f t="array" ref="C1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8">
        <f>YEAR(AllDataCorrected[[#This Row],[Date]])</f>
        <v>2023</v>
      </c>
      <c r="E148" s="1">
        <v>0.52083333333333337</v>
      </c>
      <c r="F1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8" t="str">
        <f>_xlfn.XLOOKUP(AllDataCorrected[[#This Row],[Location Name]], Locations[Location Name],Locations[Group As])</f>
        <v>Hampton Lucy</v>
      </c>
      <c r="H148" t="e" vm="2">
        <f>_xlfn.XLOOKUP(AllDataCorrected[[#This Row],[Site Name]],LocationsKey[Site Name],LocationsKey[District])</f>
        <v>#VALUE!</v>
      </c>
      <c r="I148" t="e" vm="4">
        <f>_xlfn.XLOOKUP(AllDataCorrected[[#This Row],[Site Name]],LocationsKey[Site Name],LocationsKey[Town])</f>
        <v>#VALUE!</v>
      </c>
      <c r="J148" t="str">
        <f>_xlfn.XLOOKUP(AllDataCorrected[[#This Row],[Site Name]],LocationsKey[Site Name], LocationsKey[Waterway])</f>
        <v>Avon</v>
      </c>
      <c r="K148" t="s">
        <v>37</v>
      </c>
      <c r="L148">
        <f>_xlfn.XLOOKUP(AllDataCorrected[[#This Row],[Site Name]],Tables!$B$12:$B$78, Tables!C$12:C$78)</f>
        <v>52.211679999999973</v>
      </c>
      <c r="M148">
        <f>_xlfn.XLOOKUP(AllDataCorrected[[#This Row],[Site Name]],Tables!$B$12:$B$78, Tables!D$12:D$78)</f>
        <v>-1.6244400000000001</v>
      </c>
      <c r="N148" t="s">
        <v>23</v>
      </c>
      <c r="O148">
        <v>506</v>
      </c>
      <c r="P148">
        <v>12.5</v>
      </c>
      <c r="Q148">
        <v>2</v>
      </c>
      <c r="R148" t="str">
        <f>IF(AllDataCorrected[[#This Row],[Nitrate (PPM)]]&gt;2, "4. Very high (&gt;2ppm)", IF(AllDataCorrected[[#This Row],[Nitrate (PPM)]]&gt;1, "3. High (1-2ppm)", IF(AllDataCorrected[[#This Row],[Nitrate (PPM)]]&gt;0.5, "2. Some evidence (0.5-1ppm)", IF(AllDataCorrected[[#This Row],[Nitrate (PPM)]]&gt;=0, "1. No evidence (&lt;0.5ppm)"))))</f>
        <v>3. High (1-2ppm)</v>
      </c>
      <c r="S148">
        <v>0.74</v>
      </c>
      <c r="T1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8">
        <v>0</v>
      </c>
    </row>
    <row r="149" spans="1:22" x14ac:dyDescent="0.25">
      <c r="A149" t="s">
        <v>262</v>
      </c>
      <c r="B149" s="2">
        <v>45221</v>
      </c>
      <c r="C149" t="str" cm="1">
        <f t="array" ref="C1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9">
        <f>YEAR(AllDataCorrected[[#This Row],[Date]])</f>
        <v>2023</v>
      </c>
      <c r="E149" s="1">
        <v>0.71597222222222223</v>
      </c>
      <c r="F1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9" t="str">
        <f>_xlfn.XLOOKUP(AllDataCorrected[[#This Row],[Location Name]], Locations[Location Name],Locations[Group As])</f>
        <v>Clifford Chambers Mill Bridge</v>
      </c>
      <c r="H149" t="e" vm="2">
        <f>_xlfn.XLOOKUP(AllDataCorrected[[#This Row],[Site Name]],LocationsKey[Site Name],LocationsKey[District])</f>
        <v>#VALUE!</v>
      </c>
      <c r="I149" t="e" vm="12">
        <f>_xlfn.XLOOKUP(AllDataCorrected[[#This Row],[Site Name]],LocationsKey[Site Name],LocationsKey[Town])</f>
        <v>#VALUE!</v>
      </c>
      <c r="J149" t="str">
        <f>_xlfn.XLOOKUP(AllDataCorrected[[#This Row],[Site Name]],LocationsKey[Site Name], LocationsKey[Waterway])</f>
        <v>Stour</v>
      </c>
      <c r="K149" t="s">
        <v>263</v>
      </c>
      <c r="L149">
        <f>_xlfn.XLOOKUP(AllDataCorrected[[#This Row],[Site Name]],Tables!$B$12:$B$78, Tables!C$12:C$78)</f>
        <v>52.166358517241363</v>
      </c>
      <c r="M149">
        <f>_xlfn.XLOOKUP(AllDataCorrected[[#This Row],[Site Name]],Tables!$B$12:$B$78, Tables!D$12:D$78)</f>
        <v>-1.7080419310344837</v>
      </c>
      <c r="N149" t="s">
        <v>66</v>
      </c>
      <c r="O149">
        <v>521</v>
      </c>
      <c r="P149">
        <v>14.5</v>
      </c>
      <c r="Q149">
        <v>5</v>
      </c>
      <c r="R149" t="str">
        <f>IF(AllDataCorrected[[#This Row],[Nitrate (PPM)]]&gt;2, "4. Very high (&gt;2ppm)", IF(AllDataCorrected[[#This Row],[Nitrate (PPM)]]&gt;1, "3. High (1-2ppm)", IF(AllDataCorrected[[#This Row],[Nitrate (PPM)]]&gt;0.5, "2. Some evidence (0.5-1ppm)", IF(AllDataCorrected[[#This Row],[Nitrate (PPM)]]&gt;=0, "1. No evidence (&lt;0.5ppm)"))))</f>
        <v>4. Very high (&gt;2ppm)</v>
      </c>
      <c r="S149">
        <v>0.28000000000000003</v>
      </c>
      <c r="T1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9">
        <v>1.25</v>
      </c>
      <c r="V149" t="s">
        <v>264</v>
      </c>
    </row>
    <row r="150" spans="1:22" x14ac:dyDescent="0.25">
      <c r="A150" t="s">
        <v>266</v>
      </c>
      <c r="B150" s="2">
        <v>45223</v>
      </c>
      <c r="C150" t="str" cm="1">
        <f t="array" ref="C1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0">
        <f>YEAR(AllDataCorrected[[#This Row],[Date]])</f>
        <v>2023</v>
      </c>
      <c r="E150" s="1">
        <v>0.64583333333333337</v>
      </c>
      <c r="F1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0" t="str">
        <f>_xlfn.XLOOKUP(AllDataCorrected[[#This Row],[Location Name]], Locations[Location Name],Locations[Group As])</f>
        <v>Weston-on-Avon</v>
      </c>
      <c r="H150" t="e" vm="2">
        <f>_xlfn.XLOOKUP(AllDataCorrected[[#This Row],[Site Name]],LocationsKey[Site Name],LocationsKey[District])</f>
        <v>#VALUE!</v>
      </c>
      <c r="I150" t="e" vm="6">
        <f>_xlfn.XLOOKUP(AllDataCorrected[[#This Row],[Site Name]],LocationsKey[Site Name],LocationsKey[Town])</f>
        <v>#VALUE!</v>
      </c>
      <c r="J150" t="str">
        <f>_xlfn.XLOOKUP(AllDataCorrected[[#This Row],[Site Name]],LocationsKey[Site Name], LocationsKey[Waterway])</f>
        <v>Avon</v>
      </c>
      <c r="K150" t="s">
        <v>41</v>
      </c>
      <c r="L150">
        <f>_xlfn.XLOOKUP(AllDataCorrected[[#This Row],[Site Name]],Tables!$B$12:$B$78, Tables!C$12:C$78)</f>
        <v>52.167429999999996</v>
      </c>
      <c r="M150">
        <f>_xlfn.XLOOKUP(AllDataCorrected[[#This Row],[Site Name]],Tables!$B$12:$B$78, Tables!D$12:D$78)</f>
        <v>-1.7744752941176474</v>
      </c>
      <c r="N150" t="s">
        <v>29</v>
      </c>
      <c r="O150">
        <v>632</v>
      </c>
      <c r="P150">
        <v>13</v>
      </c>
      <c r="Q150">
        <v>4</v>
      </c>
      <c r="R1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50">
        <v>0.6</v>
      </c>
      <c r="T1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0">
        <v>0</v>
      </c>
    </row>
    <row r="151" spans="1:22" x14ac:dyDescent="0.25">
      <c r="A151" t="s">
        <v>267</v>
      </c>
      <c r="B151" s="2">
        <v>45223</v>
      </c>
      <c r="C151" t="str" cm="1">
        <f t="array" ref="C1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1">
        <f>YEAR(AllDataCorrected[[#This Row],[Date]])</f>
        <v>2023</v>
      </c>
      <c r="E151" s="1">
        <v>0.66666666666666663</v>
      </c>
      <c r="F1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1" t="str">
        <f>_xlfn.XLOOKUP(AllDataCorrected[[#This Row],[Location Name]], Locations[Location Name],Locations[Group As])</f>
        <v>Stour Newbold Mill</v>
      </c>
      <c r="H151" t="e" vm="2">
        <f>_xlfn.XLOOKUP(AllDataCorrected[[#This Row],[Site Name]],LocationsKey[Site Name],LocationsKey[District])</f>
        <v>#VALUE!</v>
      </c>
      <c r="I151" t="e" vm="8">
        <f>_xlfn.XLOOKUP(AllDataCorrected[[#This Row],[Site Name]],LocationsKey[Site Name],LocationsKey[Town])</f>
        <v>#VALUE!</v>
      </c>
      <c r="J151" t="str">
        <f>_xlfn.XLOOKUP(AllDataCorrected[[#This Row],[Site Name]],LocationsKey[Site Name], LocationsKey[Waterway])</f>
        <v>Stour</v>
      </c>
      <c r="K151" t="s">
        <v>203</v>
      </c>
      <c r="L151">
        <f>_xlfn.XLOOKUP(AllDataCorrected[[#This Row],[Site Name]],Tables!$B$12:$B$78, Tables!C$12:C$78)</f>
        <v>52.113052370370362</v>
      </c>
      <c r="M151">
        <f>_xlfn.XLOOKUP(AllDataCorrected[[#This Row],[Site Name]],Tables!$B$12:$B$78, Tables!D$12:D$78)</f>
        <v>-1.6333685185185185</v>
      </c>
      <c r="N151" t="s">
        <v>29</v>
      </c>
      <c r="O151">
        <v>676</v>
      </c>
      <c r="P151">
        <v>12.1</v>
      </c>
      <c r="Q151">
        <v>10</v>
      </c>
      <c r="R1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51">
        <v>0.28000000000000003</v>
      </c>
      <c r="T1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1">
        <v>2.5</v>
      </c>
      <c r="V151" t="s">
        <v>268</v>
      </c>
    </row>
    <row r="152" spans="1:22" x14ac:dyDescent="0.25">
      <c r="A152" t="s">
        <v>269</v>
      </c>
      <c r="B152" s="2">
        <v>45225</v>
      </c>
      <c r="C152" t="str" cm="1">
        <f t="array" ref="C1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2">
        <f>YEAR(AllDataCorrected[[#This Row],[Date]])</f>
        <v>2023</v>
      </c>
      <c r="E152" s="1">
        <v>0.40277777777777779</v>
      </c>
      <c r="F1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2" t="str">
        <f>_xlfn.XLOOKUP(AllDataCorrected[[#This Row],[Location Name]], Locations[Location Name],Locations[Group As])</f>
        <v>Swilgate</v>
      </c>
      <c r="H152" t="e" vm="1">
        <f>_xlfn.XLOOKUP(AllDataCorrected[[#This Row],[Site Name]],LocationsKey[Site Name],LocationsKey[District])</f>
        <v>#VALUE!</v>
      </c>
      <c r="I152" t="e" vm="1">
        <f>_xlfn.XLOOKUP(AllDataCorrected[[#This Row],[Site Name]],LocationsKey[Site Name],LocationsKey[Town])</f>
        <v>#VALUE!</v>
      </c>
      <c r="J152" t="str">
        <f>_xlfn.XLOOKUP(AllDataCorrected[[#This Row],[Site Name]],LocationsKey[Site Name], LocationsKey[Waterway])</f>
        <v>Swilgate</v>
      </c>
      <c r="K152" t="s">
        <v>84</v>
      </c>
      <c r="L152">
        <f>_xlfn.XLOOKUP(AllDataCorrected[[#This Row],[Site Name]],Tables!$B$12:$B$78, Tables!C$12:C$78)</f>
        <v>51.9885442</v>
      </c>
      <c r="M152">
        <f>_xlfn.XLOOKUP(AllDataCorrected[[#This Row],[Site Name]],Tables!$B$12:$B$78, Tables!D$12:D$78)</f>
        <v>-2.1639010000000001</v>
      </c>
      <c r="N152" t="s">
        <v>23</v>
      </c>
      <c r="O152">
        <v>640</v>
      </c>
      <c r="P152">
        <v>12.8</v>
      </c>
      <c r="Q152">
        <v>3</v>
      </c>
      <c r="R152" t="str">
        <f>IF(AllDataCorrected[[#This Row],[Nitrate (PPM)]]&gt;2, "4. Very high (&gt;2ppm)", IF(AllDataCorrected[[#This Row],[Nitrate (PPM)]]&gt;1, "3. High (1-2ppm)", IF(AllDataCorrected[[#This Row],[Nitrate (PPM)]]&gt;0.5, "2. Some evidence (0.5-1ppm)", IF(AllDataCorrected[[#This Row],[Nitrate (PPM)]]&gt;=0, "1. No evidence (&lt;0.5ppm)"))))</f>
        <v>4. Very high (&gt;2ppm)</v>
      </c>
      <c r="S152">
        <v>0.83</v>
      </c>
      <c r="T1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2">
        <v>2</v>
      </c>
      <c r="V152" t="s">
        <v>270</v>
      </c>
    </row>
    <row r="153" spans="1:22" x14ac:dyDescent="0.25">
      <c r="A153" t="s">
        <v>271</v>
      </c>
      <c r="B153" s="2">
        <v>45225</v>
      </c>
      <c r="C153" t="str" cm="1">
        <f t="array" ref="C1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3">
        <f>YEAR(AllDataCorrected[[#This Row],[Date]])</f>
        <v>2023</v>
      </c>
      <c r="E153" s="1">
        <v>0.5083333333333333</v>
      </c>
      <c r="F1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3" t="str">
        <f>_xlfn.XLOOKUP(AllDataCorrected[[#This Row],[Location Name]], Locations[Location Name],Locations[Group As])</f>
        <v>Preston-on-Stour River Bridge</v>
      </c>
      <c r="H153" t="e" vm="2">
        <f>_xlfn.XLOOKUP(AllDataCorrected[[#This Row],[Site Name]],LocationsKey[Site Name],LocationsKey[District])</f>
        <v>#VALUE!</v>
      </c>
      <c r="I153" t="e" vm="9">
        <f>_xlfn.XLOOKUP(AllDataCorrected[[#This Row],[Site Name]],LocationsKey[Site Name],LocationsKey[Town])</f>
        <v>#VALUE!</v>
      </c>
      <c r="J153" t="str">
        <f>_xlfn.XLOOKUP(AllDataCorrected[[#This Row],[Site Name]],LocationsKey[Site Name], LocationsKey[Waterway])</f>
        <v>Stour</v>
      </c>
      <c r="K153" t="s">
        <v>272</v>
      </c>
      <c r="L153">
        <f>_xlfn.XLOOKUP(AllDataCorrected[[#This Row],[Site Name]],Tables!$B$12:$B$78, Tables!C$12:C$78)</f>
        <v>52.146529500000007</v>
      </c>
      <c r="M153">
        <f>_xlfn.XLOOKUP(AllDataCorrected[[#This Row],[Site Name]],Tables!$B$12:$B$78, Tables!D$12:D$78)</f>
        <v>-1.6996899999999999</v>
      </c>
      <c r="N153" t="s">
        <v>29</v>
      </c>
      <c r="O153">
        <v>665</v>
      </c>
      <c r="P153">
        <v>12.1</v>
      </c>
      <c r="Q153">
        <v>5</v>
      </c>
      <c r="R153" t="str">
        <f>IF(AllDataCorrected[[#This Row],[Nitrate (PPM)]]&gt;2, "4. Very high (&gt;2ppm)", IF(AllDataCorrected[[#This Row],[Nitrate (PPM)]]&gt;1, "3. High (1-2ppm)", IF(AllDataCorrected[[#This Row],[Nitrate (PPM)]]&gt;0.5, "2. Some evidence (0.5-1ppm)", IF(AllDataCorrected[[#This Row],[Nitrate (PPM)]]&gt;=0, "1. No evidence (&lt;0.5ppm)"))))</f>
        <v>4. Very high (&gt;2ppm)</v>
      </c>
      <c r="S153">
        <v>0.27</v>
      </c>
      <c r="T1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3">
        <v>1.5</v>
      </c>
      <c r="V153" t="s">
        <v>273</v>
      </c>
    </row>
    <row r="154" spans="1:22" x14ac:dyDescent="0.25">
      <c r="A154" t="s">
        <v>275</v>
      </c>
      <c r="B154" s="2">
        <v>45227</v>
      </c>
      <c r="C154" t="str" cm="1">
        <f t="array" ref="C1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4">
        <f>YEAR(AllDataCorrected[[#This Row],[Date]])</f>
        <v>2023</v>
      </c>
      <c r="E154" s="1">
        <v>0.41666666666666669</v>
      </c>
      <c r="F1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4" t="str">
        <f>_xlfn.XLOOKUP(AllDataCorrected[[#This Row],[Location Name]], Locations[Location Name],Locations[Group As])</f>
        <v>Avonbank Drive</v>
      </c>
      <c r="H154" t="e" vm="2">
        <f>_xlfn.XLOOKUP(AllDataCorrected[[#This Row],[Site Name]],LocationsKey[Site Name],LocationsKey[District])</f>
        <v>#VALUE!</v>
      </c>
      <c r="I154" t="e" vm="7">
        <f>_xlfn.XLOOKUP(AllDataCorrected[[#This Row],[Site Name]],LocationsKey[Site Name],LocationsKey[Town])</f>
        <v>#VALUE!</v>
      </c>
      <c r="J154" t="str">
        <f>_xlfn.XLOOKUP(AllDataCorrected[[#This Row],[Site Name]],LocationsKey[Site Name], LocationsKey[Waterway])</f>
        <v>Avon</v>
      </c>
      <c r="K154" t="s">
        <v>103</v>
      </c>
      <c r="L154">
        <f>_xlfn.XLOOKUP(AllDataCorrected[[#This Row],[Site Name]],Tables!$B$12:$B$78, Tables!C$12:C$78)</f>
        <v>52.177054657142854</v>
      </c>
      <c r="M154">
        <f>_xlfn.XLOOKUP(AllDataCorrected[[#This Row],[Site Name]],Tables!$B$12:$B$78, Tables!D$12:D$78)</f>
        <v>-1.7358669999999996</v>
      </c>
      <c r="N154" t="s">
        <v>66</v>
      </c>
      <c r="O154">
        <v>874</v>
      </c>
      <c r="P154">
        <v>13.5</v>
      </c>
      <c r="Q154">
        <v>10</v>
      </c>
      <c r="R1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54">
        <v>0.66</v>
      </c>
      <c r="T1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4">
        <v>0.69</v>
      </c>
    </row>
    <row r="155" spans="1:22" x14ac:dyDescent="0.25">
      <c r="A155" t="s">
        <v>274</v>
      </c>
      <c r="B155" s="2">
        <v>45227</v>
      </c>
      <c r="C155" t="str" cm="1">
        <f t="array" ref="C1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5">
        <f>YEAR(AllDataCorrected[[#This Row],[Date]])</f>
        <v>2023</v>
      </c>
      <c r="E155" s="1">
        <v>0.41666666666666669</v>
      </c>
      <c r="F1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5" t="str">
        <f>_xlfn.XLOOKUP(AllDataCorrected[[#This Row],[Location Name]], Locations[Location Name],Locations[Group As])</f>
        <v>Pitch 16</v>
      </c>
      <c r="H155" t="e" vm="2">
        <f>_xlfn.XLOOKUP(AllDataCorrected[[#This Row],[Site Name]],LocationsKey[Site Name],LocationsKey[District])</f>
        <v>#VALUE!</v>
      </c>
      <c r="I155" t="e" vm="7">
        <f>_xlfn.XLOOKUP(AllDataCorrected[[#This Row],[Site Name]],LocationsKey[Site Name],LocationsKey[Town])</f>
        <v>#VALUE!</v>
      </c>
      <c r="J155" t="str">
        <f>_xlfn.XLOOKUP(AllDataCorrected[[#This Row],[Site Name]],LocationsKey[Site Name], LocationsKey[Waterway])</f>
        <v>Avon</v>
      </c>
      <c r="K155" t="s">
        <v>69</v>
      </c>
      <c r="L155">
        <f>_xlfn.XLOOKUP(AllDataCorrected[[#This Row],[Site Name]],Tables!$B$12:$B$78, Tables!C$12:C$78)</f>
        <v>52.17355294117646</v>
      </c>
      <c r="M155">
        <f>_xlfn.XLOOKUP(AllDataCorrected[[#This Row],[Site Name]],Tables!$B$12:$B$78, Tables!D$12:D$78)</f>
        <v>-1.7433199411764708</v>
      </c>
      <c r="N155" t="s">
        <v>29</v>
      </c>
      <c r="O155">
        <v>841</v>
      </c>
      <c r="P155">
        <v>13.3</v>
      </c>
      <c r="Q155">
        <v>5</v>
      </c>
      <c r="R1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55">
        <v>0.42</v>
      </c>
      <c r="T1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5">
        <v>0.69</v>
      </c>
    </row>
    <row r="156" spans="1:22" x14ac:dyDescent="0.25">
      <c r="A156" t="s">
        <v>276</v>
      </c>
      <c r="B156" s="2">
        <v>45227</v>
      </c>
      <c r="C156" t="str" cm="1">
        <f t="array" ref="C1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6">
        <f>YEAR(AllDataCorrected[[#This Row],[Date]])</f>
        <v>2023</v>
      </c>
      <c r="E156" s="1">
        <v>0.5</v>
      </c>
      <c r="F1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6" t="str">
        <f>_xlfn.XLOOKUP(AllDataCorrected[[#This Row],[Location Name]], Locations[Location Name],Locations[Group As])</f>
        <v>Carrant Bredon Rd</v>
      </c>
      <c r="H156" t="e" vm="1">
        <f>_xlfn.XLOOKUP(AllDataCorrected[[#This Row],[Site Name]],LocationsKey[Site Name],LocationsKey[District])</f>
        <v>#VALUE!</v>
      </c>
      <c r="I156" t="e" vm="1">
        <f>_xlfn.XLOOKUP(AllDataCorrected[[#This Row],[Site Name]],LocationsKey[Site Name],LocationsKey[Town])</f>
        <v>#VALUE!</v>
      </c>
      <c r="J156" t="str">
        <f>_xlfn.XLOOKUP(AllDataCorrected[[#This Row],[Site Name]],LocationsKey[Site Name], LocationsKey[Waterway])</f>
        <v>Carrant</v>
      </c>
      <c r="K156" t="s">
        <v>90</v>
      </c>
      <c r="L156">
        <f>_xlfn.XLOOKUP(AllDataCorrected[[#This Row],[Site Name]],Tables!$B$12:$B$78, Tables!C$12:C$78)</f>
        <v>51.996416567567572</v>
      </c>
      <c r="M156">
        <f>_xlfn.XLOOKUP(AllDataCorrected[[#This Row],[Site Name]],Tables!$B$12:$B$78, Tables!D$12:D$78)</f>
        <v>-2.1556626756756749</v>
      </c>
      <c r="N156" t="s">
        <v>23</v>
      </c>
      <c r="O156">
        <v>635</v>
      </c>
      <c r="P156">
        <v>12.8</v>
      </c>
      <c r="Q156">
        <v>6</v>
      </c>
      <c r="R1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56">
        <v>0.64</v>
      </c>
      <c r="T1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6">
        <v>1.3</v>
      </c>
      <c r="V156" t="s">
        <v>277</v>
      </c>
    </row>
    <row r="157" spans="1:22" x14ac:dyDescent="0.25">
      <c r="A157" t="s">
        <v>282</v>
      </c>
      <c r="B157" s="2">
        <v>45228</v>
      </c>
      <c r="C157" t="str" cm="1">
        <f t="array" ref="C1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7">
        <f>YEAR(AllDataCorrected[[#This Row],[Date]])</f>
        <v>2023</v>
      </c>
      <c r="E157" s="1">
        <v>0.42708333333333331</v>
      </c>
      <c r="F1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7" t="str">
        <f>_xlfn.XLOOKUP(AllDataCorrected[[#This Row],[Location Name]], Locations[Location Name],Locations[Group As])</f>
        <v>Lucy's Mill Bridge</v>
      </c>
      <c r="H157" t="e" vm="2">
        <f>_xlfn.XLOOKUP(AllDataCorrected[[#This Row],[Site Name]],LocationsKey[Site Name],LocationsKey[District])</f>
        <v>#VALUE!</v>
      </c>
      <c r="I157" t="e" vm="7">
        <f>_xlfn.XLOOKUP(AllDataCorrected[[#This Row],[Site Name]],LocationsKey[Site Name],LocationsKey[Town])</f>
        <v>#VALUE!</v>
      </c>
      <c r="J157" t="str">
        <f>_xlfn.XLOOKUP(AllDataCorrected[[#This Row],[Site Name]],LocationsKey[Site Name], LocationsKey[Waterway])</f>
        <v>Avon</v>
      </c>
      <c r="K157" t="s">
        <v>216</v>
      </c>
      <c r="L157">
        <f>_xlfn.XLOOKUP(AllDataCorrected[[#This Row],[Site Name]],Tables!$B$12:$B$78, Tables!C$12:C$78)</f>
        <v>52.183699000000011</v>
      </c>
      <c r="M157">
        <f>_xlfn.XLOOKUP(AllDataCorrected[[#This Row],[Site Name]],Tables!$B$12:$B$78, Tables!D$12:D$78)</f>
        <v>-1.7078160000000004</v>
      </c>
      <c r="N157" t="s">
        <v>29</v>
      </c>
      <c r="P157">
        <v>13</v>
      </c>
      <c r="Q157">
        <v>20</v>
      </c>
      <c r="R157" t="str">
        <f>IF(AllDataCorrected[[#This Row],[Nitrate (PPM)]]&gt;2, "4. Very high (&gt;2ppm)", IF(AllDataCorrected[[#This Row],[Nitrate (PPM)]]&gt;1, "3. High (1-2ppm)", IF(AllDataCorrected[[#This Row],[Nitrate (PPM)]]&gt;0.5, "2. Some evidence (0.5-1ppm)", IF(AllDataCorrected[[#This Row],[Nitrate (PPM)]]&gt;=0, "1. No evidence (&lt;0.5ppm)"))))</f>
        <v>4. Very high (&gt;2ppm)</v>
      </c>
      <c r="S157">
        <v>0.61</v>
      </c>
      <c r="T1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7">
        <v>0.7</v>
      </c>
    </row>
    <row r="158" spans="1:22" x14ac:dyDescent="0.25">
      <c r="A158" t="s">
        <v>278</v>
      </c>
      <c r="B158" s="2">
        <v>45228</v>
      </c>
      <c r="C158" t="str" cm="1">
        <f t="array" ref="C1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8">
        <f>YEAR(AllDataCorrected[[#This Row],[Date]])</f>
        <v>2023</v>
      </c>
      <c r="E158" s="1">
        <v>0.46875</v>
      </c>
      <c r="F1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8" t="str">
        <f>_xlfn.XLOOKUP(AllDataCorrected[[#This Row],[Location Name]], Locations[Location Name],Locations[Group As])</f>
        <v>Hampton Wood</v>
      </c>
      <c r="H158" t="e" vm="2">
        <f>_xlfn.XLOOKUP(AllDataCorrected[[#This Row],[Site Name]],LocationsKey[Site Name],LocationsKey[District])</f>
        <v>#VALUE!</v>
      </c>
      <c r="I158" t="e" vm="3">
        <f>_xlfn.XLOOKUP(AllDataCorrected[[#This Row],[Site Name]],LocationsKey[Site Name],LocationsKey[Town])</f>
        <v>#VALUE!</v>
      </c>
      <c r="J158" t="str">
        <f>_xlfn.XLOOKUP(AllDataCorrected[[#This Row],[Site Name]],LocationsKey[Site Name], LocationsKey[Waterway])</f>
        <v>Avon</v>
      </c>
      <c r="K158" t="s">
        <v>34</v>
      </c>
      <c r="L158">
        <f>_xlfn.XLOOKUP(AllDataCorrected[[#This Row],[Site Name]],Tables!$B$12:$B$78, Tables!C$12:C$78)</f>
        <v>52.23814999999999</v>
      </c>
      <c r="M158">
        <f>_xlfn.XLOOKUP(AllDataCorrected[[#This Row],[Site Name]],Tables!$B$12:$B$78, Tables!D$12:D$78)</f>
        <v>-1.6245800000000008</v>
      </c>
      <c r="N158" t="s">
        <v>29</v>
      </c>
      <c r="O158">
        <v>754</v>
      </c>
      <c r="P158">
        <v>13.1</v>
      </c>
      <c r="Q158">
        <v>4</v>
      </c>
      <c r="R158" t="str">
        <f>IF(AllDataCorrected[[#This Row],[Nitrate (PPM)]]&gt;2, "4. Very high (&gt;2ppm)", IF(AllDataCorrected[[#This Row],[Nitrate (PPM)]]&gt;1, "3. High (1-2ppm)", IF(AllDataCorrected[[#This Row],[Nitrate (PPM)]]&gt;0.5, "2. Some evidence (0.5-1ppm)", IF(AllDataCorrected[[#This Row],[Nitrate (PPM)]]&gt;=0, "1. No evidence (&lt;0.5ppm)"))))</f>
        <v>4. Very high (&gt;2ppm)</v>
      </c>
      <c r="S158">
        <v>0.6</v>
      </c>
      <c r="T1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8">
        <v>0</v>
      </c>
    </row>
    <row r="159" spans="1:22" x14ac:dyDescent="0.25">
      <c r="A159" t="s">
        <v>279</v>
      </c>
      <c r="B159" s="2">
        <v>45228</v>
      </c>
      <c r="C159" t="str" cm="1">
        <f t="array" ref="C1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9">
        <f>YEAR(AllDataCorrected[[#This Row],[Date]])</f>
        <v>2023</v>
      </c>
      <c r="E159" s="1">
        <v>0.52777777777777779</v>
      </c>
      <c r="F1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9" t="str">
        <f>_xlfn.XLOOKUP(AllDataCorrected[[#This Row],[Location Name]], Locations[Location Name],Locations[Group As])</f>
        <v>Hampton Lucy</v>
      </c>
      <c r="H159" t="e" vm="2">
        <f>_xlfn.XLOOKUP(AllDataCorrected[[#This Row],[Site Name]],LocationsKey[Site Name],LocationsKey[District])</f>
        <v>#VALUE!</v>
      </c>
      <c r="I159" t="e" vm="4">
        <f>_xlfn.XLOOKUP(AllDataCorrected[[#This Row],[Site Name]],LocationsKey[Site Name],LocationsKey[Town])</f>
        <v>#VALUE!</v>
      </c>
      <c r="J159" t="str">
        <f>_xlfn.XLOOKUP(AllDataCorrected[[#This Row],[Site Name]],LocationsKey[Site Name], LocationsKey[Waterway])</f>
        <v>Avon</v>
      </c>
      <c r="K159" t="s">
        <v>37</v>
      </c>
      <c r="L159">
        <f>_xlfn.XLOOKUP(AllDataCorrected[[#This Row],[Site Name]],Tables!$B$12:$B$78, Tables!C$12:C$78)</f>
        <v>52.211679999999973</v>
      </c>
      <c r="M159">
        <f>_xlfn.XLOOKUP(AllDataCorrected[[#This Row],[Site Name]],Tables!$B$12:$B$78, Tables!D$12:D$78)</f>
        <v>-1.6244400000000001</v>
      </c>
      <c r="N159" t="s">
        <v>23</v>
      </c>
      <c r="O159">
        <v>758</v>
      </c>
      <c r="P159">
        <v>12.6</v>
      </c>
      <c r="Q159">
        <v>3.5</v>
      </c>
      <c r="R159" t="str">
        <f>IF(AllDataCorrected[[#This Row],[Nitrate (PPM)]]&gt;2, "4. Very high (&gt;2ppm)", IF(AllDataCorrected[[#This Row],[Nitrate (PPM)]]&gt;1, "3. High (1-2ppm)", IF(AllDataCorrected[[#This Row],[Nitrate (PPM)]]&gt;0.5, "2. Some evidence (0.5-1ppm)", IF(AllDataCorrected[[#This Row],[Nitrate (PPM)]]&gt;=0, "1. No evidence (&lt;0.5ppm)"))))</f>
        <v>4. Very high (&gt;2ppm)</v>
      </c>
      <c r="S159">
        <v>0.71</v>
      </c>
      <c r="T1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9">
        <v>0</v>
      </c>
    </row>
    <row r="160" spans="1:22" x14ac:dyDescent="0.25">
      <c r="A160" t="s">
        <v>280</v>
      </c>
      <c r="B160" s="2">
        <v>45228</v>
      </c>
      <c r="C160" t="str" cm="1">
        <f t="array" ref="C1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0">
        <f>YEAR(AllDataCorrected[[#This Row],[Date]])</f>
        <v>2023</v>
      </c>
      <c r="E160" s="1">
        <v>0.63263888888888886</v>
      </c>
      <c r="F1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0" t="str">
        <f>_xlfn.XLOOKUP(AllDataCorrected[[#This Row],[Location Name]], Locations[Location Name],Locations[Group As])</f>
        <v>Clifford Chambers Mill Bridge</v>
      </c>
      <c r="H160" t="e" vm="2">
        <f>_xlfn.XLOOKUP(AllDataCorrected[[#This Row],[Site Name]],LocationsKey[Site Name],LocationsKey[District])</f>
        <v>#VALUE!</v>
      </c>
      <c r="I160" t="e" vm="12">
        <f>_xlfn.XLOOKUP(AllDataCorrected[[#This Row],[Site Name]],LocationsKey[Site Name],LocationsKey[Town])</f>
        <v>#VALUE!</v>
      </c>
      <c r="J160" t="str">
        <f>_xlfn.XLOOKUP(AllDataCorrected[[#This Row],[Site Name]],LocationsKey[Site Name], LocationsKey[Waterway])</f>
        <v>Stour</v>
      </c>
      <c r="K160" t="s">
        <v>263</v>
      </c>
      <c r="L160">
        <f>_xlfn.XLOOKUP(AllDataCorrected[[#This Row],[Site Name]],Tables!$B$12:$B$78, Tables!C$12:C$78)</f>
        <v>52.166358517241363</v>
      </c>
      <c r="M160">
        <f>_xlfn.XLOOKUP(AllDataCorrected[[#This Row],[Site Name]],Tables!$B$12:$B$78, Tables!D$12:D$78)</f>
        <v>-1.7080419310344837</v>
      </c>
      <c r="N160" t="s">
        <v>66</v>
      </c>
      <c r="O160">
        <v>416</v>
      </c>
      <c r="P160">
        <v>13.4</v>
      </c>
      <c r="Q160">
        <v>4</v>
      </c>
      <c r="R1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60">
        <v>0.34</v>
      </c>
      <c r="T1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0">
        <v>1.8</v>
      </c>
      <c r="V160" t="s">
        <v>281</v>
      </c>
    </row>
    <row r="161" spans="1:22" x14ac:dyDescent="0.25">
      <c r="A161" t="s">
        <v>283</v>
      </c>
      <c r="B161" s="2">
        <v>45229</v>
      </c>
      <c r="C161" t="str" cm="1">
        <f t="array" ref="C1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1">
        <f>YEAR(AllDataCorrected[[#This Row],[Date]])</f>
        <v>2023</v>
      </c>
      <c r="E161" s="1">
        <v>0.58958333333333335</v>
      </c>
      <c r="F1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1" t="str">
        <f>_xlfn.XLOOKUP(AllDataCorrected[[#This Row],[Location Name]], Locations[Location Name],Locations[Group As])</f>
        <v>Swiffen Bank</v>
      </c>
      <c r="H161" t="e" vm="2">
        <f>_xlfn.XLOOKUP(AllDataCorrected[[#This Row],[Site Name]],LocationsKey[Site Name],LocationsKey[District])</f>
        <v>#VALUE!</v>
      </c>
      <c r="I161" t="e" vm="13">
        <f>_xlfn.XLOOKUP(AllDataCorrected[[#This Row],[Site Name]],LocationsKey[Site Name],LocationsKey[Town])</f>
        <v>#VALUE!</v>
      </c>
      <c r="J161" t="str">
        <f>_xlfn.XLOOKUP(AllDataCorrected[[#This Row],[Site Name]],LocationsKey[Site Name], LocationsKey[Waterway])</f>
        <v>Avon</v>
      </c>
      <c r="K161" t="s">
        <v>284</v>
      </c>
      <c r="L161">
        <f>_xlfn.XLOOKUP(AllDataCorrected[[#This Row],[Site Name]],Tables!$B$12:$B$78, Tables!C$12:C$78)</f>
        <v>52.206446825000015</v>
      </c>
      <c r="M161">
        <f>_xlfn.XLOOKUP(AllDataCorrected[[#This Row],[Site Name]],Tables!$B$12:$B$78, Tables!D$12:D$78)</f>
        <v>-1.6541684000000003</v>
      </c>
      <c r="N161" t="s">
        <v>29</v>
      </c>
      <c r="O161">
        <v>687</v>
      </c>
      <c r="P161">
        <v>15</v>
      </c>
      <c r="Q161">
        <v>5</v>
      </c>
      <c r="R1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61">
        <v>0.54</v>
      </c>
      <c r="T1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1">
        <v>1</v>
      </c>
    </row>
    <row r="162" spans="1:22" x14ac:dyDescent="0.25">
      <c r="A162" t="s">
        <v>285</v>
      </c>
      <c r="B162" s="2">
        <v>45229</v>
      </c>
      <c r="C162" t="str" cm="1">
        <f t="array" ref="C1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2">
        <f>YEAR(AllDataCorrected[[#This Row],[Date]])</f>
        <v>2023</v>
      </c>
      <c r="E162" s="1">
        <v>0.65069444444444446</v>
      </c>
      <c r="F1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2" t="str">
        <f>_xlfn.XLOOKUP(AllDataCorrected[[#This Row],[Location Name]], Locations[Location Name],Locations[Group As])</f>
        <v>Alveston Weir</v>
      </c>
      <c r="H162" t="e" vm="2">
        <f>_xlfn.XLOOKUP(AllDataCorrected[[#This Row],[Site Name]],LocationsKey[Site Name],LocationsKey[District])</f>
        <v>#VALUE!</v>
      </c>
      <c r="I162" t="e" vm="13">
        <f>_xlfn.XLOOKUP(AllDataCorrected[[#This Row],[Site Name]],LocationsKey[Site Name],LocationsKey[Town])</f>
        <v>#VALUE!</v>
      </c>
      <c r="J162" t="str">
        <f>_xlfn.XLOOKUP(AllDataCorrected[[#This Row],[Site Name]],LocationsKey[Site Name], LocationsKey[Waterway])</f>
        <v>Avon</v>
      </c>
      <c r="K162" t="s">
        <v>286</v>
      </c>
      <c r="L162">
        <f>_xlfn.XLOOKUP(AllDataCorrected[[#This Row],[Site Name]],Tables!$B$12:$B$78, Tables!C$12:C$78)</f>
        <v>52.212366690476216</v>
      </c>
      <c r="M162">
        <f>_xlfn.XLOOKUP(AllDataCorrected[[#This Row],[Site Name]],Tables!$B$12:$B$78, Tables!D$12:D$78)</f>
        <v>-1.6602567619047619</v>
      </c>
      <c r="N162" t="s">
        <v>29</v>
      </c>
      <c r="O162">
        <v>70.2</v>
      </c>
      <c r="P162">
        <v>16.8</v>
      </c>
      <c r="Q162">
        <v>10</v>
      </c>
      <c r="R1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62">
        <v>0.49</v>
      </c>
      <c r="T1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2">
        <v>0</v>
      </c>
    </row>
    <row r="163" spans="1:22" x14ac:dyDescent="0.25">
      <c r="A163" t="s">
        <v>287</v>
      </c>
      <c r="B163" s="2">
        <v>45230</v>
      </c>
      <c r="C163" t="str" cm="1">
        <f t="array" ref="C1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3">
        <f>YEAR(AllDataCorrected[[#This Row],[Date]])</f>
        <v>2023</v>
      </c>
      <c r="E163" s="1">
        <v>0.2951388888888889</v>
      </c>
      <c r="F1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3" t="str">
        <f>_xlfn.XLOOKUP(AllDataCorrected[[#This Row],[Location Name]], Locations[Location Name],Locations[Group As])</f>
        <v>Abbey Mill</v>
      </c>
      <c r="H163" t="e" vm="1">
        <f>_xlfn.XLOOKUP(AllDataCorrected[[#This Row],[Site Name]],LocationsKey[Site Name],LocationsKey[District])</f>
        <v>#VALUE!</v>
      </c>
      <c r="I163" t="e" vm="1">
        <f>_xlfn.XLOOKUP(AllDataCorrected[[#This Row],[Site Name]],LocationsKey[Site Name],LocationsKey[Town])</f>
        <v>#VALUE!</v>
      </c>
      <c r="J163" t="str">
        <f>_xlfn.XLOOKUP(AllDataCorrected[[#This Row],[Site Name]],LocationsKey[Site Name], LocationsKey[Waterway])</f>
        <v>Avon</v>
      </c>
      <c r="K163" t="s">
        <v>22</v>
      </c>
      <c r="L163">
        <f>_xlfn.XLOOKUP(AllDataCorrected[[#This Row],[Site Name]],Tables!$B$12:$B$78, Tables!C$12:C$78)</f>
        <v>51.991389555555564</v>
      </c>
      <c r="M163">
        <f>_xlfn.XLOOKUP(AllDataCorrected[[#This Row],[Site Name]],Tables!$B$12:$B$78, Tables!D$12:D$78)</f>
        <v>-2.1620794000000005</v>
      </c>
      <c r="N163" t="s">
        <v>23</v>
      </c>
      <c r="O163">
        <v>640</v>
      </c>
      <c r="P163">
        <v>13.5</v>
      </c>
      <c r="Q163">
        <v>10</v>
      </c>
      <c r="R1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63">
        <v>0.41</v>
      </c>
      <c r="T1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3">
        <v>1</v>
      </c>
      <c r="V163" t="s">
        <v>288</v>
      </c>
    </row>
    <row r="164" spans="1:22" x14ac:dyDescent="0.25">
      <c r="A164" t="s">
        <v>289</v>
      </c>
      <c r="B164" s="2">
        <v>45231</v>
      </c>
      <c r="C164" t="str" cm="1">
        <f t="array" ref="C1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4">
        <f>YEAR(AllDataCorrected[[#This Row],[Date]])</f>
        <v>2023</v>
      </c>
      <c r="E164" s="1">
        <v>0.59027777777777779</v>
      </c>
      <c r="F1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4" t="str">
        <f>_xlfn.XLOOKUP(AllDataCorrected[[#This Row],[Location Name]], Locations[Location Name],Locations[Group As])</f>
        <v>Weston-on-Avon</v>
      </c>
      <c r="H164" t="e" vm="2">
        <f>_xlfn.XLOOKUP(AllDataCorrected[[#This Row],[Site Name]],LocationsKey[Site Name],LocationsKey[District])</f>
        <v>#VALUE!</v>
      </c>
      <c r="I164" t="e" vm="6">
        <f>_xlfn.XLOOKUP(AllDataCorrected[[#This Row],[Site Name]],LocationsKey[Site Name],LocationsKey[Town])</f>
        <v>#VALUE!</v>
      </c>
      <c r="J164" t="str">
        <f>_xlfn.XLOOKUP(AllDataCorrected[[#This Row],[Site Name]],LocationsKey[Site Name], LocationsKey[Waterway])</f>
        <v>Avon</v>
      </c>
      <c r="K164" t="s">
        <v>41</v>
      </c>
      <c r="L164">
        <f>_xlfn.XLOOKUP(AllDataCorrected[[#This Row],[Site Name]],Tables!$B$12:$B$78, Tables!C$12:C$78)</f>
        <v>52.167429999999996</v>
      </c>
      <c r="M164">
        <f>_xlfn.XLOOKUP(AllDataCorrected[[#This Row],[Site Name]],Tables!$B$12:$B$78, Tables!D$12:D$78)</f>
        <v>-1.7744752941176474</v>
      </c>
      <c r="N164" t="s">
        <v>29</v>
      </c>
      <c r="O164">
        <v>800</v>
      </c>
      <c r="P164">
        <v>11.6</v>
      </c>
      <c r="Q164">
        <v>3</v>
      </c>
      <c r="R1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64">
        <v>0.59</v>
      </c>
      <c r="T1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4">
        <v>0</v>
      </c>
    </row>
    <row r="165" spans="1:22" x14ac:dyDescent="0.25">
      <c r="A165" t="s">
        <v>290</v>
      </c>
      <c r="B165" s="2">
        <v>45232</v>
      </c>
      <c r="C165" t="str" cm="1">
        <f t="array" ref="C1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5">
        <f>YEAR(AllDataCorrected[[#This Row],[Date]])</f>
        <v>2023</v>
      </c>
      <c r="E165" s="1">
        <v>0.39583333333333331</v>
      </c>
      <c r="F1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5" t="str">
        <f>_xlfn.XLOOKUP(AllDataCorrected[[#This Row],[Location Name]], Locations[Location Name],Locations[Group As])</f>
        <v>Swilgate</v>
      </c>
      <c r="H165" t="e" vm="1">
        <f>_xlfn.XLOOKUP(AllDataCorrected[[#This Row],[Site Name]],LocationsKey[Site Name],LocationsKey[District])</f>
        <v>#VALUE!</v>
      </c>
      <c r="I165" t="e" vm="1">
        <f>_xlfn.XLOOKUP(AllDataCorrected[[#This Row],[Site Name]],LocationsKey[Site Name],LocationsKey[Town])</f>
        <v>#VALUE!</v>
      </c>
      <c r="J165" t="str">
        <f>_xlfn.XLOOKUP(AllDataCorrected[[#This Row],[Site Name]],LocationsKey[Site Name], LocationsKey[Waterway])</f>
        <v>Swilgate</v>
      </c>
      <c r="K165" t="s">
        <v>84</v>
      </c>
      <c r="L165">
        <f>_xlfn.XLOOKUP(AllDataCorrected[[#This Row],[Site Name]],Tables!$B$12:$B$78, Tables!C$12:C$78)</f>
        <v>51.9885442</v>
      </c>
      <c r="M165">
        <f>_xlfn.XLOOKUP(AllDataCorrected[[#This Row],[Site Name]],Tables!$B$12:$B$78, Tables!D$12:D$78)</f>
        <v>-2.1639010000000001</v>
      </c>
      <c r="N165" t="s">
        <v>23</v>
      </c>
      <c r="O165">
        <v>895</v>
      </c>
      <c r="P165">
        <v>12.2</v>
      </c>
      <c r="Q165">
        <v>2</v>
      </c>
      <c r="R165" t="str">
        <f>IF(AllDataCorrected[[#This Row],[Nitrate (PPM)]]&gt;2, "4. Very high (&gt;2ppm)", IF(AllDataCorrected[[#This Row],[Nitrate (PPM)]]&gt;1, "3. High (1-2ppm)", IF(AllDataCorrected[[#This Row],[Nitrate (PPM)]]&gt;0.5, "2. Some evidence (0.5-1ppm)", IF(AllDataCorrected[[#This Row],[Nitrate (PPM)]]&gt;=0, "1. No evidence (&lt;0.5ppm)"))))</f>
        <v>3. High (1-2ppm)</v>
      </c>
      <c r="S165">
        <v>0.48</v>
      </c>
      <c r="T1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5">
        <v>1.5</v>
      </c>
      <c r="V165" t="s">
        <v>291</v>
      </c>
    </row>
    <row r="166" spans="1:22" x14ac:dyDescent="0.25">
      <c r="A166" t="s">
        <v>292</v>
      </c>
      <c r="B166" s="2">
        <v>45232</v>
      </c>
      <c r="C166" t="str" cm="1">
        <f t="array" ref="C1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6">
        <f>YEAR(AllDataCorrected[[#This Row],[Date]])</f>
        <v>2023</v>
      </c>
      <c r="E166" s="1">
        <v>0.52500000000000002</v>
      </c>
      <c r="F1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6" t="str">
        <f>_xlfn.XLOOKUP(AllDataCorrected[[#This Row],[Location Name]], Locations[Location Name],Locations[Group As])</f>
        <v>Preston-on-Stour River Bridge</v>
      </c>
      <c r="H166" t="e" vm="2">
        <f>_xlfn.XLOOKUP(AllDataCorrected[[#This Row],[Site Name]],LocationsKey[Site Name],LocationsKey[District])</f>
        <v>#VALUE!</v>
      </c>
      <c r="I166" t="e" vm="9">
        <f>_xlfn.XLOOKUP(AllDataCorrected[[#This Row],[Site Name]],LocationsKey[Site Name],LocationsKey[Town])</f>
        <v>#VALUE!</v>
      </c>
      <c r="J166" t="str">
        <f>_xlfn.XLOOKUP(AllDataCorrected[[#This Row],[Site Name]],LocationsKey[Site Name], LocationsKey[Waterway])</f>
        <v>Stour</v>
      </c>
      <c r="K166" t="s">
        <v>163</v>
      </c>
      <c r="L166">
        <f>_xlfn.XLOOKUP(AllDataCorrected[[#This Row],[Site Name]],Tables!$B$12:$B$78, Tables!C$12:C$78)</f>
        <v>52.146529500000007</v>
      </c>
      <c r="M166">
        <f>_xlfn.XLOOKUP(AllDataCorrected[[#This Row],[Site Name]],Tables!$B$12:$B$78, Tables!D$12:D$78)</f>
        <v>-1.6996899999999999</v>
      </c>
      <c r="N166" t="s">
        <v>29</v>
      </c>
      <c r="O166">
        <v>610</v>
      </c>
      <c r="P166">
        <v>11.9</v>
      </c>
      <c r="Q166">
        <v>5</v>
      </c>
      <c r="R1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66">
        <v>0.21</v>
      </c>
      <c r="T1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6">
        <v>2.5</v>
      </c>
      <c r="V166" t="s">
        <v>293</v>
      </c>
    </row>
    <row r="167" spans="1:22" x14ac:dyDescent="0.25">
      <c r="A167" t="s">
        <v>294</v>
      </c>
      <c r="B167" s="2">
        <v>45235</v>
      </c>
      <c r="C167" t="str" cm="1">
        <f t="array" ref="C1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7">
        <f>YEAR(AllDataCorrected[[#This Row],[Date]])</f>
        <v>2023</v>
      </c>
      <c r="E167" s="1">
        <v>0.38194444444444442</v>
      </c>
      <c r="F1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7" t="str">
        <f>_xlfn.XLOOKUP(AllDataCorrected[[#This Row],[Location Name]], Locations[Location Name],Locations[Group As])</f>
        <v>Abbey Mill</v>
      </c>
      <c r="H167" t="e" vm="1">
        <f>_xlfn.XLOOKUP(AllDataCorrected[[#This Row],[Site Name]],LocationsKey[Site Name],LocationsKey[District])</f>
        <v>#VALUE!</v>
      </c>
      <c r="I167" t="e" vm="1">
        <f>_xlfn.XLOOKUP(AllDataCorrected[[#This Row],[Site Name]],LocationsKey[Site Name],LocationsKey[Town])</f>
        <v>#VALUE!</v>
      </c>
      <c r="J167" t="str">
        <f>_xlfn.XLOOKUP(AllDataCorrected[[#This Row],[Site Name]],LocationsKey[Site Name], LocationsKey[Waterway])</f>
        <v>Avon</v>
      </c>
      <c r="K167" t="s">
        <v>22</v>
      </c>
      <c r="L167">
        <f>_xlfn.XLOOKUP(AllDataCorrected[[#This Row],[Site Name]],Tables!$B$12:$B$78, Tables!C$12:C$78)</f>
        <v>51.991389555555564</v>
      </c>
      <c r="M167">
        <f>_xlfn.XLOOKUP(AllDataCorrected[[#This Row],[Site Name]],Tables!$B$12:$B$78, Tables!D$12:D$78)</f>
        <v>-2.1620794000000005</v>
      </c>
      <c r="N167" t="s">
        <v>23</v>
      </c>
      <c r="O167">
        <v>623</v>
      </c>
      <c r="P167">
        <v>13.4</v>
      </c>
      <c r="Q167">
        <v>9</v>
      </c>
      <c r="R1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67">
        <v>1.07</v>
      </c>
      <c r="T1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7">
        <v>2</v>
      </c>
      <c r="V167" t="s">
        <v>291</v>
      </c>
    </row>
    <row r="168" spans="1:22" x14ac:dyDescent="0.25">
      <c r="A168" t="s">
        <v>295</v>
      </c>
      <c r="B168" s="2">
        <v>45235</v>
      </c>
      <c r="C168" t="str" cm="1">
        <f t="array" ref="C1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8">
        <f>YEAR(AllDataCorrected[[#This Row],[Date]])</f>
        <v>2023</v>
      </c>
      <c r="E168" s="1">
        <v>0.46875</v>
      </c>
      <c r="F1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8" t="str">
        <f>_xlfn.XLOOKUP(AllDataCorrected[[#This Row],[Location Name]], Locations[Location Name],Locations[Group As])</f>
        <v>Pitch 16</v>
      </c>
      <c r="H168" t="e" vm="2">
        <f>_xlfn.XLOOKUP(AllDataCorrected[[#This Row],[Site Name]],LocationsKey[Site Name],LocationsKey[District])</f>
        <v>#VALUE!</v>
      </c>
      <c r="I168" t="e" vm="7">
        <f>_xlfn.XLOOKUP(AllDataCorrected[[#This Row],[Site Name]],LocationsKey[Site Name],LocationsKey[Town])</f>
        <v>#VALUE!</v>
      </c>
      <c r="J168" t="str">
        <f>_xlfn.XLOOKUP(AllDataCorrected[[#This Row],[Site Name]],LocationsKey[Site Name], LocationsKey[Waterway])</f>
        <v>Avon</v>
      </c>
      <c r="K168" t="s">
        <v>69</v>
      </c>
      <c r="L168">
        <f>_xlfn.XLOOKUP(AllDataCorrected[[#This Row],[Site Name]],Tables!$B$12:$B$78, Tables!C$12:C$78)</f>
        <v>52.17355294117646</v>
      </c>
      <c r="M168">
        <f>_xlfn.XLOOKUP(AllDataCorrected[[#This Row],[Site Name]],Tables!$B$12:$B$78, Tables!D$12:D$78)</f>
        <v>-1.7433199411764708</v>
      </c>
      <c r="N168" t="s">
        <v>29</v>
      </c>
      <c r="O168">
        <v>565</v>
      </c>
      <c r="P168">
        <v>12.5</v>
      </c>
      <c r="Q168">
        <v>5</v>
      </c>
      <c r="R1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68">
        <v>1.35</v>
      </c>
      <c r="T1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8">
        <v>1</v>
      </c>
    </row>
    <row r="169" spans="1:22" x14ac:dyDescent="0.25">
      <c r="A169" t="s">
        <v>298</v>
      </c>
      <c r="B169" s="2">
        <v>45235</v>
      </c>
      <c r="C169" t="str" cm="1">
        <f t="array" ref="C1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9">
        <f>YEAR(AllDataCorrected[[#This Row],[Date]])</f>
        <v>2023</v>
      </c>
      <c r="E169" s="1">
        <v>0.48958333333333331</v>
      </c>
      <c r="F1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9" t="str">
        <f>_xlfn.XLOOKUP(AllDataCorrected[[#This Row],[Location Name]], Locations[Location Name],Locations[Group As])</f>
        <v>Avonbank Drive</v>
      </c>
      <c r="H169" t="e" vm="2">
        <f>_xlfn.XLOOKUP(AllDataCorrected[[#This Row],[Site Name]],LocationsKey[Site Name],LocationsKey[District])</f>
        <v>#VALUE!</v>
      </c>
      <c r="I169" t="e" vm="7">
        <f>_xlfn.XLOOKUP(AllDataCorrected[[#This Row],[Site Name]],LocationsKey[Site Name],LocationsKey[Town])</f>
        <v>#VALUE!</v>
      </c>
      <c r="J169" t="str">
        <f>_xlfn.XLOOKUP(AllDataCorrected[[#This Row],[Site Name]],LocationsKey[Site Name], LocationsKey[Waterway])</f>
        <v>Avon</v>
      </c>
      <c r="K169" t="s">
        <v>103</v>
      </c>
      <c r="L169">
        <f>_xlfn.XLOOKUP(AllDataCorrected[[#This Row],[Site Name]],Tables!$B$12:$B$78, Tables!C$12:C$78)</f>
        <v>52.177054657142854</v>
      </c>
      <c r="M169">
        <f>_xlfn.XLOOKUP(AllDataCorrected[[#This Row],[Site Name]],Tables!$B$12:$B$78, Tables!D$12:D$78)</f>
        <v>-1.7358669999999996</v>
      </c>
      <c r="N169" t="s">
        <v>66</v>
      </c>
      <c r="O169">
        <v>570</v>
      </c>
      <c r="P169">
        <v>12.5</v>
      </c>
      <c r="Q169">
        <v>5</v>
      </c>
      <c r="R169" t="str">
        <f>IF(AllDataCorrected[[#This Row],[Nitrate (PPM)]]&gt;2, "4. Very high (&gt;2ppm)", IF(AllDataCorrected[[#This Row],[Nitrate (PPM)]]&gt;1, "3. High (1-2ppm)", IF(AllDataCorrected[[#This Row],[Nitrate (PPM)]]&gt;0.5, "2. Some evidence (0.5-1ppm)", IF(AllDataCorrected[[#This Row],[Nitrate (PPM)]]&gt;=0, "1. No evidence (&lt;0.5ppm)"))))</f>
        <v>4. Very high (&gt;2ppm)</v>
      </c>
      <c r="S169">
        <v>1.06</v>
      </c>
      <c r="T1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9">
        <v>1</v>
      </c>
      <c r="V169" t="s">
        <v>299</v>
      </c>
    </row>
    <row r="170" spans="1:22" x14ac:dyDescent="0.25">
      <c r="A170" t="s">
        <v>296</v>
      </c>
      <c r="B170" s="2">
        <v>45235</v>
      </c>
      <c r="C170" t="str" cm="1">
        <f t="array" ref="C1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0">
        <f>YEAR(AllDataCorrected[[#This Row],[Date]])</f>
        <v>2023</v>
      </c>
      <c r="E170" s="1">
        <v>0.48958333333333331</v>
      </c>
      <c r="F1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0" t="str">
        <f>_xlfn.XLOOKUP(AllDataCorrected[[#This Row],[Location Name]], Locations[Location Name],Locations[Group As])</f>
        <v>Hampton Wood</v>
      </c>
      <c r="H170" t="e" vm="2">
        <f>_xlfn.XLOOKUP(AllDataCorrected[[#This Row],[Site Name]],LocationsKey[Site Name],LocationsKey[District])</f>
        <v>#VALUE!</v>
      </c>
      <c r="I170" t="e" vm="3">
        <f>_xlfn.XLOOKUP(AllDataCorrected[[#This Row],[Site Name]],LocationsKey[Site Name],LocationsKey[Town])</f>
        <v>#VALUE!</v>
      </c>
      <c r="J170" t="str">
        <f>_xlfn.XLOOKUP(AllDataCorrected[[#This Row],[Site Name]],LocationsKey[Site Name], LocationsKey[Waterway])</f>
        <v>Avon</v>
      </c>
      <c r="K170" t="s">
        <v>34</v>
      </c>
      <c r="L170">
        <f>_xlfn.XLOOKUP(AllDataCorrected[[#This Row],[Site Name]],Tables!$B$12:$B$78, Tables!C$12:C$78)</f>
        <v>52.23814999999999</v>
      </c>
      <c r="M170">
        <f>_xlfn.XLOOKUP(AllDataCorrected[[#This Row],[Site Name]],Tables!$B$12:$B$78, Tables!D$12:D$78)</f>
        <v>-1.6245800000000008</v>
      </c>
      <c r="N170" t="s">
        <v>29</v>
      </c>
      <c r="O170">
        <v>568</v>
      </c>
      <c r="P170">
        <v>11.1</v>
      </c>
      <c r="Q170">
        <v>3</v>
      </c>
      <c r="R170" t="str">
        <f>IF(AllDataCorrected[[#This Row],[Nitrate (PPM)]]&gt;2, "4. Very high (&gt;2ppm)", IF(AllDataCorrected[[#This Row],[Nitrate (PPM)]]&gt;1, "3. High (1-2ppm)", IF(AllDataCorrected[[#This Row],[Nitrate (PPM)]]&gt;0.5, "2. Some evidence (0.5-1ppm)", IF(AllDataCorrected[[#This Row],[Nitrate (PPM)]]&gt;=0, "1. No evidence (&lt;0.5ppm)"))))</f>
        <v>4. Very high (&gt;2ppm)</v>
      </c>
      <c r="S170">
        <v>0.55000000000000004</v>
      </c>
      <c r="T1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0">
        <v>0</v>
      </c>
      <c r="V170" t="s">
        <v>297</v>
      </c>
    </row>
    <row r="171" spans="1:22" x14ac:dyDescent="0.25">
      <c r="A171" t="s">
        <v>300</v>
      </c>
      <c r="B171" s="2">
        <v>45235</v>
      </c>
      <c r="C171" t="str" cm="1">
        <f t="array" ref="C1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1">
        <f>YEAR(AllDataCorrected[[#This Row],[Date]])</f>
        <v>2023</v>
      </c>
      <c r="E171" s="1">
        <v>0.52083333333333337</v>
      </c>
      <c r="F1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1" t="str">
        <f>_xlfn.XLOOKUP(AllDataCorrected[[#This Row],[Location Name]], Locations[Location Name],Locations[Group As])</f>
        <v>Carrant Bredon Rd</v>
      </c>
      <c r="H171" t="e" vm="1">
        <f>_xlfn.XLOOKUP(AllDataCorrected[[#This Row],[Site Name]],LocationsKey[Site Name],LocationsKey[District])</f>
        <v>#VALUE!</v>
      </c>
      <c r="I171" t="e" vm="1">
        <f>_xlfn.XLOOKUP(AllDataCorrected[[#This Row],[Site Name]],LocationsKey[Site Name],LocationsKey[Town])</f>
        <v>#VALUE!</v>
      </c>
      <c r="J171" t="str">
        <f>_xlfn.XLOOKUP(AllDataCorrected[[#This Row],[Site Name]],LocationsKey[Site Name], LocationsKey[Waterway])</f>
        <v>Carrant</v>
      </c>
      <c r="K171" t="s">
        <v>90</v>
      </c>
      <c r="L171">
        <f>_xlfn.XLOOKUP(AllDataCorrected[[#This Row],[Site Name]],Tables!$B$12:$B$78, Tables!C$12:C$78)</f>
        <v>51.996416567567572</v>
      </c>
      <c r="M171">
        <f>_xlfn.XLOOKUP(AllDataCorrected[[#This Row],[Site Name]],Tables!$B$12:$B$78, Tables!D$12:D$78)</f>
        <v>-2.1556626756756749</v>
      </c>
      <c r="N171" t="s">
        <v>23</v>
      </c>
      <c r="O171">
        <v>738</v>
      </c>
      <c r="P171">
        <v>11.7</v>
      </c>
      <c r="Q171">
        <v>6</v>
      </c>
      <c r="R1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71">
        <v>0.32</v>
      </c>
      <c r="T1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1">
        <v>1</v>
      </c>
      <c r="V171" t="s">
        <v>301</v>
      </c>
    </row>
    <row r="172" spans="1:22" x14ac:dyDescent="0.25">
      <c r="A172" t="s">
        <v>302</v>
      </c>
      <c r="B172" s="2">
        <v>45235</v>
      </c>
      <c r="C172" t="str" cm="1">
        <f t="array" ref="C1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2">
        <f>YEAR(AllDataCorrected[[#This Row],[Date]])</f>
        <v>2023</v>
      </c>
      <c r="E172" s="1">
        <v>0.53472222222222221</v>
      </c>
      <c r="F1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2" t="str">
        <f>_xlfn.XLOOKUP(AllDataCorrected[[#This Row],[Location Name]], Locations[Location Name],Locations[Group As])</f>
        <v>Hampton Lucy</v>
      </c>
      <c r="H172" t="e" vm="2">
        <f>_xlfn.XLOOKUP(AllDataCorrected[[#This Row],[Site Name]],LocationsKey[Site Name],LocationsKey[District])</f>
        <v>#VALUE!</v>
      </c>
      <c r="I172" t="e" vm="4">
        <f>_xlfn.XLOOKUP(AllDataCorrected[[#This Row],[Site Name]],LocationsKey[Site Name],LocationsKey[Town])</f>
        <v>#VALUE!</v>
      </c>
      <c r="J172" t="str">
        <f>_xlfn.XLOOKUP(AllDataCorrected[[#This Row],[Site Name]],LocationsKey[Site Name], LocationsKey[Waterway])</f>
        <v>Avon</v>
      </c>
      <c r="K172" t="s">
        <v>37</v>
      </c>
      <c r="L172">
        <f>_xlfn.XLOOKUP(AllDataCorrected[[#This Row],[Site Name]],Tables!$B$12:$B$78, Tables!C$12:C$78)</f>
        <v>52.211679999999973</v>
      </c>
      <c r="M172">
        <f>_xlfn.XLOOKUP(AllDataCorrected[[#This Row],[Site Name]],Tables!$B$12:$B$78, Tables!D$12:D$78)</f>
        <v>-1.6244400000000001</v>
      </c>
      <c r="N172" t="s">
        <v>23</v>
      </c>
      <c r="O172">
        <v>570</v>
      </c>
      <c r="P172">
        <v>11.4</v>
      </c>
      <c r="Q172">
        <v>2</v>
      </c>
      <c r="R172" t="str">
        <f>IF(AllDataCorrected[[#This Row],[Nitrate (PPM)]]&gt;2, "4. Very high (&gt;2ppm)", IF(AllDataCorrected[[#This Row],[Nitrate (PPM)]]&gt;1, "3. High (1-2ppm)", IF(AllDataCorrected[[#This Row],[Nitrate (PPM)]]&gt;0.5, "2. Some evidence (0.5-1ppm)", IF(AllDataCorrected[[#This Row],[Nitrate (PPM)]]&gt;=0, "1. No evidence (&lt;0.5ppm)"))))</f>
        <v>3. High (1-2ppm)</v>
      </c>
      <c r="S172">
        <v>0.54</v>
      </c>
      <c r="T1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2">
        <v>0</v>
      </c>
    </row>
    <row r="173" spans="1:22" x14ac:dyDescent="0.25">
      <c r="A173" t="s">
        <v>303</v>
      </c>
      <c r="B173" s="2">
        <v>45235</v>
      </c>
      <c r="C173" t="str" cm="1">
        <f t="array" ref="C1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3">
        <f>YEAR(AllDataCorrected[[#This Row],[Date]])</f>
        <v>2023</v>
      </c>
      <c r="E173" s="1">
        <v>0.63263888888888886</v>
      </c>
      <c r="F1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3" t="str">
        <f>_xlfn.XLOOKUP(AllDataCorrected[[#This Row],[Location Name]], Locations[Location Name],Locations[Group As])</f>
        <v>Clifford Chambers Mill Bridge</v>
      </c>
      <c r="H173" t="e" vm="2">
        <f>_xlfn.XLOOKUP(AllDataCorrected[[#This Row],[Site Name]],LocationsKey[Site Name],LocationsKey[District])</f>
        <v>#VALUE!</v>
      </c>
      <c r="I173" t="e" vm="12">
        <f>_xlfn.XLOOKUP(AllDataCorrected[[#This Row],[Site Name]],LocationsKey[Site Name],LocationsKey[Town])</f>
        <v>#VALUE!</v>
      </c>
      <c r="J173" t="str">
        <f>_xlfn.XLOOKUP(AllDataCorrected[[#This Row],[Site Name]],LocationsKey[Site Name], LocationsKey[Waterway])</f>
        <v>Stour</v>
      </c>
      <c r="K173" t="s">
        <v>263</v>
      </c>
      <c r="L173">
        <f>_xlfn.XLOOKUP(AllDataCorrected[[#This Row],[Site Name]],Tables!$B$12:$B$78, Tables!C$12:C$78)</f>
        <v>52.166358517241363</v>
      </c>
      <c r="M173">
        <f>_xlfn.XLOOKUP(AllDataCorrected[[#This Row],[Site Name]],Tables!$B$12:$B$78, Tables!D$12:D$78)</f>
        <v>-1.7080419310344837</v>
      </c>
      <c r="N173" t="s">
        <v>66</v>
      </c>
      <c r="O173">
        <v>486</v>
      </c>
      <c r="P173">
        <v>12</v>
      </c>
      <c r="Q173">
        <v>7</v>
      </c>
      <c r="R1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73">
        <v>0.42</v>
      </c>
      <c r="T1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3">
        <v>1.7</v>
      </c>
      <c r="V173" t="s">
        <v>304</v>
      </c>
    </row>
    <row r="174" spans="1:22" x14ac:dyDescent="0.25">
      <c r="A174" t="s">
        <v>305</v>
      </c>
      <c r="B174" s="2">
        <v>45235</v>
      </c>
      <c r="C174" t="str" cm="1">
        <f t="array" ref="C1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4">
        <f>YEAR(AllDataCorrected[[#This Row],[Date]])</f>
        <v>2023</v>
      </c>
      <c r="E174" s="1">
        <v>0.66666666666666663</v>
      </c>
      <c r="F1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4" t="str">
        <f>_xlfn.XLOOKUP(AllDataCorrected[[#This Row],[Location Name]], Locations[Location Name],Locations[Group As])</f>
        <v>Welford Boat Station</v>
      </c>
      <c r="H174" t="e" vm="2">
        <f>_xlfn.XLOOKUP(AllDataCorrected[[#This Row],[Site Name]],LocationsKey[Site Name],LocationsKey[District])</f>
        <v>#VALUE!</v>
      </c>
      <c r="I174" t="e" vm="5">
        <f>_xlfn.XLOOKUP(AllDataCorrected[[#This Row],[Site Name]],LocationsKey[Site Name],LocationsKey[Town])</f>
        <v>#VALUE!</v>
      </c>
      <c r="J174" t="str">
        <f>_xlfn.XLOOKUP(AllDataCorrected[[#This Row],[Site Name]],LocationsKey[Site Name], LocationsKey[Waterway])</f>
        <v>Avon</v>
      </c>
      <c r="K174" t="s">
        <v>39</v>
      </c>
      <c r="L174">
        <f>_xlfn.XLOOKUP(AllDataCorrected[[#This Row],[Site Name]],Tables!$B$12:$B$78, Tables!C$12:C$78)</f>
        <v>52.175174684210546</v>
      </c>
      <c r="M174">
        <f>_xlfn.XLOOKUP(AllDataCorrected[[#This Row],[Site Name]],Tables!$B$12:$B$78, Tables!D$12:D$78)</f>
        <v>-1.7918551052631577</v>
      </c>
      <c r="N174" t="s">
        <v>29</v>
      </c>
      <c r="O174">
        <v>570</v>
      </c>
      <c r="P174">
        <v>10.8</v>
      </c>
      <c r="Q174">
        <v>2</v>
      </c>
      <c r="R174" t="str">
        <f>IF(AllDataCorrected[[#This Row],[Nitrate (PPM)]]&gt;2, "4. Very high (&gt;2ppm)", IF(AllDataCorrected[[#This Row],[Nitrate (PPM)]]&gt;1, "3. High (1-2ppm)", IF(AllDataCorrected[[#This Row],[Nitrate (PPM)]]&gt;0.5, "2. Some evidence (0.5-1ppm)", IF(AllDataCorrected[[#This Row],[Nitrate (PPM)]]&gt;=0, "1. No evidence (&lt;0.5ppm)"))))</f>
        <v>3. High (1-2ppm)</v>
      </c>
      <c r="S174">
        <v>0.37</v>
      </c>
      <c r="T1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4">
        <v>0</v>
      </c>
      <c r="V174" t="s">
        <v>306</v>
      </c>
    </row>
    <row r="175" spans="1:22" x14ac:dyDescent="0.25">
      <c r="A175" t="s">
        <v>312</v>
      </c>
      <c r="B175" s="2">
        <v>45237</v>
      </c>
      <c r="C175" t="str" cm="1">
        <f t="array" ref="C1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5">
        <f>YEAR(AllDataCorrected[[#This Row],[Date]])</f>
        <v>2023</v>
      </c>
      <c r="E175" s="1">
        <v>0.47916666666666669</v>
      </c>
      <c r="F1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5" t="str">
        <f>_xlfn.XLOOKUP(AllDataCorrected[[#This Row],[Location Name]], Locations[Location Name],Locations[Group As])</f>
        <v>Lucy's Mill Bridge</v>
      </c>
      <c r="H175" t="e" vm="2">
        <f>_xlfn.XLOOKUP(AllDataCorrected[[#This Row],[Site Name]],LocationsKey[Site Name],LocationsKey[District])</f>
        <v>#VALUE!</v>
      </c>
      <c r="I175" t="e" vm="7">
        <f>_xlfn.XLOOKUP(AllDataCorrected[[#This Row],[Site Name]],LocationsKey[Site Name],LocationsKey[Town])</f>
        <v>#VALUE!</v>
      </c>
      <c r="J175" t="str">
        <f>_xlfn.XLOOKUP(AllDataCorrected[[#This Row],[Site Name]],LocationsKey[Site Name], LocationsKey[Waterway])</f>
        <v>Avon</v>
      </c>
      <c r="K175" t="s">
        <v>216</v>
      </c>
      <c r="L175">
        <f>_xlfn.XLOOKUP(AllDataCorrected[[#This Row],[Site Name]],Tables!$B$12:$B$78, Tables!C$12:C$78)</f>
        <v>52.183699000000011</v>
      </c>
      <c r="M175">
        <f>_xlfn.XLOOKUP(AllDataCorrected[[#This Row],[Site Name]],Tables!$B$12:$B$78, Tables!D$12:D$78)</f>
        <v>-1.7078160000000004</v>
      </c>
      <c r="N175" t="s">
        <v>29</v>
      </c>
      <c r="P175">
        <v>11</v>
      </c>
      <c r="Q175">
        <v>10</v>
      </c>
      <c r="R1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75">
        <v>0.56000000000000005</v>
      </c>
      <c r="T1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5">
        <v>0.7</v>
      </c>
    </row>
    <row r="176" spans="1:22" x14ac:dyDescent="0.25">
      <c r="A176" t="s">
        <v>307</v>
      </c>
      <c r="B176" s="2">
        <v>45237</v>
      </c>
      <c r="C176" t="str" cm="1">
        <f t="array" ref="C1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6">
        <f>YEAR(AllDataCorrected[[#This Row],[Date]])</f>
        <v>2023</v>
      </c>
      <c r="E176" s="1">
        <v>0.625</v>
      </c>
      <c r="F1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6" t="str">
        <f>_xlfn.XLOOKUP(AllDataCorrected[[#This Row],[Location Name]], Locations[Location Name],Locations[Group As])</f>
        <v>Alveston Weir</v>
      </c>
      <c r="H176" t="e" vm="2">
        <f>_xlfn.XLOOKUP(AllDataCorrected[[#This Row],[Site Name]],LocationsKey[Site Name],LocationsKey[District])</f>
        <v>#VALUE!</v>
      </c>
      <c r="I176" t="e" vm="13">
        <f>_xlfn.XLOOKUP(AllDataCorrected[[#This Row],[Site Name]],LocationsKey[Site Name],LocationsKey[Town])</f>
        <v>#VALUE!</v>
      </c>
      <c r="J176" t="str">
        <f>_xlfn.XLOOKUP(AllDataCorrected[[#This Row],[Site Name]],LocationsKey[Site Name], LocationsKey[Waterway])</f>
        <v>Avon</v>
      </c>
      <c r="K176" t="s">
        <v>286</v>
      </c>
      <c r="L176">
        <f>_xlfn.XLOOKUP(AllDataCorrected[[#This Row],[Site Name]],Tables!$B$12:$B$78, Tables!C$12:C$78)</f>
        <v>52.212366690476216</v>
      </c>
      <c r="M176">
        <f>_xlfn.XLOOKUP(AllDataCorrected[[#This Row],[Site Name]],Tables!$B$12:$B$78, Tables!D$12:D$78)</f>
        <v>-1.6602567619047619</v>
      </c>
      <c r="N176" t="s">
        <v>29</v>
      </c>
      <c r="O176">
        <v>652</v>
      </c>
      <c r="P176">
        <v>15.5</v>
      </c>
      <c r="Q176">
        <v>5</v>
      </c>
      <c r="R176" t="str">
        <f>IF(AllDataCorrected[[#This Row],[Nitrate (PPM)]]&gt;2, "4. Very high (&gt;2ppm)", IF(AllDataCorrected[[#This Row],[Nitrate (PPM)]]&gt;1, "3. High (1-2ppm)", IF(AllDataCorrected[[#This Row],[Nitrate (PPM)]]&gt;0.5, "2. Some evidence (0.5-1ppm)", IF(AllDataCorrected[[#This Row],[Nitrate (PPM)]]&gt;=0, "1. No evidence (&lt;0.5ppm)"))))</f>
        <v>4. Very high (&gt;2ppm)</v>
      </c>
      <c r="S176">
        <v>0.41</v>
      </c>
      <c r="T1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6">
        <v>0</v>
      </c>
      <c r="V176" t="s">
        <v>308</v>
      </c>
    </row>
    <row r="177" spans="1:22" x14ac:dyDescent="0.25">
      <c r="A177" t="s">
        <v>309</v>
      </c>
      <c r="B177" s="2">
        <v>45237</v>
      </c>
      <c r="C177" t="str" cm="1">
        <f t="array" ref="C1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7">
        <f>YEAR(AllDataCorrected[[#This Row],[Date]])</f>
        <v>2023</v>
      </c>
      <c r="E177" s="1">
        <v>0.62847222222222221</v>
      </c>
      <c r="F1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7" t="str">
        <f>_xlfn.XLOOKUP(AllDataCorrected[[#This Row],[Location Name]], Locations[Location Name],Locations[Group As])</f>
        <v>Swiffen Bank</v>
      </c>
      <c r="H177" t="e" vm="2">
        <f>_xlfn.XLOOKUP(AllDataCorrected[[#This Row],[Site Name]],LocationsKey[Site Name],LocationsKey[District])</f>
        <v>#VALUE!</v>
      </c>
      <c r="I177" t="e" vm="13">
        <f>_xlfn.XLOOKUP(AllDataCorrected[[#This Row],[Site Name]],LocationsKey[Site Name],LocationsKey[Town])</f>
        <v>#VALUE!</v>
      </c>
      <c r="J177" t="str">
        <f>_xlfn.XLOOKUP(AllDataCorrected[[#This Row],[Site Name]],LocationsKey[Site Name], LocationsKey[Waterway])</f>
        <v>Avon</v>
      </c>
      <c r="K177" t="s">
        <v>284</v>
      </c>
      <c r="L177">
        <f>_xlfn.XLOOKUP(AllDataCorrected[[#This Row],[Site Name]],Tables!$B$12:$B$78, Tables!C$12:C$78)</f>
        <v>52.206446825000015</v>
      </c>
      <c r="M177">
        <f>_xlfn.XLOOKUP(AllDataCorrected[[#This Row],[Site Name]],Tables!$B$12:$B$78, Tables!D$12:D$78)</f>
        <v>-1.6541684000000003</v>
      </c>
      <c r="N177" t="s">
        <v>29</v>
      </c>
      <c r="O177">
        <v>561</v>
      </c>
      <c r="P177">
        <v>15</v>
      </c>
      <c r="Q177">
        <v>5</v>
      </c>
      <c r="R177" t="str">
        <f>IF(AllDataCorrected[[#This Row],[Nitrate (PPM)]]&gt;2, "4. Very high (&gt;2ppm)", IF(AllDataCorrected[[#This Row],[Nitrate (PPM)]]&gt;1, "3. High (1-2ppm)", IF(AllDataCorrected[[#This Row],[Nitrate (PPM)]]&gt;0.5, "2. Some evidence (0.5-1ppm)", IF(AllDataCorrected[[#This Row],[Nitrate (PPM)]]&gt;=0, "1. No evidence (&lt;0.5ppm)"))))</f>
        <v>4. Very high (&gt;2ppm)</v>
      </c>
      <c r="S177">
        <v>0.42</v>
      </c>
      <c r="T1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7">
        <v>1</v>
      </c>
      <c r="V177" t="s">
        <v>310</v>
      </c>
    </row>
    <row r="178" spans="1:22" x14ac:dyDescent="0.25">
      <c r="A178" t="s">
        <v>311</v>
      </c>
      <c r="B178" s="2">
        <v>45237</v>
      </c>
      <c r="C178" t="str" cm="1">
        <f t="array" ref="C1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8">
        <f>YEAR(AllDataCorrected[[#This Row],[Date]])</f>
        <v>2023</v>
      </c>
      <c r="E178" s="1">
        <v>0.65625</v>
      </c>
      <c r="F1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8" t="str">
        <f>_xlfn.XLOOKUP(AllDataCorrected[[#This Row],[Location Name]], Locations[Location Name],Locations[Group As])</f>
        <v>Weston-on-Avon</v>
      </c>
      <c r="H178" t="e" vm="2">
        <f>_xlfn.XLOOKUP(AllDataCorrected[[#This Row],[Site Name]],LocationsKey[Site Name],LocationsKey[District])</f>
        <v>#VALUE!</v>
      </c>
      <c r="I178" t="e" vm="6">
        <f>_xlfn.XLOOKUP(AllDataCorrected[[#This Row],[Site Name]],LocationsKey[Site Name],LocationsKey[Town])</f>
        <v>#VALUE!</v>
      </c>
      <c r="J178" t="str">
        <f>_xlfn.XLOOKUP(AllDataCorrected[[#This Row],[Site Name]],LocationsKey[Site Name], LocationsKey[Waterway])</f>
        <v>Avon</v>
      </c>
      <c r="K178" t="s">
        <v>41</v>
      </c>
      <c r="L178">
        <f>_xlfn.XLOOKUP(AllDataCorrected[[#This Row],[Site Name]],Tables!$B$12:$B$78, Tables!C$12:C$78)</f>
        <v>52.167429999999996</v>
      </c>
      <c r="M178">
        <f>_xlfn.XLOOKUP(AllDataCorrected[[#This Row],[Site Name]],Tables!$B$12:$B$78, Tables!D$12:D$78)</f>
        <v>-1.7744752941176474</v>
      </c>
      <c r="N178" t="s">
        <v>29</v>
      </c>
      <c r="O178">
        <v>664</v>
      </c>
      <c r="P178">
        <v>10.7</v>
      </c>
      <c r="Q178">
        <v>3</v>
      </c>
      <c r="R178" t="str">
        <f>IF(AllDataCorrected[[#This Row],[Nitrate (PPM)]]&gt;2, "4. Very high (&gt;2ppm)", IF(AllDataCorrected[[#This Row],[Nitrate (PPM)]]&gt;1, "3. High (1-2ppm)", IF(AllDataCorrected[[#This Row],[Nitrate (PPM)]]&gt;0.5, "2. Some evidence (0.5-1ppm)", IF(AllDataCorrected[[#This Row],[Nitrate (PPM)]]&gt;=0, "1. No evidence (&lt;0.5ppm)"))))</f>
        <v>4. Very high (&gt;2ppm)</v>
      </c>
      <c r="S178">
        <v>0.43</v>
      </c>
      <c r="T1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8">
        <v>0</v>
      </c>
    </row>
    <row r="179" spans="1:22" x14ac:dyDescent="0.25">
      <c r="A179" t="s">
        <v>313</v>
      </c>
      <c r="B179" s="2">
        <v>45238</v>
      </c>
      <c r="C179" t="str" cm="1">
        <f t="array" ref="C1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9">
        <f>YEAR(AllDataCorrected[[#This Row],[Date]])</f>
        <v>2023</v>
      </c>
      <c r="E179" s="1">
        <v>0.66666666666666663</v>
      </c>
      <c r="F1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9" t="str">
        <f>_xlfn.XLOOKUP(AllDataCorrected[[#This Row],[Location Name]], Locations[Location Name],Locations[Group As])</f>
        <v>Stour Newbold Mill</v>
      </c>
      <c r="H179" t="e" vm="2">
        <f>_xlfn.XLOOKUP(AllDataCorrected[[#This Row],[Site Name]],LocationsKey[Site Name],LocationsKey[District])</f>
        <v>#VALUE!</v>
      </c>
      <c r="I179" t="e" vm="8">
        <f>_xlfn.XLOOKUP(AllDataCorrected[[#This Row],[Site Name]],LocationsKey[Site Name],LocationsKey[Town])</f>
        <v>#VALUE!</v>
      </c>
      <c r="J179" t="str">
        <f>_xlfn.XLOOKUP(AllDataCorrected[[#This Row],[Site Name]],LocationsKey[Site Name], LocationsKey[Waterway])</f>
        <v>Stour</v>
      </c>
      <c r="K179" t="s">
        <v>140</v>
      </c>
      <c r="L179">
        <f>_xlfn.XLOOKUP(AllDataCorrected[[#This Row],[Site Name]],Tables!$B$12:$B$78, Tables!C$12:C$78)</f>
        <v>52.113052370370362</v>
      </c>
      <c r="M179">
        <f>_xlfn.XLOOKUP(AllDataCorrected[[#This Row],[Site Name]],Tables!$B$12:$B$78, Tables!D$12:D$78)</f>
        <v>-1.6333685185185185</v>
      </c>
      <c r="N179" t="s">
        <v>29</v>
      </c>
      <c r="O179">
        <v>854</v>
      </c>
      <c r="P179">
        <v>10.3</v>
      </c>
      <c r="Q179">
        <v>5</v>
      </c>
      <c r="R179" t="str">
        <f>IF(AllDataCorrected[[#This Row],[Nitrate (PPM)]]&gt;2, "4. Very high (&gt;2ppm)", IF(AllDataCorrected[[#This Row],[Nitrate (PPM)]]&gt;1, "3. High (1-2ppm)", IF(AllDataCorrected[[#This Row],[Nitrate (PPM)]]&gt;0.5, "2. Some evidence (0.5-1ppm)", IF(AllDataCorrected[[#This Row],[Nitrate (PPM)]]&gt;=0, "1. No evidence (&lt;0.5ppm)"))))</f>
        <v>4. Very high (&gt;2ppm)</v>
      </c>
      <c r="S179">
        <v>0.26</v>
      </c>
      <c r="T1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9">
        <v>2.5</v>
      </c>
      <c r="V179" t="s">
        <v>314</v>
      </c>
    </row>
    <row r="180" spans="1:22" x14ac:dyDescent="0.25">
      <c r="A180" t="s">
        <v>315</v>
      </c>
      <c r="B180" s="2">
        <v>45239</v>
      </c>
      <c r="C180" t="str" cm="1">
        <f t="array" ref="C1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0">
        <f>YEAR(AllDataCorrected[[#This Row],[Date]])</f>
        <v>2023</v>
      </c>
      <c r="E180" s="1">
        <v>0.39583333333333331</v>
      </c>
      <c r="F1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0" t="str">
        <f>_xlfn.XLOOKUP(AllDataCorrected[[#This Row],[Location Name]], Locations[Location Name],Locations[Group As])</f>
        <v>Swilgate</v>
      </c>
      <c r="H180" t="e" vm="1">
        <f>_xlfn.XLOOKUP(AllDataCorrected[[#This Row],[Site Name]],LocationsKey[Site Name],LocationsKey[District])</f>
        <v>#VALUE!</v>
      </c>
      <c r="I180" t="e" vm="1">
        <f>_xlfn.XLOOKUP(AllDataCorrected[[#This Row],[Site Name]],LocationsKey[Site Name],LocationsKey[Town])</f>
        <v>#VALUE!</v>
      </c>
      <c r="J180" t="str">
        <f>_xlfn.XLOOKUP(AllDataCorrected[[#This Row],[Site Name]],LocationsKey[Site Name], LocationsKey[Waterway])</f>
        <v>Swilgate</v>
      </c>
      <c r="K180" t="s">
        <v>84</v>
      </c>
      <c r="L180">
        <f>_xlfn.XLOOKUP(AllDataCorrected[[#This Row],[Site Name]],Tables!$B$12:$B$78, Tables!C$12:C$78)</f>
        <v>51.9885442</v>
      </c>
      <c r="M180">
        <f>_xlfn.XLOOKUP(AllDataCorrected[[#This Row],[Site Name]],Tables!$B$12:$B$78, Tables!D$12:D$78)</f>
        <v>-2.1639010000000001</v>
      </c>
      <c r="N180" t="s">
        <v>23</v>
      </c>
      <c r="O180">
        <v>836</v>
      </c>
      <c r="P180">
        <v>12</v>
      </c>
      <c r="Q180">
        <v>4</v>
      </c>
      <c r="R1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80">
        <v>0.42</v>
      </c>
      <c r="T1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0">
        <v>1</v>
      </c>
    </row>
    <row r="181" spans="1:22" x14ac:dyDescent="0.25">
      <c r="A181" t="s">
        <v>316</v>
      </c>
      <c r="B181" s="2">
        <v>45239</v>
      </c>
      <c r="C181" t="str" cm="1">
        <f t="array" ref="C1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1">
        <f>YEAR(AllDataCorrected[[#This Row],[Date]])</f>
        <v>2023</v>
      </c>
      <c r="E181" s="1">
        <v>0.57291666666666663</v>
      </c>
      <c r="F1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1" t="str">
        <f>_xlfn.XLOOKUP(AllDataCorrected[[#This Row],[Location Name]], Locations[Location Name],Locations[Group As])</f>
        <v>Preston-on-Stour River Bridge</v>
      </c>
      <c r="H181" t="e" vm="2">
        <f>_xlfn.XLOOKUP(AllDataCorrected[[#This Row],[Site Name]],LocationsKey[Site Name],LocationsKey[District])</f>
        <v>#VALUE!</v>
      </c>
      <c r="I181" t="e" vm="9">
        <f>_xlfn.XLOOKUP(AllDataCorrected[[#This Row],[Site Name]],LocationsKey[Site Name],LocationsKey[Town])</f>
        <v>#VALUE!</v>
      </c>
      <c r="J181" t="str">
        <f>_xlfn.XLOOKUP(AllDataCorrected[[#This Row],[Site Name]],LocationsKey[Site Name], LocationsKey[Waterway])</f>
        <v>Stour</v>
      </c>
      <c r="K181" t="s">
        <v>163</v>
      </c>
      <c r="L181">
        <f>_xlfn.XLOOKUP(AllDataCorrected[[#This Row],[Site Name]],Tables!$B$12:$B$78, Tables!C$12:C$78)</f>
        <v>52.146529500000007</v>
      </c>
      <c r="M181">
        <f>_xlfn.XLOOKUP(AllDataCorrected[[#This Row],[Site Name]],Tables!$B$12:$B$78, Tables!D$12:D$78)</f>
        <v>-1.6996899999999999</v>
      </c>
      <c r="N181" t="s">
        <v>29</v>
      </c>
      <c r="O181">
        <v>612</v>
      </c>
      <c r="P181">
        <v>10.3</v>
      </c>
      <c r="Q181">
        <v>5</v>
      </c>
      <c r="R1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81">
        <v>0.25</v>
      </c>
      <c r="T1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1">
        <v>1.75</v>
      </c>
      <c r="V181" t="s">
        <v>317</v>
      </c>
    </row>
    <row r="182" spans="1:22" x14ac:dyDescent="0.25">
      <c r="A182" t="s">
        <v>318</v>
      </c>
      <c r="B182" s="2">
        <v>45239</v>
      </c>
      <c r="C182" t="str" cm="1">
        <f t="array" ref="C1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2">
        <f>YEAR(AllDataCorrected[[#This Row],[Date]])</f>
        <v>2023</v>
      </c>
      <c r="E182" s="1">
        <v>0.66805555555555551</v>
      </c>
      <c r="F1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2" t="str">
        <f>_xlfn.XLOOKUP(AllDataCorrected[[#This Row],[Location Name]], Locations[Location Name],Locations[Group As])</f>
        <v>Stour Shipston Mill Bridge</v>
      </c>
      <c r="H182" t="e" vm="2">
        <f>_xlfn.XLOOKUP(AllDataCorrected[[#This Row],[Site Name]],LocationsKey[Site Name],LocationsKey[District])</f>
        <v>#VALUE!</v>
      </c>
      <c r="I182" t="e" vm="10">
        <f>_xlfn.XLOOKUP(AllDataCorrected[[#This Row],[Site Name]],LocationsKey[Site Name],LocationsKey[Town])</f>
        <v>#VALUE!</v>
      </c>
      <c r="J182" t="str">
        <f>_xlfn.XLOOKUP(AllDataCorrected[[#This Row],[Site Name]],LocationsKey[Site Name], LocationsKey[Waterway])</f>
        <v>Stour</v>
      </c>
      <c r="K182" t="s">
        <v>319</v>
      </c>
      <c r="L182">
        <f>_xlfn.XLOOKUP(AllDataCorrected[[#This Row],[Site Name]],Tables!$B$12:$B$78, Tables!C$12:C$78)</f>
        <v>52.06201572727273</v>
      </c>
      <c r="M182">
        <f>_xlfn.XLOOKUP(AllDataCorrected[[#This Row],[Site Name]],Tables!$B$12:$B$78, Tables!D$12:D$78)</f>
        <v>-1.6218167272727273</v>
      </c>
      <c r="N182" t="s">
        <v>23</v>
      </c>
      <c r="O182">
        <v>585</v>
      </c>
      <c r="P182">
        <v>10.199999999999999</v>
      </c>
      <c r="Q182">
        <v>10</v>
      </c>
      <c r="R1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82">
        <v>0.3</v>
      </c>
      <c r="T1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2">
        <v>1.5</v>
      </c>
      <c r="V182" t="s">
        <v>179</v>
      </c>
    </row>
    <row r="183" spans="1:22" x14ac:dyDescent="0.25">
      <c r="A183" t="s">
        <v>320</v>
      </c>
      <c r="B183" s="2">
        <v>45239</v>
      </c>
      <c r="C183" t="str" cm="1">
        <f t="array" ref="C1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3">
        <f>YEAR(AllDataCorrected[[#This Row],[Date]])</f>
        <v>2023</v>
      </c>
      <c r="E183" s="1">
        <v>0.71250000000000002</v>
      </c>
      <c r="F1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3" t="str">
        <f>_xlfn.XLOOKUP(AllDataCorrected[[#This Row],[Location Name]], Locations[Location Name],Locations[Group As])</f>
        <v>Stour Cherington Sewage Works</v>
      </c>
      <c r="H183" t="e" vm="2">
        <f>_xlfn.XLOOKUP(AllDataCorrected[[#This Row],[Site Name]],LocationsKey[Site Name],LocationsKey[District])</f>
        <v>#VALUE!</v>
      </c>
      <c r="I183" t="str">
        <f>_xlfn.XLOOKUP(AllDataCorrected[[#This Row],[Site Name]],LocationsKey[Site Name],LocationsKey[Town])</f>
        <v>Cherington</v>
      </c>
      <c r="J183" t="str">
        <f>_xlfn.XLOOKUP(AllDataCorrected[[#This Row],[Site Name]],LocationsKey[Site Name], LocationsKey[Waterway])</f>
        <v>Stour</v>
      </c>
      <c r="K183" t="s">
        <v>321</v>
      </c>
      <c r="L183">
        <f>_xlfn.XLOOKUP(AllDataCorrected[[#This Row],[Site Name]],Tables!$B$12:$B$78, Tables!C$12:C$78)</f>
        <v>52.029943500000002</v>
      </c>
      <c r="M183">
        <f>_xlfn.XLOOKUP(AllDataCorrected[[#This Row],[Site Name]],Tables!$B$12:$B$78, Tables!D$12:D$78)</f>
        <v>-1.5807020000000001</v>
      </c>
      <c r="N183" t="s">
        <v>23</v>
      </c>
      <c r="O183">
        <v>295</v>
      </c>
      <c r="P183">
        <v>10.7</v>
      </c>
      <c r="S183">
        <v>0.18</v>
      </c>
      <c r="T1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3">
        <v>0.5</v>
      </c>
      <c r="V183" t="s">
        <v>179</v>
      </c>
    </row>
    <row r="184" spans="1:22" x14ac:dyDescent="0.25">
      <c r="A184" t="s">
        <v>322</v>
      </c>
      <c r="B184" s="2">
        <v>45241</v>
      </c>
      <c r="C184" t="str" cm="1">
        <f t="array" ref="C1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4">
        <f>YEAR(AllDataCorrected[[#This Row],[Date]])</f>
        <v>2023</v>
      </c>
      <c r="E184" s="1">
        <v>0.4201388888888889</v>
      </c>
      <c r="F1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4" t="str">
        <f>_xlfn.XLOOKUP(AllDataCorrected[[#This Row],[Location Name]], Locations[Location Name],Locations[Group As])</f>
        <v>Abbey Mill</v>
      </c>
      <c r="H184" t="e" vm="1">
        <f>_xlfn.XLOOKUP(AllDataCorrected[[#This Row],[Site Name]],LocationsKey[Site Name],LocationsKey[District])</f>
        <v>#VALUE!</v>
      </c>
      <c r="I184" t="e" vm="1">
        <f>_xlfn.XLOOKUP(AllDataCorrected[[#This Row],[Site Name]],LocationsKey[Site Name],LocationsKey[Town])</f>
        <v>#VALUE!</v>
      </c>
      <c r="J184" t="str">
        <f>_xlfn.XLOOKUP(AllDataCorrected[[#This Row],[Site Name]],LocationsKey[Site Name], LocationsKey[Waterway])</f>
        <v>Avon</v>
      </c>
      <c r="K184" t="s">
        <v>22</v>
      </c>
      <c r="L184">
        <f>_xlfn.XLOOKUP(AllDataCorrected[[#This Row],[Site Name]],Tables!$B$12:$B$78, Tables!C$12:C$78)</f>
        <v>51.991389555555564</v>
      </c>
      <c r="M184">
        <f>_xlfn.XLOOKUP(AllDataCorrected[[#This Row],[Site Name]],Tables!$B$12:$B$78, Tables!D$12:D$78)</f>
        <v>-2.1620794000000005</v>
      </c>
      <c r="N184" t="s">
        <v>23</v>
      </c>
      <c r="O184">
        <v>718</v>
      </c>
      <c r="P184">
        <v>10.6</v>
      </c>
      <c r="Q184">
        <v>7</v>
      </c>
      <c r="R1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84">
        <v>0.59</v>
      </c>
      <c r="T1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4">
        <v>1</v>
      </c>
    </row>
    <row r="185" spans="1:22" x14ac:dyDescent="0.25">
      <c r="A185" t="s">
        <v>323</v>
      </c>
      <c r="B185" s="2">
        <v>45242</v>
      </c>
      <c r="C185" t="str" cm="1">
        <f t="array" ref="C1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5">
        <f>YEAR(AllDataCorrected[[#This Row],[Date]])</f>
        <v>2023</v>
      </c>
      <c r="E185" s="1">
        <v>0.4465277777777778</v>
      </c>
      <c r="F1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5" t="str">
        <f>_xlfn.XLOOKUP(AllDataCorrected[[#This Row],[Location Name]], Locations[Location Name],Locations[Group As])</f>
        <v>Pitch 16</v>
      </c>
      <c r="H185" t="e" vm="2">
        <f>_xlfn.XLOOKUP(AllDataCorrected[[#This Row],[Site Name]],LocationsKey[Site Name],LocationsKey[District])</f>
        <v>#VALUE!</v>
      </c>
      <c r="I185" t="e" vm="7">
        <f>_xlfn.XLOOKUP(AllDataCorrected[[#This Row],[Site Name]],LocationsKey[Site Name],LocationsKey[Town])</f>
        <v>#VALUE!</v>
      </c>
      <c r="J185" t="str">
        <f>_xlfn.XLOOKUP(AllDataCorrected[[#This Row],[Site Name]],LocationsKey[Site Name], LocationsKey[Waterway])</f>
        <v>Avon</v>
      </c>
      <c r="K185" t="s">
        <v>69</v>
      </c>
      <c r="L185">
        <f>_xlfn.XLOOKUP(AllDataCorrected[[#This Row],[Site Name]],Tables!$B$12:$B$78, Tables!C$12:C$78)</f>
        <v>52.17355294117646</v>
      </c>
      <c r="M185">
        <f>_xlfn.XLOOKUP(AllDataCorrected[[#This Row],[Site Name]],Tables!$B$12:$B$78, Tables!D$12:D$78)</f>
        <v>-1.7433199411764708</v>
      </c>
      <c r="N185" t="s">
        <v>29</v>
      </c>
      <c r="O185">
        <v>816</v>
      </c>
      <c r="P185">
        <v>10.199999999999999</v>
      </c>
      <c r="Q185">
        <v>5</v>
      </c>
      <c r="R1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85">
        <v>0.51</v>
      </c>
      <c r="T1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5">
        <v>0.75</v>
      </c>
    </row>
    <row r="186" spans="1:22" x14ac:dyDescent="0.25">
      <c r="A186" t="s">
        <v>330</v>
      </c>
      <c r="B186" s="2">
        <v>45242</v>
      </c>
      <c r="C186" t="str" cm="1">
        <f t="array" ref="C1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6">
        <f>YEAR(AllDataCorrected[[#This Row],[Date]])</f>
        <v>2023</v>
      </c>
      <c r="E186" s="1">
        <v>0.44791666666666669</v>
      </c>
      <c r="F1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6" t="str">
        <f>_xlfn.XLOOKUP(AllDataCorrected[[#This Row],[Location Name]], Locations[Location Name],Locations[Group As])</f>
        <v>Lucy's Mill Bridge</v>
      </c>
      <c r="H186" t="e" vm="2">
        <f>_xlfn.XLOOKUP(AllDataCorrected[[#This Row],[Site Name]],LocationsKey[Site Name],LocationsKey[District])</f>
        <v>#VALUE!</v>
      </c>
      <c r="I186" t="e" vm="7">
        <f>_xlfn.XLOOKUP(AllDataCorrected[[#This Row],[Site Name]],LocationsKey[Site Name],LocationsKey[Town])</f>
        <v>#VALUE!</v>
      </c>
      <c r="J186" t="str">
        <f>_xlfn.XLOOKUP(AllDataCorrected[[#This Row],[Site Name]],LocationsKey[Site Name], LocationsKey[Waterway])</f>
        <v>Avon</v>
      </c>
      <c r="K186" t="s">
        <v>216</v>
      </c>
      <c r="L186">
        <f>_xlfn.XLOOKUP(AllDataCorrected[[#This Row],[Site Name]],Tables!$B$12:$B$78, Tables!C$12:C$78)</f>
        <v>52.183699000000011</v>
      </c>
      <c r="M186">
        <f>_xlfn.XLOOKUP(AllDataCorrected[[#This Row],[Site Name]],Tables!$B$12:$B$78, Tables!D$12:D$78)</f>
        <v>-1.7078160000000004</v>
      </c>
      <c r="N186" t="s">
        <v>29</v>
      </c>
      <c r="P186">
        <v>9</v>
      </c>
      <c r="Q186">
        <v>10</v>
      </c>
      <c r="R1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86">
        <v>0.49</v>
      </c>
      <c r="T1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6">
        <v>0.7</v>
      </c>
    </row>
    <row r="187" spans="1:22" x14ac:dyDescent="0.25">
      <c r="A187" t="s">
        <v>324</v>
      </c>
      <c r="B187" s="2">
        <v>45242</v>
      </c>
      <c r="C187" t="str" cm="1">
        <f t="array" ref="C1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7">
        <f>YEAR(AllDataCorrected[[#This Row],[Date]])</f>
        <v>2023</v>
      </c>
      <c r="E187" s="1">
        <v>0.46527777777777779</v>
      </c>
      <c r="F1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7" t="str">
        <f>_xlfn.XLOOKUP(AllDataCorrected[[#This Row],[Location Name]], Locations[Location Name],Locations[Group As])</f>
        <v>Avonbank Drive</v>
      </c>
      <c r="H187" t="e" vm="2">
        <f>_xlfn.XLOOKUP(AllDataCorrected[[#This Row],[Site Name]],LocationsKey[Site Name],LocationsKey[District])</f>
        <v>#VALUE!</v>
      </c>
      <c r="I187" t="e" vm="7">
        <f>_xlfn.XLOOKUP(AllDataCorrected[[#This Row],[Site Name]],LocationsKey[Site Name],LocationsKey[Town])</f>
        <v>#VALUE!</v>
      </c>
      <c r="J187" t="str">
        <f>_xlfn.XLOOKUP(AllDataCorrected[[#This Row],[Site Name]],LocationsKey[Site Name], LocationsKey[Waterway])</f>
        <v>Avon</v>
      </c>
      <c r="K187" t="s">
        <v>325</v>
      </c>
      <c r="L187">
        <f>_xlfn.XLOOKUP(AllDataCorrected[[#This Row],[Site Name]],Tables!$B$12:$B$78, Tables!C$12:C$78)</f>
        <v>52.177054657142854</v>
      </c>
      <c r="M187">
        <f>_xlfn.XLOOKUP(AllDataCorrected[[#This Row],[Site Name]],Tables!$B$12:$B$78, Tables!D$12:D$78)</f>
        <v>-1.7358669999999996</v>
      </c>
      <c r="N187" t="s">
        <v>66</v>
      </c>
      <c r="O187">
        <v>855</v>
      </c>
      <c r="P187">
        <v>9.3000000000000007</v>
      </c>
      <c r="Q187">
        <v>5</v>
      </c>
      <c r="R187" t="str">
        <f>IF(AllDataCorrected[[#This Row],[Nitrate (PPM)]]&gt;2, "4. Very high (&gt;2ppm)", IF(AllDataCorrected[[#This Row],[Nitrate (PPM)]]&gt;1, "3. High (1-2ppm)", IF(AllDataCorrected[[#This Row],[Nitrate (PPM)]]&gt;0.5, "2. Some evidence (0.5-1ppm)", IF(AllDataCorrected[[#This Row],[Nitrate (PPM)]]&gt;=0, "1. No evidence (&lt;0.5ppm)"))))</f>
        <v>4. Very high (&gt;2ppm)</v>
      </c>
      <c r="S187">
        <v>0.61</v>
      </c>
      <c r="T1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7">
        <v>0.75</v>
      </c>
    </row>
    <row r="188" spans="1:22" x14ac:dyDescent="0.25">
      <c r="A188" t="s">
        <v>326</v>
      </c>
      <c r="B188" s="2">
        <v>45242</v>
      </c>
      <c r="C188" t="str" cm="1">
        <f t="array" ref="C1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8">
        <f>YEAR(AllDataCorrected[[#This Row],[Date]])</f>
        <v>2023</v>
      </c>
      <c r="E188" s="1">
        <v>0.47916666666666669</v>
      </c>
      <c r="F1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8" t="str">
        <f>_xlfn.XLOOKUP(AllDataCorrected[[#This Row],[Location Name]], Locations[Location Name],Locations[Group As])</f>
        <v>Hampton Wood</v>
      </c>
      <c r="H188" t="e" vm="2">
        <f>_xlfn.XLOOKUP(AllDataCorrected[[#This Row],[Site Name]],LocationsKey[Site Name],LocationsKey[District])</f>
        <v>#VALUE!</v>
      </c>
      <c r="I188" t="e" vm="3">
        <f>_xlfn.XLOOKUP(AllDataCorrected[[#This Row],[Site Name]],LocationsKey[Site Name],LocationsKey[Town])</f>
        <v>#VALUE!</v>
      </c>
      <c r="J188" t="str">
        <f>_xlfn.XLOOKUP(AllDataCorrected[[#This Row],[Site Name]],LocationsKey[Site Name], LocationsKey[Waterway])</f>
        <v>Avon</v>
      </c>
      <c r="K188" t="s">
        <v>34</v>
      </c>
      <c r="L188">
        <f>_xlfn.XLOOKUP(AllDataCorrected[[#This Row],[Site Name]],Tables!$B$12:$B$78, Tables!C$12:C$78)</f>
        <v>52.23814999999999</v>
      </c>
      <c r="M188">
        <f>_xlfn.XLOOKUP(AllDataCorrected[[#This Row],[Site Name]],Tables!$B$12:$B$78, Tables!D$12:D$78)</f>
        <v>-1.6245800000000008</v>
      </c>
      <c r="N188" t="s">
        <v>29</v>
      </c>
      <c r="O188">
        <v>822</v>
      </c>
      <c r="P188">
        <v>9</v>
      </c>
      <c r="Q188">
        <v>7</v>
      </c>
      <c r="R188" t="str">
        <f>IF(AllDataCorrected[[#This Row],[Nitrate (PPM)]]&gt;2, "4. Very high (&gt;2ppm)", IF(AllDataCorrected[[#This Row],[Nitrate (PPM)]]&gt;1, "3. High (1-2ppm)", IF(AllDataCorrected[[#This Row],[Nitrate (PPM)]]&gt;0.5, "2. Some evidence (0.5-1ppm)", IF(AllDataCorrected[[#This Row],[Nitrate (PPM)]]&gt;=0, "1. No evidence (&lt;0.5ppm)"))))</f>
        <v>4. Very high (&gt;2ppm)</v>
      </c>
      <c r="S188">
        <v>0.53</v>
      </c>
      <c r="T1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8">
        <v>0</v>
      </c>
    </row>
    <row r="189" spans="1:22" x14ac:dyDescent="0.25">
      <c r="A189" t="s">
        <v>327</v>
      </c>
      <c r="B189" s="2">
        <v>45242</v>
      </c>
      <c r="C189" t="str" cm="1">
        <f t="array" ref="C1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9">
        <f>YEAR(AllDataCorrected[[#This Row],[Date]])</f>
        <v>2023</v>
      </c>
      <c r="E189" s="1">
        <v>0.51041666666666663</v>
      </c>
      <c r="F1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9" t="str">
        <f>_xlfn.XLOOKUP(AllDataCorrected[[#This Row],[Location Name]], Locations[Location Name],Locations[Group As])</f>
        <v>Hampton Lucy</v>
      </c>
      <c r="H189" t="e" vm="2">
        <f>_xlfn.XLOOKUP(AllDataCorrected[[#This Row],[Site Name]],LocationsKey[Site Name],LocationsKey[District])</f>
        <v>#VALUE!</v>
      </c>
      <c r="I189" t="e" vm="4">
        <f>_xlfn.XLOOKUP(AllDataCorrected[[#This Row],[Site Name]],LocationsKey[Site Name],LocationsKey[Town])</f>
        <v>#VALUE!</v>
      </c>
      <c r="J189" t="str">
        <f>_xlfn.XLOOKUP(AllDataCorrected[[#This Row],[Site Name]],LocationsKey[Site Name], LocationsKey[Waterway])</f>
        <v>Avon</v>
      </c>
      <c r="K189" t="s">
        <v>37</v>
      </c>
      <c r="L189">
        <f>_xlfn.XLOOKUP(AllDataCorrected[[#This Row],[Site Name]],Tables!$B$12:$B$78, Tables!C$12:C$78)</f>
        <v>52.211679999999973</v>
      </c>
      <c r="M189">
        <f>_xlfn.XLOOKUP(AllDataCorrected[[#This Row],[Site Name]],Tables!$B$12:$B$78, Tables!D$12:D$78)</f>
        <v>-1.6244400000000001</v>
      </c>
      <c r="N189" t="s">
        <v>23</v>
      </c>
      <c r="O189">
        <v>812</v>
      </c>
      <c r="P189">
        <v>9.4</v>
      </c>
      <c r="Q189">
        <v>5</v>
      </c>
      <c r="R1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89">
        <v>0.9</v>
      </c>
      <c r="T1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9">
        <v>0</v>
      </c>
    </row>
    <row r="190" spans="1:22" x14ac:dyDescent="0.25">
      <c r="A190" t="s">
        <v>328</v>
      </c>
      <c r="B190" s="2">
        <v>45242</v>
      </c>
      <c r="C190" t="str" cm="1">
        <f t="array" ref="C1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0">
        <f>YEAR(AllDataCorrected[[#This Row],[Date]])</f>
        <v>2023</v>
      </c>
      <c r="E190" s="1">
        <v>0.66666666666666663</v>
      </c>
      <c r="F1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0" t="str">
        <f>_xlfn.XLOOKUP(AllDataCorrected[[#This Row],[Location Name]], Locations[Location Name],Locations[Group As])</f>
        <v>Welford Boat Station</v>
      </c>
      <c r="H190" t="e" vm="2">
        <f>_xlfn.XLOOKUP(AllDataCorrected[[#This Row],[Site Name]],LocationsKey[Site Name],LocationsKey[District])</f>
        <v>#VALUE!</v>
      </c>
      <c r="I190" t="e" vm="5">
        <f>_xlfn.XLOOKUP(AllDataCorrected[[#This Row],[Site Name]],LocationsKey[Site Name],LocationsKey[Town])</f>
        <v>#VALUE!</v>
      </c>
      <c r="J190" t="str">
        <f>_xlfn.XLOOKUP(AllDataCorrected[[#This Row],[Site Name]],LocationsKey[Site Name], LocationsKey[Waterway])</f>
        <v>Avon</v>
      </c>
      <c r="K190" t="s">
        <v>39</v>
      </c>
      <c r="L190">
        <f>_xlfn.XLOOKUP(AllDataCorrected[[#This Row],[Site Name]],Tables!$B$12:$B$78, Tables!C$12:C$78)</f>
        <v>52.175174684210546</v>
      </c>
      <c r="M190">
        <f>_xlfn.XLOOKUP(AllDataCorrected[[#This Row],[Site Name]],Tables!$B$12:$B$78, Tables!D$12:D$78)</f>
        <v>-1.7918551052631577</v>
      </c>
      <c r="N190" t="s">
        <v>29</v>
      </c>
      <c r="O190">
        <v>808</v>
      </c>
      <c r="P190">
        <v>9.1999999999999993</v>
      </c>
      <c r="Q190">
        <v>8</v>
      </c>
      <c r="R1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90">
        <v>0.48</v>
      </c>
      <c r="T1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0">
        <v>0</v>
      </c>
      <c r="V190" t="s">
        <v>329</v>
      </c>
    </row>
    <row r="191" spans="1:22" x14ac:dyDescent="0.25">
      <c r="A191" t="s">
        <v>331</v>
      </c>
      <c r="B191" s="2">
        <v>45243</v>
      </c>
      <c r="C191" t="str" cm="1">
        <f t="array" ref="C1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1">
        <f>YEAR(AllDataCorrected[[#This Row],[Date]])</f>
        <v>2023</v>
      </c>
      <c r="E191" s="1">
        <v>0.53125</v>
      </c>
      <c r="F1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1" t="str">
        <f>_xlfn.XLOOKUP(AllDataCorrected[[#This Row],[Location Name]], Locations[Location Name],Locations[Group As])</f>
        <v>Clifford Chambers Mill Bridge</v>
      </c>
      <c r="H191" t="e" vm="2">
        <f>_xlfn.XLOOKUP(AllDataCorrected[[#This Row],[Site Name]],LocationsKey[Site Name],LocationsKey[District])</f>
        <v>#VALUE!</v>
      </c>
      <c r="I191" t="e" vm="12">
        <f>_xlfn.XLOOKUP(AllDataCorrected[[#This Row],[Site Name]],LocationsKey[Site Name],LocationsKey[Town])</f>
        <v>#VALUE!</v>
      </c>
      <c r="J191" t="str">
        <f>_xlfn.XLOOKUP(AllDataCorrected[[#This Row],[Site Name]],LocationsKey[Site Name], LocationsKey[Waterway])</f>
        <v>Stour</v>
      </c>
      <c r="K191" t="s">
        <v>332</v>
      </c>
      <c r="L191">
        <f>_xlfn.XLOOKUP(AllDataCorrected[[#This Row],[Site Name]],Tables!$B$12:$B$78, Tables!C$12:C$78)</f>
        <v>52.166358517241363</v>
      </c>
      <c r="M191">
        <f>_xlfn.XLOOKUP(AllDataCorrected[[#This Row],[Site Name]],Tables!$B$12:$B$78, Tables!D$12:D$78)</f>
        <v>-1.7080419310344837</v>
      </c>
      <c r="N191" t="s">
        <v>66</v>
      </c>
      <c r="O191">
        <v>164</v>
      </c>
      <c r="P191">
        <v>14.2</v>
      </c>
      <c r="Q191">
        <v>8</v>
      </c>
      <c r="R191" t="str">
        <f>IF(AllDataCorrected[[#This Row],[Nitrate (PPM)]]&gt;2, "4. Very high (&gt;2ppm)", IF(AllDataCorrected[[#This Row],[Nitrate (PPM)]]&gt;1, "3. High (1-2ppm)", IF(AllDataCorrected[[#This Row],[Nitrate (PPM)]]&gt;0.5, "2. Some evidence (0.5-1ppm)", IF(AllDataCorrected[[#This Row],[Nitrate (PPM)]]&gt;=0, "1. No evidence (&lt;0.5ppm)"))))</f>
        <v>4. Very high (&gt;2ppm)</v>
      </c>
      <c r="S191">
        <v>0.36</v>
      </c>
      <c r="T1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1">
        <v>1.6</v>
      </c>
      <c r="V191" t="s">
        <v>333</v>
      </c>
    </row>
    <row r="192" spans="1:22" x14ac:dyDescent="0.25">
      <c r="A192" t="s">
        <v>334</v>
      </c>
      <c r="B192" s="2">
        <v>45244</v>
      </c>
      <c r="C192" t="str" cm="1">
        <f t="array" ref="C1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2">
        <f>YEAR(AllDataCorrected[[#This Row],[Date]])</f>
        <v>2023</v>
      </c>
      <c r="E192" s="1">
        <v>0.40625</v>
      </c>
      <c r="F1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2" t="str">
        <f>_xlfn.XLOOKUP(AllDataCorrected[[#This Row],[Location Name]], Locations[Location Name],Locations[Group As])</f>
        <v>Stour Stretton-on-Fosse Sewage Works</v>
      </c>
      <c r="H192" t="e" vm="2">
        <f>_xlfn.XLOOKUP(AllDataCorrected[[#This Row],[Site Name]],LocationsKey[Site Name],LocationsKey[District])</f>
        <v>#VALUE!</v>
      </c>
      <c r="I192" t="e" vm="14">
        <f>_xlfn.XLOOKUP(AllDataCorrected[[#This Row],[Site Name]],LocationsKey[Site Name],LocationsKey[Town])</f>
        <v>#VALUE!</v>
      </c>
      <c r="J192" t="str">
        <f>_xlfn.XLOOKUP(AllDataCorrected[[#This Row],[Site Name]],LocationsKey[Site Name], LocationsKey[Waterway])</f>
        <v>Stour</v>
      </c>
      <c r="K192" t="s">
        <v>335</v>
      </c>
      <c r="L192">
        <f>_xlfn.XLOOKUP(AllDataCorrected[[#This Row],[Site Name]],Tables!$B$12:$B$78, Tables!C$12:C$78)</f>
        <v>52.045653647058806</v>
      </c>
      <c r="M192">
        <f>_xlfn.XLOOKUP(AllDataCorrected[[#This Row],[Site Name]],Tables!$B$12:$B$78, Tables!D$12:D$78)</f>
        <v>-1.6719221470588235</v>
      </c>
      <c r="N192" t="s">
        <v>29</v>
      </c>
      <c r="O192">
        <v>453</v>
      </c>
      <c r="P192">
        <v>10.3</v>
      </c>
      <c r="Q192">
        <v>5</v>
      </c>
      <c r="R192" t="str">
        <f>IF(AllDataCorrected[[#This Row],[Nitrate (PPM)]]&gt;2, "4. Very high (&gt;2ppm)", IF(AllDataCorrected[[#This Row],[Nitrate (PPM)]]&gt;1, "3. High (1-2ppm)", IF(AllDataCorrected[[#This Row],[Nitrate (PPM)]]&gt;0.5, "2. Some evidence (0.5-1ppm)", IF(AllDataCorrected[[#This Row],[Nitrate (PPM)]]&gt;=0, "1. No evidence (&lt;0.5ppm)"))))</f>
        <v>4. Very high (&gt;2ppm)</v>
      </c>
      <c r="S192">
        <v>0.64</v>
      </c>
      <c r="T1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2">
        <v>0.3</v>
      </c>
    </row>
    <row r="193" spans="1:22" x14ac:dyDescent="0.25">
      <c r="A193" t="s">
        <v>336</v>
      </c>
      <c r="B193" s="2">
        <v>45244</v>
      </c>
      <c r="C193" t="str" cm="1">
        <f t="array" ref="C1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3">
        <f>YEAR(AllDataCorrected[[#This Row],[Date]])</f>
        <v>2023</v>
      </c>
      <c r="E193" s="1">
        <v>0.42708333333333331</v>
      </c>
      <c r="F1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3" t="str">
        <f>_xlfn.XLOOKUP(AllDataCorrected[[#This Row],[Location Name]], Locations[Location Name],Locations[Group As])</f>
        <v>Stour Stretton-on-Fosse Village</v>
      </c>
      <c r="H193" t="e" vm="2">
        <f>_xlfn.XLOOKUP(AllDataCorrected[[#This Row],[Site Name]],LocationsKey[Site Name],LocationsKey[District])</f>
        <v>#VALUE!</v>
      </c>
      <c r="I193" t="e" vm="14">
        <f>_xlfn.XLOOKUP(AllDataCorrected[[#This Row],[Site Name]],LocationsKey[Site Name],LocationsKey[Town])</f>
        <v>#VALUE!</v>
      </c>
      <c r="J193" t="str">
        <f>_xlfn.XLOOKUP(AllDataCorrected[[#This Row],[Site Name]],LocationsKey[Site Name], LocationsKey[Waterway])</f>
        <v>Stour</v>
      </c>
      <c r="K193" t="s">
        <v>337</v>
      </c>
      <c r="L193">
        <f>_xlfn.XLOOKUP(AllDataCorrected[[#This Row],[Site Name]],Tables!$B$12:$B$78, Tables!C$12:C$78)</f>
        <v>52.046517558823524</v>
      </c>
      <c r="M193">
        <f>_xlfn.XLOOKUP(AllDataCorrected[[#This Row],[Site Name]],Tables!$B$12:$B$78, Tables!D$12:D$78)</f>
        <v>-1.6734143529411767</v>
      </c>
      <c r="N193" t="s">
        <v>66</v>
      </c>
      <c r="O193">
        <v>394</v>
      </c>
      <c r="P193">
        <v>10.5</v>
      </c>
      <c r="Q193">
        <v>5</v>
      </c>
      <c r="R193" t="str">
        <f>IF(AllDataCorrected[[#This Row],[Nitrate (PPM)]]&gt;2, "4. Very high (&gt;2ppm)", IF(AllDataCorrected[[#This Row],[Nitrate (PPM)]]&gt;1, "3. High (1-2ppm)", IF(AllDataCorrected[[#This Row],[Nitrate (PPM)]]&gt;0.5, "2. Some evidence (0.5-1ppm)", IF(AllDataCorrected[[#This Row],[Nitrate (PPM)]]&gt;=0, "1. No evidence (&lt;0.5ppm)"))))</f>
        <v>4. Very high (&gt;2ppm)</v>
      </c>
      <c r="S193">
        <v>0.2</v>
      </c>
      <c r="T1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3">
        <v>0.2</v>
      </c>
    </row>
    <row r="194" spans="1:22" x14ac:dyDescent="0.25">
      <c r="A194" t="s">
        <v>338</v>
      </c>
      <c r="B194" s="2">
        <v>45244</v>
      </c>
      <c r="C194" t="str" cm="1">
        <f t="array" ref="C1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4">
        <f>YEAR(AllDataCorrected[[#This Row],[Date]])</f>
        <v>2023</v>
      </c>
      <c r="E194" s="1">
        <v>0.47916666666666669</v>
      </c>
      <c r="F1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4" t="str">
        <f>_xlfn.XLOOKUP(AllDataCorrected[[#This Row],[Location Name]], Locations[Location Name],Locations[Group As])</f>
        <v>Weston-on-Avon</v>
      </c>
      <c r="H194" t="e" vm="2">
        <f>_xlfn.XLOOKUP(AllDataCorrected[[#This Row],[Site Name]],LocationsKey[Site Name],LocationsKey[District])</f>
        <v>#VALUE!</v>
      </c>
      <c r="I194" t="e" vm="6">
        <f>_xlfn.XLOOKUP(AllDataCorrected[[#This Row],[Site Name]],LocationsKey[Site Name],LocationsKey[Town])</f>
        <v>#VALUE!</v>
      </c>
      <c r="J194" t="str">
        <f>_xlfn.XLOOKUP(AllDataCorrected[[#This Row],[Site Name]],LocationsKey[Site Name], LocationsKey[Waterway])</f>
        <v>Avon</v>
      </c>
      <c r="K194" t="s">
        <v>41</v>
      </c>
      <c r="L194">
        <f>_xlfn.XLOOKUP(AllDataCorrected[[#This Row],[Site Name]],Tables!$B$12:$B$78, Tables!C$12:C$78)</f>
        <v>52.167429999999996</v>
      </c>
      <c r="M194">
        <f>_xlfn.XLOOKUP(AllDataCorrected[[#This Row],[Site Name]],Tables!$B$12:$B$78, Tables!D$12:D$78)</f>
        <v>-1.7744752941176474</v>
      </c>
      <c r="N194" t="s">
        <v>29</v>
      </c>
      <c r="O194">
        <v>640</v>
      </c>
      <c r="P194">
        <v>11.3</v>
      </c>
      <c r="Q194">
        <v>5</v>
      </c>
      <c r="R1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94">
        <v>0.41</v>
      </c>
      <c r="T1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4">
        <v>0</v>
      </c>
    </row>
    <row r="195" spans="1:22" x14ac:dyDescent="0.25">
      <c r="A195" t="s">
        <v>339</v>
      </c>
      <c r="B195" s="2">
        <v>45245</v>
      </c>
      <c r="C195" t="str" cm="1">
        <f t="array" ref="C1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5">
        <f>YEAR(AllDataCorrected[[#This Row],[Date]])</f>
        <v>2023</v>
      </c>
      <c r="E195" s="1">
        <v>0.66666666666666663</v>
      </c>
      <c r="F1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5" t="str">
        <f>_xlfn.XLOOKUP(AllDataCorrected[[#This Row],[Location Name]], Locations[Location Name],Locations[Group As])</f>
        <v>Stour Newbold Mill</v>
      </c>
      <c r="H195" t="e" vm="2">
        <f>_xlfn.XLOOKUP(AllDataCorrected[[#This Row],[Site Name]],LocationsKey[Site Name],LocationsKey[District])</f>
        <v>#VALUE!</v>
      </c>
      <c r="I195" t="e" vm="8">
        <f>_xlfn.XLOOKUP(AllDataCorrected[[#This Row],[Site Name]],LocationsKey[Site Name],LocationsKey[Town])</f>
        <v>#VALUE!</v>
      </c>
      <c r="J195" t="str">
        <f>_xlfn.XLOOKUP(AllDataCorrected[[#This Row],[Site Name]],LocationsKey[Site Name], LocationsKey[Waterway])</f>
        <v>Stour</v>
      </c>
      <c r="K195" t="s">
        <v>140</v>
      </c>
      <c r="L195">
        <f>_xlfn.XLOOKUP(AllDataCorrected[[#This Row],[Site Name]],Tables!$B$12:$B$78, Tables!C$12:C$78)</f>
        <v>52.113052370370362</v>
      </c>
      <c r="M195">
        <f>_xlfn.XLOOKUP(AllDataCorrected[[#This Row],[Site Name]],Tables!$B$12:$B$78, Tables!D$12:D$78)</f>
        <v>-1.6333685185185185</v>
      </c>
      <c r="N195" t="s">
        <v>29</v>
      </c>
      <c r="O195">
        <v>667</v>
      </c>
      <c r="P195">
        <v>12.1</v>
      </c>
      <c r="Q195">
        <v>5</v>
      </c>
      <c r="R1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95">
        <v>0.24</v>
      </c>
      <c r="T1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5">
        <v>2.5</v>
      </c>
      <c r="V195" t="s">
        <v>340</v>
      </c>
    </row>
    <row r="196" spans="1:22" x14ac:dyDescent="0.25">
      <c r="A196" t="s">
        <v>341</v>
      </c>
      <c r="B196" s="2">
        <v>45246</v>
      </c>
      <c r="C196" t="str" cm="1">
        <f t="array" ref="C1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6">
        <f>YEAR(AllDataCorrected[[#This Row],[Date]])</f>
        <v>2023</v>
      </c>
      <c r="E196" s="1">
        <v>0.37708333333333333</v>
      </c>
      <c r="F19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6" t="str">
        <f>_xlfn.XLOOKUP(AllDataCorrected[[#This Row],[Location Name]], Locations[Location Name],Locations[Group As])</f>
        <v>Alveston Weir</v>
      </c>
      <c r="H196" t="e" vm="2">
        <f>_xlfn.XLOOKUP(AllDataCorrected[[#This Row],[Site Name]],LocationsKey[Site Name],LocationsKey[District])</f>
        <v>#VALUE!</v>
      </c>
      <c r="I196" t="e" vm="13">
        <f>_xlfn.XLOOKUP(AllDataCorrected[[#This Row],[Site Name]],LocationsKey[Site Name],LocationsKey[Town])</f>
        <v>#VALUE!</v>
      </c>
      <c r="J196" t="str">
        <f>_xlfn.XLOOKUP(AllDataCorrected[[#This Row],[Site Name]],LocationsKey[Site Name], LocationsKey[Waterway])</f>
        <v>Avon</v>
      </c>
      <c r="K196" t="s">
        <v>286</v>
      </c>
      <c r="L196">
        <f>_xlfn.XLOOKUP(AllDataCorrected[[#This Row],[Site Name]],Tables!$B$12:$B$78, Tables!C$12:C$78)</f>
        <v>52.212366690476216</v>
      </c>
      <c r="M196">
        <f>_xlfn.XLOOKUP(AllDataCorrected[[#This Row],[Site Name]],Tables!$B$12:$B$78, Tables!D$12:D$78)</f>
        <v>-1.6602567619047619</v>
      </c>
      <c r="N196" t="s">
        <v>29</v>
      </c>
      <c r="O196">
        <v>568</v>
      </c>
      <c r="P196">
        <v>16.100000000000001</v>
      </c>
      <c r="Q196">
        <v>5</v>
      </c>
      <c r="R1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96">
        <v>0.51</v>
      </c>
      <c r="T1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6">
        <v>0</v>
      </c>
      <c r="V196" t="s">
        <v>342</v>
      </c>
    </row>
    <row r="197" spans="1:22" x14ac:dyDescent="0.25">
      <c r="A197" t="s">
        <v>343</v>
      </c>
      <c r="B197" s="2">
        <v>45246</v>
      </c>
      <c r="C197" t="str" cm="1">
        <f t="array" ref="C1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7">
        <f>YEAR(AllDataCorrected[[#This Row],[Date]])</f>
        <v>2023</v>
      </c>
      <c r="E197" s="1">
        <v>0.44444444444444442</v>
      </c>
      <c r="F1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7" t="str">
        <f>_xlfn.XLOOKUP(AllDataCorrected[[#This Row],[Location Name]], Locations[Location Name],Locations[Group As])</f>
        <v>Swiffen Bank</v>
      </c>
      <c r="H197" t="e" vm="2">
        <f>_xlfn.XLOOKUP(AllDataCorrected[[#This Row],[Site Name]],LocationsKey[Site Name],LocationsKey[District])</f>
        <v>#VALUE!</v>
      </c>
      <c r="I197" t="e" vm="13">
        <f>_xlfn.XLOOKUP(AllDataCorrected[[#This Row],[Site Name]],LocationsKey[Site Name],LocationsKey[Town])</f>
        <v>#VALUE!</v>
      </c>
      <c r="J197" t="str">
        <f>_xlfn.XLOOKUP(AllDataCorrected[[#This Row],[Site Name]],LocationsKey[Site Name], LocationsKey[Waterway])</f>
        <v>Avon</v>
      </c>
      <c r="K197" t="s">
        <v>284</v>
      </c>
      <c r="L197">
        <f>_xlfn.XLOOKUP(AllDataCorrected[[#This Row],[Site Name]],Tables!$B$12:$B$78, Tables!C$12:C$78)</f>
        <v>52.206446825000015</v>
      </c>
      <c r="M197">
        <f>_xlfn.XLOOKUP(AllDataCorrected[[#This Row],[Site Name]],Tables!$B$12:$B$78, Tables!D$12:D$78)</f>
        <v>-1.6541684000000003</v>
      </c>
      <c r="N197" t="s">
        <v>29</v>
      </c>
      <c r="O197">
        <v>584</v>
      </c>
      <c r="P197">
        <v>12.2</v>
      </c>
      <c r="Q197">
        <v>5</v>
      </c>
      <c r="R1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97">
        <v>0.59</v>
      </c>
      <c r="T1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7">
        <v>1</v>
      </c>
      <c r="V197" t="s">
        <v>344</v>
      </c>
    </row>
    <row r="198" spans="1:22" x14ac:dyDescent="0.25">
      <c r="A198" t="s">
        <v>345</v>
      </c>
      <c r="B198" s="2">
        <v>45246</v>
      </c>
      <c r="C198" t="str" cm="1">
        <f t="array" ref="C1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8">
        <f>YEAR(AllDataCorrected[[#This Row],[Date]])</f>
        <v>2023</v>
      </c>
      <c r="E198" s="1">
        <v>0.50972222222222219</v>
      </c>
      <c r="F1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8" t="str">
        <f>_xlfn.XLOOKUP(AllDataCorrected[[#This Row],[Location Name]], Locations[Location Name],Locations[Group As])</f>
        <v>Preston-on-Stour River Bridge</v>
      </c>
      <c r="H198" t="e" vm="2">
        <f>_xlfn.XLOOKUP(AllDataCorrected[[#This Row],[Site Name]],LocationsKey[Site Name],LocationsKey[District])</f>
        <v>#VALUE!</v>
      </c>
      <c r="I198" t="e" vm="9">
        <f>_xlfn.XLOOKUP(AllDataCorrected[[#This Row],[Site Name]],LocationsKey[Site Name],LocationsKey[Town])</f>
        <v>#VALUE!</v>
      </c>
      <c r="J198" t="str">
        <f>_xlfn.XLOOKUP(AllDataCorrected[[#This Row],[Site Name]],LocationsKey[Site Name], LocationsKey[Waterway])</f>
        <v>Stour</v>
      </c>
      <c r="K198" t="s">
        <v>163</v>
      </c>
      <c r="L198">
        <f>_xlfn.XLOOKUP(AllDataCorrected[[#This Row],[Site Name]],Tables!$B$12:$B$78, Tables!C$12:C$78)</f>
        <v>52.146529500000007</v>
      </c>
      <c r="M198">
        <f>_xlfn.XLOOKUP(AllDataCorrected[[#This Row],[Site Name]],Tables!$B$12:$B$78, Tables!D$12:D$78)</f>
        <v>-1.6996899999999999</v>
      </c>
      <c r="N198" t="s">
        <v>29</v>
      </c>
      <c r="O198">
        <v>609</v>
      </c>
      <c r="P198">
        <v>9.4</v>
      </c>
      <c r="Q198">
        <v>5</v>
      </c>
      <c r="R198" t="str">
        <f>IF(AllDataCorrected[[#This Row],[Nitrate (PPM)]]&gt;2, "4. Very high (&gt;2ppm)", IF(AllDataCorrected[[#This Row],[Nitrate (PPM)]]&gt;1, "3. High (1-2ppm)", IF(AllDataCorrected[[#This Row],[Nitrate (PPM)]]&gt;0.5, "2. Some evidence (0.5-1ppm)", IF(AllDataCorrected[[#This Row],[Nitrate (PPM)]]&gt;=0, "1. No evidence (&lt;0.5ppm)"))))</f>
        <v>4. Very high (&gt;2ppm)</v>
      </c>
      <c r="S198">
        <v>0.2</v>
      </c>
      <c r="T1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8">
        <v>1.5</v>
      </c>
      <c r="V198" t="s">
        <v>346</v>
      </c>
    </row>
    <row r="199" spans="1:22" x14ac:dyDescent="0.25">
      <c r="A199" t="s">
        <v>347</v>
      </c>
      <c r="B199" s="2">
        <v>45248</v>
      </c>
      <c r="C199" t="str" cm="1">
        <f t="array" ref="C1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9">
        <f>YEAR(AllDataCorrected[[#This Row],[Date]])</f>
        <v>2023</v>
      </c>
      <c r="E199" s="1">
        <v>0.52083333333333337</v>
      </c>
      <c r="F1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9" t="str">
        <f>_xlfn.XLOOKUP(AllDataCorrected[[#This Row],[Location Name]], Locations[Location Name],Locations[Group As])</f>
        <v>Carrant Bredon Rd</v>
      </c>
      <c r="H199" t="e" vm="1">
        <f>_xlfn.XLOOKUP(AllDataCorrected[[#This Row],[Site Name]],LocationsKey[Site Name],LocationsKey[District])</f>
        <v>#VALUE!</v>
      </c>
      <c r="I199" t="e" vm="1">
        <f>_xlfn.XLOOKUP(AllDataCorrected[[#This Row],[Site Name]],LocationsKey[Site Name],LocationsKey[Town])</f>
        <v>#VALUE!</v>
      </c>
      <c r="J199" t="str">
        <f>_xlfn.XLOOKUP(AllDataCorrected[[#This Row],[Site Name]],LocationsKey[Site Name], LocationsKey[Waterway])</f>
        <v>Carrant</v>
      </c>
      <c r="K199" t="s">
        <v>90</v>
      </c>
      <c r="L199">
        <f>_xlfn.XLOOKUP(AllDataCorrected[[#This Row],[Site Name]],Tables!$B$12:$B$78, Tables!C$12:C$78)</f>
        <v>51.996416567567572</v>
      </c>
      <c r="M199">
        <f>_xlfn.XLOOKUP(AllDataCorrected[[#This Row],[Site Name]],Tables!$B$12:$B$78, Tables!D$12:D$78)</f>
        <v>-2.1556626756756749</v>
      </c>
      <c r="N199" t="s">
        <v>23</v>
      </c>
      <c r="O199">
        <v>652</v>
      </c>
      <c r="P199">
        <v>12.1</v>
      </c>
      <c r="Q199">
        <v>6</v>
      </c>
      <c r="R1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99">
        <v>0.32</v>
      </c>
      <c r="T1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9">
        <v>1</v>
      </c>
    </row>
    <row r="200" spans="1:22" x14ac:dyDescent="0.25">
      <c r="A200" t="s">
        <v>348</v>
      </c>
      <c r="B200" s="2">
        <v>45248</v>
      </c>
      <c r="C200" t="str" cm="1">
        <f t="array" ref="C2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0">
        <f>YEAR(AllDataCorrected[[#This Row],[Date]])</f>
        <v>2023</v>
      </c>
      <c r="E200" s="1">
        <v>0.67013888888888884</v>
      </c>
      <c r="F2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0" t="str">
        <f>_xlfn.XLOOKUP(AllDataCorrected[[#This Row],[Location Name]], Locations[Location Name],Locations[Group As])</f>
        <v>Abbey Mill</v>
      </c>
      <c r="H200" t="e" vm="1">
        <f>_xlfn.XLOOKUP(AllDataCorrected[[#This Row],[Site Name]],LocationsKey[Site Name],LocationsKey[District])</f>
        <v>#VALUE!</v>
      </c>
      <c r="I200" t="e" vm="1">
        <f>_xlfn.XLOOKUP(AllDataCorrected[[#This Row],[Site Name]],LocationsKey[Site Name],LocationsKey[Town])</f>
        <v>#VALUE!</v>
      </c>
      <c r="J200" t="str">
        <f>_xlfn.XLOOKUP(AllDataCorrected[[#This Row],[Site Name]],LocationsKey[Site Name], LocationsKey[Waterway])</f>
        <v>Avon</v>
      </c>
      <c r="K200" t="s">
        <v>22</v>
      </c>
      <c r="L200">
        <f>_xlfn.XLOOKUP(AllDataCorrected[[#This Row],[Site Name]],Tables!$B$12:$B$78, Tables!C$12:C$78)</f>
        <v>51.991389555555564</v>
      </c>
      <c r="M200">
        <f>_xlfn.XLOOKUP(AllDataCorrected[[#This Row],[Site Name]],Tables!$B$12:$B$78, Tables!D$12:D$78)</f>
        <v>-2.1620794000000005</v>
      </c>
      <c r="N200" t="s">
        <v>23</v>
      </c>
      <c r="O200">
        <v>701</v>
      </c>
      <c r="P200">
        <v>11.6</v>
      </c>
      <c r="Q200">
        <v>8</v>
      </c>
      <c r="R200" t="str">
        <f>IF(AllDataCorrected[[#This Row],[Nitrate (PPM)]]&gt;2, "4. Very high (&gt;2ppm)", IF(AllDataCorrected[[#This Row],[Nitrate (PPM)]]&gt;1, "3. High (1-2ppm)", IF(AllDataCorrected[[#This Row],[Nitrate (PPM)]]&gt;0.5, "2. Some evidence (0.5-1ppm)", IF(AllDataCorrected[[#This Row],[Nitrate (PPM)]]&gt;=0, "1. No evidence (&lt;0.5ppm)"))))</f>
        <v>4. Very high (&gt;2ppm)</v>
      </c>
      <c r="S200">
        <v>0.81</v>
      </c>
      <c r="T2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0">
        <v>2</v>
      </c>
    </row>
    <row r="201" spans="1:22" x14ac:dyDescent="0.25">
      <c r="A201" t="s">
        <v>349</v>
      </c>
      <c r="B201" s="2">
        <v>45248</v>
      </c>
      <c r="C201" t="str" cm="1">
        <f t="array" ref="C2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1">
        <f>YEAR(AllDataCorrected[[#This Row],[Date]])</f>
        <v>2023</v>
      </c>
      <c r="E201" s="1">
        <v>0.70833333333333337</v>
      </c>
      <c r="F2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1" t="str">
        <f>_xlfn.XLOOKUP(AllDataCorrected[[#This Row],[Location Name]], Locations[Location Name],Locations[Group As])</f>
        <v>Swilgate</v>
      </c>
      <c r="H201" t="e" vm="1">
        <f>_xlfn.XLOOKUP(AllDataCorrected[[#This Row],[Site Name]],LocationsKey[Site Name],LocationsKey[District])</f>
        <v>#VALUE!</v>
      </c>
      <c r="I201" t="e" vm="1">
        <f>_xlfn.XLOOKUP(AllDataCorrected[[#This Row],[Site Name]],LocationsKey[Site Name],LocationsKey[Town])</f>
        <v>#VALUE!</v>
      </c>
      <c r="J201" t="str">
        <f>_xlfn.XLOOKUP(AllDataCorrected[[#This Row],[Site Name]],LocationsKey[Site Name], LocationsKey[Waterway])</f>
        <v>Swilgate</v>
      </c>
      <c r="K201" t="s">
        <v>84</v>
      </c>
      <c r="L201">
        <f>_xlfn.XLOOKUP(AllDataCorrected[[#This Row],[Site Name]],Tables!$B$12:$B$78, Tables!C$12:C$78)</f>
        <v>51.9885442</v>
      </c>
      <c r="M201">
        <f>_xlfn.XLOOKUP(AllDataCorrected[[#This Row],[Site Name]],Tables!$B$12:$B$78, Tables!D$12:D$78)</f>
        <v>-2.1639010000000001</v>
      </c>
      <c r="N201" t="s">
        <v>23</v>
      </c>
      <c r="O201">
        <v>857</v>
      </c>
      <c r="P201">
        <v>14.6</v>
      </c>
      <c r="Q201">
        <v>5</v>
      </c>
      <c r="R201" t="str">
        <f>IF(AllDataCorrected[[#This Row],[Nitrate (PPM)]]&gt;2, "4. Very high (&gt;2ppm)", IF(AllDataCorrected[[#This Row],[Nitrate (PPM)]]&gt;1, "3. High (1-2ppm)", IF(AllDataCorrected[[#This Row],[Nitrate (PPM)]]&gt;0.5, "2. Some evidence (0.5-1ppm)", IF(AllDataCorrected[[#This Row],[Nitrate (PPM)]]&gt;=0, "1. No evidence (&lt;0.5ppm)"))))</f>
        <v>4. Very high (&gt;2ppm)</v>
      </c>
      <c r="S201">
        <v>0.42</v>
      </c>
      <c r="T2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1">
        <v>1</v>
      </c>
    </row>
    <row r="202" spans="1:22" x14ac:dyDescent="0.25">
      <c r="A202" t="s">
        <v>351</v>
      </c>
      <c r="B202" s="2">
        <v>45249</v>
      </c>
      <c r="C202" t="str" cm="1">
        <f t="array" ref="C2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2">
        <f>YEAR(AllDataCorrected[[#This Row],[Date]])</f>
        <v>2023</v>
      </c>
      <c r="E202" s="1">
        <v>0.41666666666666669</v>
      </c>
      <c r="F2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2" t="str">
        <f>_xlfn.XLOOKUP(AllDataCorrected[[#This Row],[Location Name]], Locations[Location Name],Locations[Group As])</f>
        <v>Avonbank Drive</v>
      </c>
      <c r="H202" t="e" vm="2">
        <f>_xlfn.XLOOKUP(AllDataCorrected[[#This Row],[Site Name]],LocationsKey[Site Name],LocationsKey[District])</f>
        <v>#VALUE!</v>
      </c>
      <c r="I202" t="e" vm="7">
        <f>_xlfn.XLOOKUP(AllDataCorrected[[#This Row],[Site Name]],LocationsKey[Site Name],LocationsKey[Town])</f>
        <v>#VALUE!</v>
      </c>
      <c r="J202" t="str">
        <f>_xlfn.XLOOKUP(AllDataCorrected[[#This Row],[Site Name]],LocationsKey[Site Name], LocationsKey[Waterway])</f>
        <v>Avon</v>
      </c>
      <c r="K202" t="s">
        <v>103</v>
      </c>
      <c r="L202">
        <f>_xlfn.XLOOKUP(AllDataCorrected[[#This Row],[Site Name]],Tables!$B$12:$B$78, Tables!C$12:C$78)</f>
        <v>52.177054657142854</v>
      </c>
      <c r="M202">
        <f>_xlfn.XLOOKUP(AllDataCorrected[[#This Row],[Site Name]],Tables!$B$12:$B$78, Tables!D$12:D$78)</f>
        <v>-1.7358669999999996</v>
      </c>
      <c r="N202" t="s">
        <v>66</v>
      </c>
      <c r="O202">
        <v>725</v>
      </c>
      <c r="P202">
        <v>16.5</v>
      </c>
      <c r="Q202">
        <v>5</v>
      </c>
      <c r="R202" t="str">
        <f>IF(AllDataCorrected[[#This Row],[Nitrate (PPM)]]&gt;2, "4. Very high (&gt;2ppm)", IF(AllDataCorrected[[#This Row],[Nitrate (PPM)]]&gt;1, "3. High (1-2ppm)", IF(AllDataCorrected[[#This Row],[Nitrate (PPM)]]&gt;0.5, "2. Some evidence (0.5-1ppm)", IF(AllDataCorrected[[#This Row],[Nitrate (PPM)]]&gt;=0, "1. No evidence (&lt;0.5ppm)"))))</f>
        <v>4. Very high (&gt;2ppm)</v>
      </c>
      <c r="S202">
        <v>0.32</v>
      </c>
      <c r="T20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2">
        <v>0.8</v>
      </c>
    </row>
    <row r="203" spans="1:22" x14ac:dyDescent="0.25">
      <c r="A203" t="s">
        <v>350</v>
      </c>
      <c r="B203" s="2">
        <v>45249</v>
      </c>
      <c r="C203" t="str" cm="1">
        <f t="array" ref="C2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3">
        <f>YEAR(AllDataCorrected[[#This Row],[Date]])</f>
        <v>2023</v>
      </c>
      <c r="E203" s="1">
        <v>0.41666666666666669</v>
      </c>
      <c r="F2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3" t="str">
        <f>_xlfn.XLOOKUP(AllDataCorrected[[#This Row],[Location Name]], Locations[Location Name],Locations[Group As])</f>
        <v>Pitch 16</v>
      </c>
      <c r="H203" t="e" vm="2">
        <f>_xlfn.XLOOKUP(AllDataCorrected[[#This Row],[Site Name]],LocationsKey[Site Name],LocationsKey[District])</f>
        <v>#VALUE!</v>
      </c>
      <c r="I203" t="e" vm="7">
        <f>_xlfn.XLOOKUP(AllDataCorrected[[#This Row],[Site Name]],LocationsKey[Site Name],LocationsKey[Town])</f>
        <v>#VALUE!</v>
      </c>
      <c r="J203" t="str">
        <f>_xlfn.XLOOKUP(AllDataCorrected[[#This Row],[Site Name]],LocationsKey[Site Name], LocationsKey[Waterway])</f>
        <v>Avon</v>
      </c>
      <c r="K203" t="s">
        <v>69</v>
      </c>
      <c r="L203">
        <f>_xlfn.XLOOKUP(AllDataCorrected[[#This Row],[Site Name]],Tables!$B$12:$B$78, Tables!C$12:C$78)</f>
        <v>52.17355294117646</v>
      </c>
      <c r="M203">
        <f>_xlfn.XLOOKUP(AllDataCorrected[[#This Row],[Site Name]],Tables!$B$12:$B$78, Tables!D$12:D$78)</f>
        <v>-1.7433199411764708</v>
      </c>
      <c r="N203" t="s">
        <v>29</v>
      </c>
      <c r="O203">
        <v>681</v>
      </c>
      <c r="P203">
        <v>16.5</v>
      </c>
      <c r="Q203">
        <v>5</v>
      </c>
      <c r="R203" t="str">
        <f>IF(AllDataCorrected[[#This Row],[Nitrate (PPM)]]&gt;2, "4. Very high (&gt;2ppm)", IF(AllDataCorrected[[#This Row],[Nitrate (PPM)]]&gt;1, "3. High (1-2ppm)", IF(AllDataCorrected[[#This Row],[Nitrate (PPM)]]&gt;0.5, "2. Some evidence (0.5-1ppm)", IF(AllDataCorrected[[#This Row],[Nitrate (PPM)]]&gt;=0, "1. No evidence (&lt;0.5ppm)"))))</f>
        <v>4. Very high (&gt;2ppm)</v>
      </c>
      <c r="S203">
        <v>0.42</v>
      </c>
      <c r="T2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3">
        <v>0.8</v>
      </c>
    </row>
    <row r="204" spans="1:22" x14ac:dyDescent="0.25">
      <c r="A204" t="s">
        <v>357</v>
      </c>
      <c r="B204" s="2">
        <v>45249</v>
      </c>
      <c r="C204" t="str" cm="1">
        <f t="array" ref="C2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4">
        <f>YEAR(AllDataCorrected[[#This Row],[Date]])</f>
        <v>2023</v>
      </c>
      <c r="E204" s="1">
        <v>0.5</v>
      </c>
      <c r="F2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4" t="str">
        <f>_xlfn.XLOOKUP(AllDataCorrected[[#This Row],[Location Name]], Locations[Location Name],Locations[Group As])</f>
        <v>Lucy's Mill Bridge</v>
      </c>
      <c r="H204" t="e" vm="2">
        <f>_xlfn.XLOOKUP(AllDataCorrected[[#This Row],[Site Name]],LocationsKey[Site Name],LocationsKey[District])</f>
        <v>#VALUE!</v>
      </c>
      <c r="I204" t="e" vm="7">
        <f>_xlfn.XLOOKUP(AllDataCorrected[[#This Row],[Site Name]],LocationsKey[Site Name],LocationsKey[Town])</f>
        <v>#VALUE!</v>
      </c>
      <c r="J204" t="str">
        <f>_xlfn.XLOOKUP(AllDataCorrected[[#This Row],[Site Name]],LocationsKey[Site Name], LocationsKey[Waterway])</f>
        <v>Avon</v>
      </c>
      <c r="K204" t="s">
        <v>216</v>
      </c>
      <c r="L204">
        <f>_xlfn.XLOOKUP(AllDataCorrected[[#This Row],[Site Name]],Tables!$B$12:$B$78, Tables!C$12:C$78)</f>
        <v>52.183699000000011</v>
      </c>
      <c r="M204">
        <f>_xlfn.XLOOKUP(AllDataCorrected[[#This Row],[Site Name]],Tables!$B$12:$B$78, Tables!D$12:D$78)</f>
        <v>-1.7078160000000004</v>
      </c>
      <c r="N204" t="s">
        <v>29</v>
      </c>
      <c r="P204">
        <v>9</v>
      </c>
      <c r="Q204">
        <v>10</v>
      </c>
      <c r="R204" t="str">
        <f>IF(AllDataCorrected[[#This Row],[Nitrate (PPM)]]&gt;2, "4. Very high (&gt;2ppm)", IF(AllDataCorrected[[#This Row],[Nitrate (PPM)]]&gt;1, "3. High (1-2ppm)", IF(AllDataCorrected[[#This Row],[Nitrate (PPM)]]&gt;0.5, "2. Some evidence (0.5-1ppm)", IF(AllDataCorrected[[#This Row],[Nitrate (PPM)]]&gt;=0, "1. No evidence (&lt;0.5ppm)"))))</f>
        <v>4. Very high (&gt;2ppm)</v>
      </c>
      <c r="S204">
        <v>0.49</v>
      </c>
      <c r="T2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4">
        <v>0.7</v>
      </c>
    </row>
    <row r="205" spans="1:22" x14ac:dyDescent="0.25">
      <c r="A205" t="s">
        <v>352</v>
      </c>
      <c r="B205" s="2">
        <v>45249</v>
      </c>
      <c r="C205" t="str" cm="1">
        <f t="array" ref="C2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5">
        <f>YEAR(AllDataCorrected[[#This Row],[Date]])</f>
        <v>2023</v>
      </c>
      <c r="E205" s="1">
        <v>0.51041666666666663</v>
      </c>
      <c r="F2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5" t="str">
        <f>_xlfn.XLOOKUP(AllDataCorrected[[#This Row],[Location Name]], Locations[Location Name],Locations[Group As])</f>
        <v>Hampton Wood</v>
      </c>
      <c r="H205" t="e" vm="2">
        <f>_xlfn.XLOOKUP(AllDataCorrected[[#This Row],[Site Name]],LocationsKey[Site Name],LocationsKey[District])</f>
        <v>#VALUE!</v>
      </c>
      <c r="I205" t="e" vm="3">
        <f>_xlfn.XLOOKUP(AllDataCorrected[[#This Row],[Site Name]],LocationsKey[Site Name],LocationsKey[Town])</f>
        <v>#VALUE!</v>
      </c>
      <c r="J205" t="str">
        <f>_xlfn.XLOOKUP(AllDataCorrected[[#This Row],[Site Name]],LocationsKey[Site Name], LocationsKey[Waterway])</f>
        <v>Avon</v>
      </c>
      <c r="K205" t="s">
        <v>34</v>
      </c>
      <c r="L205">
        <f>_xlfn.XLOOKUP(AllDataCorrected[[#This Row],[Site Name]],Tables!$B$12:$B$78, Tables!C$12:C$78)</f>
        <v>52.23814999999999</v>
      </c>
      <c r="M205">
        <f>_xlfn.XLOOKUP(AllDataCorrected[[#This Row],[Site Name]],Tables!$B$12:$B$78, Tables!D$12:D$78)</f>
        <v>-1.6245800000000008</v>
      </c>
      <c r="N205" t="s">
        <v>29</v>
      </c>
      <c r="P205">
        <v>12.4</v>
      </c>
      <c r="Q205">
        <v>6</v>
      </c>
      <c r="R205" t="str">
        <f>IF(AllDataCorrected[[#This Row],[Nitrate (PPM)]]&gt;2, "4. Very high (&gt;2ppm)", IF(AllDataCorrected[[#This Row],[Nitrate (PPM)]]&gt;1, "3. High (1-2ppm)", IF(AllDataCorrected[[#This Row],[Nitrate (PPM)]]&gt;0.5, "2. Some evidence (0.5-1ppm)", IF(AllDataCorrected[[#This Row],[Nitrate (PPM)]]&gt;=0, "1. No evidence (&lt;0.5ppm)"))))</f>
        <v>4. Very high (&gt;2ppm)</v>
      </c>
      <c r="S205">
        <v>0.44</v>
      </c>
      <c r="T2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5">
        <v>0</v>
      </c>
    </row>
    <row r="206" spans="1:22" x14ac:dyDescent="0.25">
      <c r="A206" t="s">
        <v>353</v>
      </c>
      <c r="B206" s="2">
        <v>45249</v>
      </c>
      <c r="C206" t="str" cm="1">
        <f t="array" ref="C2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6">
        <f>YEAR(AllDataCorrected[[#This Row],[Date]])</f>
        <v>2023</v>
      </c>
      <c r="E206" s="1">
        <v>0.53125</v>
      </c>
      <c r="F2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6" t="str">
        <f>_xlfn.XLOOKUP(AllDataCorrected[[#This Row],[Location Name]], Locations[Location Name],Locations[Group As])</f>
        <v>Hampton Lucy</v>
      </c>
      <c r="H206" t="e" vm="2">
        <f>_xlfn.XLOOKUP(AllDataCorrected[[#This Row],[Site Name]],LocationsKey[Site Name],LocationsKey[District])</f>
        <v>#VALUE!</v>
      </c>
      <c r="I206" t="e" vm="4">
        <f>_xlfn.XLOOKUP(AllDataCorrected[[#This Row],[Site Name]],LocationsKey[Site Name],LocationsKey[Town])</f>
        <v>#VALUE!</v>
      </c>
      <c r="J206" t="str">
        <f>_xlfn.XLOOKUP(AllDataCorrected[[#This Row],[Site Name]],LocationsKey[Site Name], LocationsKey[Waterway])</f>
        <v>Avon</v>
      </c>
      <c r="K206" t="s">
        <v>37</v>
      </c>
      <c r="L206">
        <f>_xlfn.XLOOKUP(AllDataCorrected[[#This Row],[Site Name]],Tables!$B$12:$B$78, Tables!C$12:C$78)</f>
        <v>52.211679999999973</v>
      </c>
      <c r="M206">
        <f>_xlfn.XLOOKUP(AllDataCorrected[[#This Row],[Site Name]],Tables!$B$12:$B$78, Tables!D$12:D$78)</f>
        <v>-1.6244400000000001</v>
      </c>
      <c r="N206" t="s">
        <v>23</v>
      </c>
      <c r="O206">
        <v>636</v>
      </c>
      <c r="P206">
        <v>12.6</v>
      </c>
      <c r="Q206">
        <v>7</v>
      </c>
      <c r="R206" t="str">
        <f>IF(AllDataCorrected[[#This Row],[Nitrate (PPM)]]&gt;2, "4. Very high (&gt;2ppm)", IF(AllDataCorrected[[#This Row],[Nitrate (PPM)]]&gt;1, "3. High (1-2ppm)", IF(AllDataCorrected[[#This Row],[Nitrate (PPM)]]&gt;0.5, "2. Some evidence (0.5-1ppm)", IF(AllDataCorrected[[#This Row],[Nitrate (PPM)]]&gt;=0, "1. No evidence (&lt;0.5ppm)"))))</f>
        <v>4. Very high (&gt;2ppm)</v>
      </c>
      <c r="S206">
        <v>0.44</v>
      </c>
      <c r="T2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6">
        <v>0</v>
      </c>
    </row>
    <row r="207" spans="1:22" x14ac:dyDescent="0.25">
      <c r="A207" t="s">
        <v>354</v>
      </c>
      <c r="B207" s="2">
        <v>45249</v>
      </c>
      <c r="C207" t="str" cm="1">
        <f t="array" ref="C2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7">
        <f>YEAR(AllDataCorrected[[#This Row],[Date]])</f>
        <v>2023</v>
      </c>
      <c r="E207" s="1">
        <v>0.58333333333333337</v>
      </c>
      <c r="F2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7" t="str">
        <f>_xlfn.XLOOKUP(AllDataCorrected[[#This Row],[Location Name]], Locations[Location Name],Locations[Group As])</f>
        <v>Clifford Chambers Mill Bridge</v>
      </c>
      <c r="H207" t="e" vm="2">
        <f>_xlfn.XLOOKUP(AllDataCorrected[[#This Row],[Site Name]],LocationsKey[Site Name],LocationsKey[District])</f>
        <v>#VALUE!</v>
      </c>
      <c r="I207" t="e" vm="12">
        <f>_xlfn.XLOOKUP(AllDataCorrected[[#This Row],[Site Name]],LocationsKey[Site Name],LocationsKey[Town])</f>
        <v>#VALUE!</v>
      </c>
      <c r="J207" t="str">
        <f>_xlfn.XLOOKUP(AllDataCorrected[[#This Row],[Site Name]],LocationsKey[Site Name], LocationsKey[Waterway])</f>
        <v>Stour</v>
      </c>
      <c r="K207" t="s">
        <v>263</v>
      </c>
      <c r="L207">
        <f>_xlfn.XLOOKUP(AllDataCorrected[[#This Row],[Site Name]],Tables!$B$12:$B$78, Tables!C$12:C$78)</f>
        <v>52.166358517241363</v>
      </c>
      <c r="M207">
        <f>_xlfn.XLOOKUP(AllDataCorrected[[#This Row],[Site Name]],Tables!$B$12:$B$78, Tables!D$12:D$78)</f>
        <v>-1.7080419310344837</v>
      </c>
      <c r="N207" t="s">
        <v>66</v>
      </c>
      <c r="O207">
        <v>493</v>
      </c>
      <c r="P207">
        <v>13.5</v>
      </c>
      <c r="Q207">
        <v>5</v>
      </c>
      <c r="R207" t="str">
        <f>IF(AllDataCorrected[[#This Row],[Nitrate (PPM)]]&gt;2, "4. Very high (&gt;2ppm)", IF(AllDataCorrected[[#This Row],[Nitrate (PPM)]]&gt;1, "3. High (1-2ppm)", IF(AllDataCorrected[[#This Row],[Nitrate (PPM)]]&gt;0.5, "2. Some evidence (0.5-1ppm)", IF(AllDataCorrected[[#This Row],[Nitrate (PPM)]]&gt;=0, "1. No evidence (&lt;0.5ppm)"))))</f>
        <v>4. Very high (&gt;2ppm)</v>
      </c>
      <c r="S207">
        <v>0.28000000000000003</v>
      </c>
      <c r="T2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7">
        <v>1.3</v>
      </c>
    </row>
    <row r="208" spans="1:22" x14ac:dyDescent="0.25">
      <c r="A208" t="s">
        <v>355</v>
      </c>
      <c r="B208" s="2">
        <v>45249</v>
      </c>
      <c r="C208" t="str" cm="1">
        <f t="array" ref="C2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8">
        <f>YEAR(AllDataCorrected[[#This Row],[Date]])</f>
        <v>2023</v>
      </c>
      <c r="E208" s="1">
        <v>0.64583333333333337</v>
      </c>
      <c r="F2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8" t="str">
        <f>_xlfn.XLOOKUP(AllDataCorrected[[#This Row],[Location Name]], Locations[Location Name],Locations[Group As])</f>
        <v>Welford Boat Station</v>
      </c>
      <c r="H208" t="e" vm="2">
        <f>_xlfn.XLOOKUP(AllDataCorrected[[#This Row],[Site Name]],LocationsKey[Site Name],LocationsKey[District])</f>
        <v>#VALUE!</v>
      </c>
      <c r="I208" t="e" vm="5">
        <f>_xlfn.XLOOKUP(AllDataCorrected[[#This Row],[Site Name]],LocationsKey[Site Name],LocationsKey[Town])</f>
        <v>#VALUE!</v>
      </c>
      <c r="J208" t="str">
        <f>_xlfn.XLOOKUP(AllDataCorrected[[#This Row],[Site Name]],LocationsKey[Site Name], LocationsKey[Waterway])</f>
        <v>Avon</v>
      </c>
      <c r="K208" t="s">
        <v>39</v>
      </c>
      <c r="L208">
        <f>_xlfn.XLOOKUP(AllDataCorrected[[#This Row],[Site Name]],Tables!$B$12:$B$78, Tables!C$12:C$78)</f>
        <v>52.175174684210546</v>
      </c>
      <c r="M208">
        <f>_xlfn.XLOOKUP(AllDataCorrected[[#This Row],[Site Name]],Tables!$B$12:$B$78, Tables!D$12:D$78)</f>
        <v>-1.7918551052631577</v>
      </c>
      <c r="N208" t="s">
        <v>29</v>
      </c>
      <c r="O208">
        <v>680</v>
      </c>
      <c r="P208">
        <v>11.8</v>
      </c>
      <c r="Q208">
        <v>12</v>
      </c>
      <c r="R208" t="str">
        <f>IF(AllDataCorrected[[#This Row],[Nitrate (PPM)]]&gt;2, "4. Very high (&gt;2ppm)", IF(AllDataCorrected[[#This Row],[Nitrate (PPM)]]&gt;1, "3. High (1-2ppm)", IF(AllDataCorrected[[#This Row],[Nitrate (PPM)]]&gt;0.5, "2. Some evidence (0.5-1ppm)", IF(AllDataCorrected[[#This Row],[Nitrate (PPM)]]&gt;=0, "1. No evidence (&lt;0.5ppm)"))))</f>
        <v>4. Very high (&gt;2ppm)</v>
      </c>
      <c r="S208">
        <v>0.31</v>
      </c>
      <c r="T2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8">
        <v>0</v>
      </c>
      <c r="V208" t="s">
        <v>356</v>
      </c>
    </row>
    <row r="209" spans="1:22" x14ac:dyDescent="0.25">
      <c r="A209" t="s">
        <v>358</v>
      </c>
      <c r="B209" s="2">
        <v>45250</v>
      </c>
      <c r="C209" t="str" cm="1">
        <f t="array" ref="C2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9">
        <f>YEAR(AllDataCorrected[[#This Row],[Date]])</f>
        <v>2023</v>
      </c>
      <c r="E209" s="1">
        <v>0.39861111111111114</v>
      </c>
      <c r="F2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9" t="str">
        <f>_xlfn.XLOOKUP(AllDataCorrected[[#This Row],[Location Name]], Locations[Location Name],Locations[Group As])</f>
        <v>Stour Stretton-on-Fosse Village</v>
      </c>
      <c r="H209" t="e" vm="2">
        <f>_xlfn.XLOOKUP(AllDataCorrected[[#This Row],[Site Name]],LocationsKey[Site Name],LocationsKey[District])</f>
        <v>#VALUE!</v>
      </c>
      <c r="I209" t="e" vm="14">
        <f>_xlfn.XLOOKUP(AllDataCorrected[[#This Row],[Site Name]],LocationsKey[Site Name],LocationsKey[Town])</f>
        <v>#VALUE!</v>
      </c>
      <c r="J209" t="str">
        <f>_xlfn.XLOOKUP(AllDataCorrected[[#This Row],[Site Name]],LocationsKey[Site Name], LocationsKey[Waterway])</f>
        <v>Stour</v>
      </c>
      <c r="K209" t="s">
        <v>337</v>
      </c>
      <c r="L209">
        <f>_xlfn.XLOOKUP(AllDataCorrected[[#This Row],[Site Name]],Tables!$B$12:$B$78, Tables!C$12:C$78)</f>
        <v>52.046517558823524</v>
      </c>
      <c r="M209">
        <f>_xlfn.XLOOKUP(AllDataCorrected[[#This Row],[Site Name]],Tables!$B$12:$B$78, Tables!D$12:D$78)</f>
        <v>-1.6734143529411767</v>
      </c>
      <c r="N209" t="s">
        <v>66</v>
      </c>
      <c r="O209">
        <v>573</v>
      </c>
      <c r="P209">
        <v>10.199999999999999</v>
      </c>
      <c r="Q209">
        <v>2</v>
      </c>
      <c r="R209" t="str">
        <f>IF(AllDataCorrected[[#This Row],[Nitrate (PPM)]]&gt;2, "4. Very high (&gt;2ppm)", IF(AllDataCorrected[[#This Row],[Nitrate (PPM)]]&gt;1, "3. High (1-2ppm)", IF(AllDataCorrected[[#This Row],[Nitrate (PPM)]]&gt;0.5, "2. Some evidence (0.5-1ppm)", IF(AllDataCorrected[[#This Row],[Nitrate (PPM)]]&gt;=0, "1. No evidence (&lt;0.5ppm)"))))</f>
        <v>3. High (1-2ppm)</v>
      </c>
      <c r="S209">
        <v>0.68</v>
      </c>
      <c r="T2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9">
        <v>0.2</v>
      </c>
    </row>
    <row r="210" spans="1:22" x14ac:dyDescent="0.25">
      <c r="A210" t="s">
        <v>359</v>
      </c>
      <c r="B210" s="2">
        <v>45250</v>
      </c>
      <c r="C210" t="str" cm="1">
        <f t="array" ref="C2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0">
        <f>YEAR(AllDataCorrected[[#This Row],[Date]])</f>
        <v>2023</v>
      </c>
      <c r="E210" s="1">
        <v>0.41388888888888886</v>
      </c>
      <c r="F2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0" t="str">
        <f>_xlfn.XLOOKUP(AllDataCorrected[[#This Row],[Location Name]], Locations[Location Name],Locations[Group As])</f>
        <v>Stour Stretton-on-Fosse Sewage Works</v>
      </c>
      <c r="H210" t="e" vm="2">
        <f>_xlfn.XLOOKUP(AllDataCorrected[[#This Row],[Site Name]],LocationsKey[Site Name],LocationsKey[District])</f>
        <v>#VALUE!</v>
      </c>
      <c r="I210" t="e" vm="14">
        <f>_xlfn.XLOOKUP(AllDataCorrected[[#This Row],[Site Name]],LocationsKey[Site Name],LocationsKey[Town])</f>
        <v>#VALUE!</v>
      </c>
      <c r="J210" t="str">
        <f>_xlfn.XLOOKUP(AllDataCorrected[[#This Row],[Site Name]],LocationsKey[Site Name], LocationsKey[Waterway])</f>
        <v>Stour</v>
      </c>
      <c r="K210" t="s">
        <v>335</v>
      </c>
      <c r="L210">
        <f>_xlfn.XLOOKUP(AllDataCorrected[[#This Row],[Site Name]],Tables!$B$12:$B$78, Tables!C$12:C$78)</f>
        <v>52.045653647058806</v>
      </c>
      <c r="M210">
        <f>_xlfn.XLOOKUP(AllDataCorrected[[#This Row],[Site Name]],Tables!$B$12:$B$78, Tables!D$12:D$78)</f>
        <v>-1.6719221470588235</v>
      </c>
      <c r="N210" t="s">
        <v>29</v>
      </c>
      <c r="O210">
        <v>556</v>
      </c>
      <c r="P210">
        <v>10.5</v>
      </c>
      <c r="Q210">
        <v>3.5</v>
      </c>
      <c r="R210" t="str">
        <f>IF(AllDataCorrected[[#This Row],[Nitrate (PPM)]]&gt;2, "4. Very high (&gt;2ppm)", IF(AllDataCorrected[[#This Row],[Nitrate (PPM)]]&gt;1, "3. High (1-2ppm)", IF(AllDataCorrected[[#This Row],[Nitrate (PPM)]]&gt;0.5, "2. Some evidence (0.5-1ppm)", IF(AllDataCorrected[[#This Row],[Nitrate (PPM)]]&gt;=0, "1. No evidence (&lt;0.5ppm)"))))</f>
        <v>4. Very high (&gt;2ppm)</v>
      </c>
      <c r="S210">
        <v>1.1200000000000001</v>
      </c>
      <c r="T2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10">
        <v>0.3</v>
      </c>
    </row>
    <row r="211" spans="1:22" x14ac:dyDescent="0.25">
      <c r="A211" t="s">
        <v>360</v>
      </c>
      <c r="B211" s="2">
        <v>45250</v>
      </c>
      <c r="C211" t="str" cm="1">
        <f t="array" ref="C2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1">
        <f>YEAR(AllDataCorrected[[#This Row],[Date]])</f>
        <v>2023</v>
      </c>
      <c r="E211" s="1">
        <v>0.63194444444444442</v>
      </c>
      <c r="F2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1" t="str">
        <f>_xlfn.XLOOKUP(AllDataCorrected[[#This Row],[Location Name]], Locations[Location Name],Locations[Group As])</f>
        <v>Weston-on-Avon</v>
      </c>
      <c r="H211" t="e" vm="2">
        <f>_xlfn.XLOOKUP(AllDataCorrected[[#This Row],[Site Name]],LocationsKey[Site Name],LocationsKey[District])</f>
        <v>#VALUE!</v>
      </c>
      <c r="I211" t="e" vm="6">
        <f>_xlfn.XLOOKUP(AllDataCorrected[[#This Row],[Site Name]],LocationsKey[Site Name],LocationsKey[Town])</f>
        <v>#VALUE!</v>
      </c>
      <c r="J211" t="str">
        <f>_xlfn.XLOOKUP(AllDataCorrected[[#This Row],[Site Name]],LocationsKey[Site Name], LocationsKey[Waterway])</f>
        <v>Avon</v>
      </c>
      <c r="K211" t="s">
        <v>41</v>
      </c>
      <c r="L211">
        <f>_xlfn.XLOOKUP(AllDataCorrected[[#This Row],[Site Name]],Tables!$B$12:$B$78, Tables!C$12:C$78)</f>
        <v>52.167429999999996</v>
      </c>
      <c r="M211">
        <f>_xlfn.XLOOKUP(AllDataCorrected[[#This Row],[Site Name]],Tables!$B$12:$B$78, Tables!D$12:D$78)</f>
        <v>-1.7744752941176474</v>
      </c>
      <c r="N211" t="s">
        <v>29</v>
      </c>
      <c r="O211">
        <v>688</v>
      </c>
      <c r="P211">
        <v>11.5</v>
      </c>
      <c r="Q211">
        <v>8</v>
      </c>
      <c r="R211" t="str">
        <f>IF(AllDataCorrected[[#This Row],[Nitrate (PPM)]]&gt;2, "4. Very high (&gt;2ppm)", IF(AllDataCorrected[[#This Row],[Nitrate (PPM)]]&gt;1, "3. High (1-2ppm)", IF(AllDataCorrected[[#This Row],[Nitrate (PPM)]]&gt;0.5, "2. Some evidence (0.5-1ppm)", IF(AllDataCorrected[[#This Row],[Nitrate (PPM)]]&gt;=0, "1. No evidence (&lt;0.5ppm)"))))</f>
        <v>4. Very high (&gt;2ppm)</v>
      </c>
      <c r="S211">
        <v>0.4</v>
      </c>
      <c r="T2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1">
        <v>0</v>
      </c>
    </row>
    <row r="212" spans="1:22" x14ac:dyDescent="0.25">
      <c r="A212" t="s">
        <v>361</v>
      </c>
      <c r="B212" s="2">
        <v>45252</v>
      </c>
      <c r="C212" t="str" cm="1">
        <f t="array" ref="C2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2">
        <f>YEAR(AllDataCorrected[[#This Row],[Date]])</f>
        <v>2023</v>
      </c>
      <c r="E212" s="1">
        <v>0.65833333333333333</v>
      </c>
      <c r="F2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2" t="str">
        <f>_xlfn.XLOOKUP(AllDataCorrected[[#This Row],[Location Name]], Locations[Location Name],Locations[Group As])</f>
        <v>Stour Newbold Mill</v>
      </c>
      <c r="H212" t="e" vm="2">
        <f>_xlfn.XLOOKUP(AllDataCorrected[[#This Row],[Site Name]],LocationsKey[Site Name],LocationsKey[District])</f>
        <v>#VALUE!</v>
      </c>
      <c r="I212" t="e" vm="8">
        <f>_xlfn.XLOOKUP(AllDataCorrected[[#This Row],[Site Name]],LocationsKey[Site Name],LocationsKey[Town])</f>
        <v>#VALUE!</v>
      </c>
      <c r="J212" t="str">
        <f>_xlfn.XLOOKUP(AllDataCorrected[[#This Row],[Site Name]],LocationsKey[Site Name], LocationsKey[Waterway])</f>
        <v>Stour</v>
      </c>
      <c r="K212" t="s">
        <v>362</v>
      </c>
      <c r="L212">
        <f>_xlfn.XLOOKUP(AllDataCorrected[[#This Row],[Site Name]],Tables!$B$12:$B$78, Tables!C$12:C$78)</f>
        <v>52.113052370370362</v>
      </c>
      <c r="M212">
        <f>_xlfn.XLOOKUP(AllDataCorrected[[#This Row],[Site Name]],Tables!$B$12:$B$78, Tables!D$12:D$78)</f>
        <v>-1.6333685185185185</v>
      </c>
      <c r="N212" t="s">
        <v>157</v>
      </c>
      <c r="O212">
        <v>661</v>
      </c>
      <c r="P212">
        <v>10.9</v>
      </c>
      <c r="Q212">
        <v>5</v>
      </c>
      <c r="R212" t="str">
        <f>IF(AllDataCorrected[[#This Row],[Nitrate (PPM)]]&gt;2, "4. Very high (&gt;2ppm)", IF(AllDataCorrected[[#This Row],[Nitrate (PPM)]]&gt;1, "3. High (1-2ppm)", IF(AllDataCorrected[[#This Row],[Nitrate (PPM)]]&gt;0.5, "2. Some evidence (0.5-1ppm)", IF(AllDataCorrected[[#This Row],[Nitrate (PPM)]]&gt;=0, "1. No evidence (&lt;0.5ppm)"))))</f>
        <v>4. Very high (&gt;2ppm)</v>
      </c>
      <c r="S212">
        <v>0.26</v>
      </c>
      <c r="T2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2">
        <v>2.5</v>
      </c>
      <c r="V212" t="s">
        <v>363</v>
      </c>
    </row>
    <row r="213" spans="1:22" x14ac:dyDescent="0.25">
      <c r="A213" t="s">
        <v>364</v>
      </c>
      <c r="B213" s="2">
        <v>45252</v>
      </c>
      <c r="C213" t="str" cm="1">
        <f t="array" ref="C2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3">
        <f>YEAR(AllDataCorrected[[#This Row],[Date]])</f>
        <v>2023</v>
      </c>
      <c r="E213" s="1">
        <v>0.66874999999999996</v>
      </c>
      <c r="F2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3" t="str">
        <f>_xlfn.XLOOKUP(AllDataCorrected[[#This Row],[Location Name]], Locations[Location Name],Locations[Group As])</f>
        <v>Stour Newbold Mill</v>
      </c>
      <c r="H213" t="e" vm="2">
        <f>_xlfn.XLOOKUP(AllDataCorrected[[#This Row],[Site Name]],LocationsKey[Site Name],LocationsKey[District])</f>
        <v>#VALUE!</v>
      </c>
      <c r="I213" t="e" vm="8">
        <f>_xlfn.XLOOKUP(AllDataCorrected[[#This Row],[Site Name]],LocationsKey[Site Name],LocationsKey[Town])</f>
        <v>#VALUE!</v>
      </c>
      <c r="J213" t="str">
        <f>_xlfn.XLOOKUP(AllDataCorrected[[#This Row],[Site Name]],LocationsKey[Site Name], LocationsKey[Waterway])</f>
        <v>Stour</v>
      </c>
      <c r="K213" t="s">
        <v>365</v>
      </c>
      <c r="L213">
        <f>_xlfn.XLOOKUP(AllDataCorrected[[#This Row],[Site Name]],Tables!$B$12:$B$78, Tables!C$12:C$78)</f>
        <v>52.113052370370362</v>
      </c>
      <c r="M213">
        <f>_xlfn.XLOOKUP(AllDataCorrected[[#This Row],[Site Name]],Tables!$B$12:$B$78, Tables!D$12:D$78)</f>
        <v>-1.6333685185185185</v>
      </c>
      <c r="N213" t="s">
        <v>366</v>
      </c>
      <c r="O213">
        <v>670</v>
      </c>
      <c r="P213">
        <v>10.3</v>
      </c>
      <c r="Q213">
        <v>5</v>
      </c>
      <c r="R213" t="str">
        <f>IF(AllDataCorrected[[#This Row],[Nitrate (PPM)]]&gt;2, "4. Very high (&gt;2ppm)", IF(AllDataCorrected[[#This Row],[Nitrate (PPM)]]&gt;1, "3. High (1-2ppm)", IF(AllDataCorrected[[#This Row],[Nitrate (PPM)]]&gt;0.5, "2. Some evidence (0.5-1ppm)", IF(AllDataCorrected[[#This Row],[Nitrate (PPM)]]&gt;=0, "1. No evidence (&lt;0.5ppm)"))))</f>
        <v>4. Very high (&gt;2ppm)</v>
      </c>
      <c r="S213">
        <v>0.27</v>
      </c>
      <c r="T2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3">
        <v>2.5</v>
      </c>
      <c r="V213" t="s">
        <v>367</v>
      </c>
    </row>
    <row r="214" spans="1:22" x14ac:dyDescent="0.25">
      <c r="A214" t="s">
        <v>368</v>
      </c>
      <c r="B214" s="2">
        <v>45253</v>
      </c>
      <c r="C214" t="str" cm="1">
        <f t="array" ref="C2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4">
        <f>YEAR(AllDataCorrected[[#This Row],[Date]])</f>
        <v>2023</v>
      </c>
      <c r="E214" s="1">
        <v>0.41666666666666669</v>
      </c>
      <c r="F2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4" t="str">
        <f>_xlfn.XLOOKUP(AllDataCorrected[[#This Row],[Location Name]], Locations[Location Name],Locations[Group As])</f>
        <v>Swilgate</v>
      </c>
      <c r="H214" t="e" vm="1">
        <f>_xlfn.XLOOKUP(AllDataCorrected[[#This Row],[Site Name]],LocationsKey[Site Name],LocationsKey[District])</f>
        <v>#VALUE!</v>
      </c>
      <c r="I214" t="e" vm="1">
        <f>_xlfn.XLOOKUP(AllDataCorrected[[#This Row],[Site Name]],LocationsKey[Site Name],LocationsKey[Town])</f>
        <v>#VALUE!</v>
      </c>
      <c r="J214" t="str">
        <f>_xlfn.XLOOKUP(AllDataCorrected[[#This Row],[Site Name]],LocationsKey[Site Name], LocationsKey[Waterway])</f>
        <v>Swilgate</v>
      </c>
      <c r="K214" t="s">
        <v>84</v>
      </c>
      <c r="L214">
        <f>_xlfn.XLOOKUP(AllDataCorrected[[#This Row],[Site Name]],Tables!$B$12:$B$78, Tables!C$12:C$78)</f>
        <v>51.9885442</v>
      </c>
      <c r="M214">
        <f>_xlfn.XLOOKUP(AllDataCorrected[[#This Row],[Site Name]],Tables!$B$12:$B$78, Tables!D$12:D$78)</f>
        <v>-2.1639010000000001</v>
      </c>
      <c r="N214" t="s">
        <v>23</v>
      </c>
      <c r="O214">
        <v>879</v>
      </c>
      <c r="P214">
        <v>12.4</v>
      </c>
      <c r="Q214">
        <v>3</v>
      </c>
      <c r="R214" t="str">
        <f>IF(AllDataCorrected[[#This Row],[Nitrate (PPM)]]&gt;2, "4. Very high (&gt;2ppm)", IF(AllDataCorrected[[#This Row],[Nitrate (PPM)]]&gt;1, "3. High (1-2ppm)", IF(AllDataCorrected[[#This Row],[Nitrate (PPM)]]&gt;0.5, "2. Some evidence (0.5-1ppm)", IF(AllDataCorrected[[#This Row],[Nitrate (PPM)]]&gt;=0, "1. No evidence (&lt;0.5ppm)"))))</f>
        <v>4. Very high (&gt;2ppm)</v>
      </c>
      <c r="S214">
        <v>0.5</v>
      </c>
      <c r="T2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4">
        <v>1</v>
      </c>
    </row>
    <row r="215" spans="1:22" x14ac:dyDescent="0.25">
      <c r="A215" t="s">
        <v>369</v>
      </c>
      <c r="B215" s="2">
        <v>45253</v>
      </c>
      <c r="C215" t="str" cm="1">
        <f t="array" ref="C2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5">
        <f>YEAR(AllDataCorrected[[#This Row],[Date]])</f>
        <v>2023</v>
      </c>
      <c r="E215" s="1">
        <v>0.42708333333333331</v>
      </c>
      <c r="F2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5" t="str">
        <f>_xlfn.XLOOKUP(AllDataCorrected[[#This Row],[Location Name]], Locations[Location Name],Locations[Group As])</f>
        <v>Swiffen Bank</v>
      </c>
      <c r="H215" t="e" vm="2">
        <f>_xlfn.XLOOKUP(AllDataCorrected[[#This Row],[Site Name]],LocationsKey[Site Name],LocationsKey[District])</f>
        <v>#VALUE!</v>
      </c>
      <c r="I215" t="e" vm="13">
        <f>_xlfn.XLOOKUP(AllDataCorrected[[#This Row],[Site Name]],LocationsKey[Site Name],LocationsKey[Town])</f>
        <v>#VALUE!</v>
      </c>
      <c r="J215" t="str">
        <f>_xlfn.XLOOKUP(AllDataCorrected[[#This Row],[Site Name]],LocationsKey[Site Name], LocationsKey[Waterway])</f>
        <v>Avon</v>
      </c>
      <c r="K215" t="s">
        <v>284</v>
      </c>
      <c r="L215">
        <f>_xlfn.XLOOKUP(AllDataCorrected[[#This Row],[Site Name]],Tables!$B$12:$B$78, Tables!C$12:C$78)</f>
        <v>52.206446825000015</v>
      </c>
      <c r="M215">
        <f>_xlfn.XLOOKUP(AllDataCorrected[[#This Row],[Site Name]],Tables!$B$12:$B$78, Tables!D$12:D$78)</f>
        <v>-1.6541684000000003</v>
      </c>
      <c r="N215" t="s">
        <v>29</v>
      </c>
      <c r="O215">
        <v>635</v>
      </c>
      <c r="P215">
        <v>13</v>
      </c>
      <c r="Q215">
        <v>5</v>
      </c>
      <c r="R215" t="str">
        <f>IF(AllDataCorrected[[#This Row],[Nitrate (PPM)]]&gt;2, "4. Very high (&gt;2ppm)", IF(AllDataCorrected[[#This Row],[Nitrate (PPM)]]&gt;1, "3. High (1-2ppm)", IF(AllDataCorrected[[#This Row],[Nitrate (PPM)]]&gt;0.5, "2. Some evidence (0.5-1ppm)", IF(AllDataCorrected[[#This Row],[Nitrate (PPM)]]&gt;=0, "1. No evidence (&lt;0.5ppm)"))))</f>
        <v>4. Very high (&gt;2ppm)</v>
      </c>
      <c r="S215">
        <v>0.49</v>
      </c>
      <c r="T2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5">
        <v>-1</v>
      </c>
    </row>
    <row r="216" spans="1:22" x14ac:dyDescent="0.25">
      <c r="A216" t="s">
        <v>370</v>
      </c>
      <c r="B216" s="2">
        <v>45253</v>
      </c>
      <c r="C216" t="str" cm="1">
        <f t="array" ref="C2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6">
        <f>YEAR(AllDataCorrected[[#This Row],[Date]])</f>
        <v>2023</v>
      </c>
      <c r="E216" s="1">
        <v>0.44583333333333336</v>
      </c>
      <c r="F2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6" t="str">
        <f>_xlfn.XLOOKUP(AllDataCorrected[[#This Row],[Location Name]], Locations[Location Name],Locations[Group As])</f>
        <v>Alveston Weir</v>
      </c>
      <c r="H216" t="e" vm="2">
        <f>_xlfn.XLOOKUP(AllDataCorrected[[#This Row],[Site Name]],LocationsKey[Site Name],LocationsKey[District])</f>
        <v>#VALUE!</v>
      </c>
      <c r="I216" t="e" vm="13">
        <f>_xlfn.XLOOKUP(AllDataCorrected[[#This Row],[Site Name]],LocationsKey[Site Name],LocationsKey[Town])</f>
        <v>#VALUE!</v>
      </c>
      <c r="J216" t="str">
        <f>_xlfn.XLOOKUP(AllDataCorrected[[#This Row],[Site Name]],LocationsKey[Site Name], LocationsKey[Waterway])</f>
        <v>Avon</v>
      </c>
      <c r="K216" t="s">
        <v>286</v>
      </c>
      <c r="L216">
        <f>_xlfn.XLOOKUP(AllDataCorrected[[#This Row],[Site Name]],Tables!$B$12:$B$78, Tables!C$12:C$78)</f>
        <v>52.212366690476216</v>
      </c>
      <c r="M216">
        <f>_xlfn.XLOOKUP(AllDataCorrected[[#This Row],[Site Name]],Tables!$B$12:$B$78, Tables!D$12:D$78)</f>
        <v>-1.6602567619047619</v>
      </c>
      <c r="N216" t="s">
        <v>29</v>
      </c>
      <c r="O216">
        <v>653</v>
      </c>
      <c r="P216">
        <v>15.6</v>
      </c>
      <c r="Q216">
        <v>5</v>
      </c>
      <c r="R216" t="str">
        <f>IF(AllDataCorrected[[#This Row],[Nitrate (PPM)]]&gt;2, "4. Very high (&gt;2ppm)", IF(AllDataCorrected[[#This Row],[Nitrate (PPM)]]&gt;1, "3. High (1-2ppm)", IF(AllDataCorrected[[#This Row],[Nitrate (PPM)]]&gt;0.5, "2. Some evidence (0.5-1ppm)", IF(AllDataCorrected[[#This Row],[Nitrate (PPM)]]&gt;=0, "1. No evidence (&lt;0.5ppm)"))))</f>
        <v>4. Very high (&gt;2ppm)</v>
      </c>
      <c r="S216">
        <v>0.38</v>
      </c>
      <c r="T2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6">
        <v>0</v>
      </c>
      <c r="V216" t="s">
        <v>371</v>
      </c>
    </row>
    <row r="217" spans="1:22" x14ac:dyDescent="0.25">
      <c r="A217" t="s">
        <v>372</v>
      </c>
      <c r="B217" s="2">
        <v>45255</v>
      </c>
      <c r="C217" t="str" cm="1">
        <f t="array" ref="C2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7">
        <f>YEAR(AllDataCorrected[[#This Row],[Date]])</f>
        <v>2023</v>
      </c>
      <c r="E217" s="1">
        <v>7.9861111111111105E-2</v>
      </c>
      <c r="F2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217" t="str">
        <f>_xlfn.XLOOKUP(AllDataCorrected[[#This Row],[Location Name]], Locations[Location Name],Locations[Group As])</f>
        <v>Pitch 16</v>
      </c>
      <c r="H217" t="e" vm="2">
        <f>_xlfn.XLOOKUP(AllDataCorrected[[#This Row],[Site Name]],LocationsKey[Site Name],LocationsKey[District])</f>
        <v>#VALUE!</v>
      </c>
      <c r="I217" t="e" vm="7">
        <f>_xlfn.XLOOKUP(AllDataCorrected[[#This Row],[Site Name]],LocationsKey[Site Name],LocationsKey[Town])</f>
        <v>#VALUE!</v>
      </c>
      <c r="J217" t="str">
        <f>_xlfn.XLOOKUP(AllDataCorrected[[#This Row],[Site Name]],LocationsKey[Site Name], LocationsKey[Waterway])</f>
        <v>Avon</v>
      </c>
      <c r="K217" t="s">
        <v>69</v>
      </c>
      <c r="L217">
        <f>_xlfn.XLOOKUP(AllDataCorrected[[#This Row],[Site Name]],Tables!$B$12:$B$78, Tables!C$12:C$78)</f>
        <v>52.17355294117646</v>
      </c>
      <c r="M217">
        <f>_xlfn.XLOOKUP(AllDataCorrected[[#This Row],[Site Name]],Tables!$B$12:$B$78, Tables!D$12:D$78)</f>
        <v>-1.7433199411764708</v>
      </c>
      <c r="N217" t="s">
        <v>29</v>
      </c>
      <c r="O217">
        <v>894</v>
      </c>
      <c r="P217">
        <v>9.3000000000000007</v>
      </c>
      <c r="Q217">
        <v>10</v>
      </c>
      <c r="R217" t="str">
        <f>IF(AllDataCorrected[[#This Row],[Nitrate (PPM)]]&gt;2, "4. Very high (&gt;2ppm)", IF(AllDataCorrected[[#This Row],[Nitrate (PPM)]]&gt;1, "3. High (1-2ppm)", IF(AllDataCorrected[[#This Row],[Nitrate (PPM)]]&gt;0.5, "2. Some evidence (0.5-1ppm)", IF(AllDataCorrected[[#This Row],[Nitrate (PPM)]]&gt;=0, "1. No evidence (&lt;0.5ppm)"))))</f>
        <v>4. Very high (&gt;2ppm)</v>
      </c>
      <c r="S217">
        <v>0.46</v>
      </c>
      <c r="T2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7">
        <v>1</v>
      </c>
    </row>
    <row r="218" spans="1:22" x14ac:dyDescent="0.25">
      <c r="A218" t="s">
        <v>373</v>
      </c>
      <c r="B218" s="2">
        <v>45255</v>
      </c>
      <c r="C218" t="str" cm="1">
        <f t="array" ref="C2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8">
        <f>YEAR(AllDataCorrected[[#This Row],[Date]])</f>
        <v>2023</v>
      </c>
      <c r="E218" s="1">
        <v>0.48541666666666666</v>
      </c>
      <c r="F2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8" t="str">
        <f>_xlfn.XLOOKUP(AllDataCorrected[[#This Row],[Location Name]], Locations[Location Name],Locations[Group As])</f>
        <v>Abbey Mill</v>
      </c>
      <c r="H218" t="e" vm="1">
        <f>_xlfn.XLOOKUP(AllDataCorrected[[#This Row],[Site Name]],LocationsKey[Site Name],LocationsKey[District])</f>
        <v>#VALUE!</v>
      </c>
      <c r="I218" t="e" vm="1">
        <f>_xlfn.XLOOKUP(AllDataCorrected[[#This Row],[Site Name]],LocationsKey[Site Name],LocationsKey[Town])</f>
        <v>#VALUE!</v>
      </c>
      <c r="J218" t="str">
        <f>_xlfn.XLOOKUP(AllDataCorrected[[#This Row],[Site Name]],LocationsKey[Site Name], LocationsKey[Waterway])</f>
        <v>Avon</v>
      </c>
      <c r="K218" t="s">
        <v>22</v>
      </c>
      <c r="L218">
        <f>_xlfn.XLOOKUP(AllDataCorrected[[#This Row],[Site Name]],Tables!$B$12:$B$78, Tables!C$12:C$78)</f>
        <v>51.991389555555564</v>
      </c>
      <c r="M218">
        <f>_xlfn.XLOOKUP(AllDataCorrected[[#This Row],[Site Name]],Tables!$B$12:$B$78, Tables!D$12:D$78)</f>
        <v>-2.1620794000000005</v>
      </c>
      <c r="N218" t="s">
        <v>23</v>
      </c>
      <c r="O218">
        <v>773</v>
      </c>
      <c r="P218">
        <v>9.6999999999999993</v>
      </c>
      <c r="Q218">
        <v>4</v>
      </c>
      <c r="R218" t="str">
        <f>IF(AllDataCorrected[[#This Row],[Nitrate (PPM)]]&gt;2, "4. Very high (&gt;2ppm)", IF(AllDataCorrected[[#This Row],[Nitrate (PPM)]]&gt;1, "3. High (1-2ppm)", IF(AllDataCorrected[[#This Row],[Nitrate (PPM)]]&gt;0.5, "2. Some evidence (0.5-1ppm)", IF(AllDataCorrected[[#This Row],[Nitrate (PPM)]]&gt;=0, "1. No evidence (&lt;0.5ppm)"))))</f>
        <v>4. Very high (&gt;2ppm)</v>
      </c>
      <c r="S218">
        <v>0.7</v>
      </c>
      <c r="T2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18">
        <v>0</v>
      </c>
    </row>
    <row r="219" spans="1:22" x14ac:dyDescent="0.25">
      <c r="A219" t="s">
        <v>374</v>
      </c>
      <c r="B219" s="2">
        <v>45255</v>
      </c>
      <c r="C219" t="str" cm="1">
        <f t="array" ref="C2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9">
        <f>YEAR(AllDataCorrected[[#This Row],[Date]])</f>
        <v>2023</v>
      </c>
      <c r="E219" s="1">
        <v>0.5</v>
      </c>
      <c r="F2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9" t="str">
        <f>_xlfn.XLOOKUP(AllDataCorrected[[#This Row],[Location Name]], Locations[Location Name],Locations[Group As])</f>
        <v>Carrant Bredon Rd</v>
      </c>
      <c r="H219" t="e" vm="1">
        <f>_xlfn.XLOOKUP(AllDataCorrected[[#This Row],[Site Name]],LocationsKey[Site Name],LocationsKey[District])</f>
        <v>#VALUE!</v>
      </c>
      <c r="I219" t="e" vm="1">
        <f>_xlfn.XLOOKUP(AllDataCorrected[[#This Row],[Site Name]],LocationsKey[Site Name],LocationsKey[Town])</f>
        <v>#VALUE!</v>
      </c>
      <c r="J219" t="str">
        <f>_xlfn.XLOOKUP(AllDataCorrected[[#This Row],[Site Name]],LocationsKey[Site Name], LocationsKey[Waterway])</f>
        <v>Carrant</v>
      </c>
      <c r="K219" t="s">
        <v>90</v>
      </c>
      <c r="L219">
        <f>_xlfn.XLOOKUP(AllDataCorrected[[#This Row],[Site Name]],Tables!$B$12:$B$78, Tables!C$12:C$78)</f>
        <v>51.996416567567572</v>
      </c>
      <c r="M219">
        <f>_xlfn.XLOOKUP(AllDataCorrected[[#This Row],[Site Name]],Tables!$B$12:$B$78, Tables!D$12:D$78)</f>
        <v>-2.1556626756756749</v>
      </c>
      <c r="N219" t="s">
        <v>23</v>
      </c>
      <c r="O219">
        <v>709</v>
      </c>
      <c r="P219">
        <v>8.5</v>
      </c>
      <c r="Q219">
        <v>5</v>
      </c>
      <c r="R219" t="str">
        <f>IF(AllDataCorrected[[#This Row],[Nitrate (PPM)]]&gt;2, "4. Very high (&gt;2ppm)", IF(AllDataCorrected[[#This Row],[Nitrate (PPM)]]&gt;1, "3. High (1-2ppm)", IF(AllDataCorrected[[#This Row],[Nitrate (PPM)]]&gt;0.5, "2. Some evidence (0.5-1ppm)", IF(AllDataCorrected[[#This Row],[Nitrate (PPM)]]&gt;=0, "1. No evidence (&lt;0.5ppm)"))))</f>
        <v>4. Very high (&gt;2ppm)</v>
      </c>
      <c r="S219">
        <v>0.35</v>
      </c>
      <c r="T2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9">
        <v>0</v>
      </c>
    </row>
    <row r="220" spans="1:22" x14ac:dyDescent="0.25">
      <c r="A220" t="s">
        <v>375</v>
      </c>
      <c r="B220" s="2">
        <v>45256</v>
      </c>
      <c r="C220" t="str" cm="1">
        <f t="array" ref="C2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0">
        <f>YEAR(AllDataCorrected[[#This Row],[Date]])</f>
        <v>2023</v>
      </c>
      <c r="E220" s="1">
        <v>4.1666666666666664E-2</v>
      </c>
      <c r="F2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220" t="str">
        <f>_xlfn.XLOOKUP(AllDataCorrected[[#This Row],[Location Name]], Locations[Location Name],Locations[Group As])</f>
        <v>Hampton Lucy</v>
      </c>
      <c r="H220" t="e" vm="2">
        <f>_xlfn.XLOOKUP(AllDataCorrected[[#This Row],[Site Name]],LocationsKey[Site Name],LocationsKey[District])</f>
        <v>#VALUE!</v>
      </c>
      <c r="I220" t="e" vm="4">
        <f>_xlfn.XLOOKUP(AllDataCorrected[[#This Row],[Site Name]],LocationsKey[Site Name],LocationsKey[Town])</f>
        <v>#VALUE!</v>
      </c>
      <c r="J220" t="str">
        <f>_xlfn.XLOOKUP(AllDataCorrected[[#This Row],[Site Name]],LocationsKey[Site Name], LocationsKey[Waterway])</f>
        <v>Avon</v>
      </c>
      <c r="K220" t="s">
        <v>37</v>
      </c>
      <c r="L220">
        <f>_xlfn.XLOOKUP(AllDataCorrected[[#This Row],[Site Name]],Tables!$B$12:$B$78, Tables!C$12:C$78)</f>
        <v>52.211679999999973</v>
      </c>
      <c r="M220">
        <f>_xlfn.XLOOKUP(AllDataCorrected[[#This Row],[Site Name]],Tables!$B$12:$B$78, Tables!D$12:D$78)</f>
        <v>-1.6244400000000001</v>
      </c>
      <c r="N220" t="s">
        <v>23</v>
      </c>
      <c r="O220">
        <v>880</v>
      </c>
      <c r="P220">
        <v>7.7</v>
      </c>
      <c r="Q220">
        <v>5</v>
      </c>
      <c r="R220" t="str">
        <f>IF(AllDataCorrected[[#This Row],[Nitrate (PPM)]]&gt;2, "4. Very high (&gt;2ppm)", IF(AllDataCorrected[[#This Row],[Nitrate (PPM)]]&gt;1, "3. High (1-2ppm)", IF(AllDataCorrected[[#This Row],[Nitrate (PPM)]]&gt;0.5, "2. Some evidence (0.5-1ppm)", IF(AllDataCorrected[[#This Row],[Nitrate (PPM)]]&gt;=0, "1. No evidence (&lt;0.5ppm)"))))</f>
        <v>4. Very high (&gt;2ppm)</v>
      </c>
      <c r="S220">
        <v>0.54</v>
      </c>
      <c r="T2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0">
        <v>0</v>
      </c>
    </row>
    <row r="221" spans="1:22" x14ac:dyDescent="0.25">
      <c r="A221" t="s">
        <v>376</v>
      </c>
      <c r="B221" s="2">
        <v>45256</v>
      </c>
      <c r="C221" t="str" cm="1">
        <f t="array" ref="C2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1">
        <f>YEAR(AllDataCorrected[[#This Row],[Date]])</f>
        <v>2023</v>
      </c>
      <c r="E221" s="1">
        <v>0.5</v>
      </c>
      <c r="F2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1" t="str">
        <f>_xlfn.XLOOKUP(AllDataCorrected[[#This Row],[Location Name]], Locations[Location Name],Locations[Group As])</f>
        <v>Hampton Wood</v>
      </c>
      <c r="H221" t="e" vm="2">
        <f>_xlfn.XLOOKUP(AllDataCorrected[[#This Row],[Site Name]],LocationsKey[Site Name],LocationsKey[District])</f>
        <v>#VALUE!</v>
      </c>
      <c r="I221" t="e" vm="3">
        <f>_xlfn.XLOOKUP(AllDataCorrected[[#This Row],[Site Name]],LocationsKey[Site Name],LocationsKey[Town])</f>
        <v>#VALUE!</v>
      </c>
      <c r="J221" t="str">
        <f>_xlfn.XLOOKUP(AllDataCorrected[[#This Row],[Site Name]],LocationsKey[Site Name], LocationsKey[Waterway])</f>
        <v>Avon</v>
      </c>
      <c r="K221" t="s">
        <v>34</v>
      </c>
      <c r="L221">
        <f>_xlfn.XLOOKUP(AllDataCorrected[[#This Row],[Site Name]],Tables!$B$12:$B$78, Tables!C$12:C$78)</f>
        <v>52.23814999999999</v>
      </c>
      <c r="M221">
        <f>_xlfn.XLOOKUP(AllDataCorrected[[#This Row],[Site Name]],Tables!$B$12:$B$78, Tables!D$12:D$78)</f>
        <v>-1.6245800000000008</v>
      </c>
      <c r="N221" t="s">
        <v>29</v>
      </c>
      <c r="O221">
        <v>870</v>
      </c>
      <c r="P221">
        <v>7.6</v>
      </c>
      <c r="Q221">
        <v>8</v>
      </c>
      <c r="R221" t="str">
        <f>IF(AllDataCorrected[[#This Row],[Nitrate (PPM)]]&gt;2, "4. Very high (&gt;2ppm)", IF(AllDataCorrected[[#This Row],[Nitrate (PPM)]]&gt;1, "3. High (1-2ppm)", IF(AllDataCorrected[[#This Row],[Nitrate (PPM)]]&gt;0.5, "2. Some evidence (0.5-1ppm)", IF(AllDataCorrected[[#This Row],[Nitrate (PPM)]]&gt;=0, "1. No evidence (&lt;0.5ppm)"))))</f>
        <v>4. Very high (&gt;2ppm)</v>
      </c>
      <c r="S221">
        <v>0.81</v>
      </c>
      <c r="T2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1">
        <v>0</v>
      </c>
    </row>
    <row r="222" spans="1:22" x14ac:dyDescent="0.25">
      <c r="A222" t="s">
        <v>381</v>
      </c>
      <c r="B222" s="2">
        <v>45256</v>
      </c>
      <c r="C222" t="str" cm="1">
        <f t="array" ref="C2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2">
        <f>YEAR(AllDataCorrected[[#This Row],[Date]])</f>
        <v>2023</v>
      </c>
      <c r="E222" s="1">
        <v>0.52083333333333337</v>
      </c>
      <c r="F2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2" t="str">
        <f>_xlfn.XLOOKUP(AllDataCorrected[[#This Row],[Location Name]], Locations[Location Name],Locations[Group As])</f>
        <v>Lucy's Mill Bridge</v>
      </c>
      <c r="H222" t="e" vm="2">
        <f>_xlfn.XLOOKUP(AllDataCorrected[[#This Row],[Site Name]],LocationsKey[Site Name],LocationsKey[District])</f>
        <v>#VALUE!</v>
      </c>
      <c r="I222" t="e" vm="7">
        <f>_xlfn.XLOOKUP(AllDataCorrected[[#This Row],[Site Name]],LocationsKey[Site Name],LocationsKey[Town])</f>
        <v>#VALUE!</v>
      </c>
      <c r="J222" t="str">
        <f>_xlfn.XLOOKUP(AllDataCorrected[[#This Row],[Site Name]],LocationsKey[Site Name], LocationsKey[Waterway])</f>
        <v>Avon</v>
      </c>
      <c r="K222" t="s">
        <v>216</v>
      </c>
      <c r="L222">
        <f>_xlfn.XLOOKUP(AllDataCorrected[[#This Row],[Site Name]],Tables!$B$12:$B$78, Tables!C$12:C$78)</f>
        <v>52.183699000000011</v>
      </c>
      <c r="M222">
        <f>_xlfn.XLOOKUP(AllDataCorrected[[#This Row],[Site Name]],Tables!$B$12:$B$78, Tables!D$12:D$78)</f>
        <v>-1.7078160000000004</v>
      </c>
      <c r="N222" t="s">
        <v>29</v>
      </c>
      <c r="P222">
        <v>9</v>
      </c>
      <c r="Q222">
        <v>10</v>
      </c>
      <c r="R222" t="str">
        <f>IF(AllDataCorrected[[#This Row],[Nitrate (PPM)]]&gt;2, "4. Very high (&gt;2ppm)", IF(AllDataCorrected[[#This Row],[Nitrate (PPM)]]&gt;1, "3. High (1-2ppm)", IF(AllDataCorrected[[#This Row],[Nitrate (PPM)]]&gt;0.5, "2. Some evidence (0.5-1ppm)", IF(AllDataCorrected[[#This Row],[Nitrate (PPM)]]&gt;=0, "1. No evidence (&lt;0.5ppm)"))))</f>
        <v>4. Very high (&gt;2ppm)</v>
      </c>
      <c r="S222">
        <v>0.37</v>
      </c>
      <c r="T2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2">
        <v>0.7</v>
      </c>
    </row>
    <row r="223" spans="1:22" x14ac:dyDescent="0.25">
      <c r="A223" t="s">
        <v>377</v>
      </c>
      <c r="B223" s="2">
        <v>45256</v>
      </c>
      <c r="C223" t="str" cm="1">
        <f t="array" ref="C2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3">
        <f>YEAR(AllDataCorrected[[#This Row],[Date]])</f>
        <v>2023</v>
      </c>
      <c r="E223" s="1">
        <v>0.54166666666666663</v>
      </c>
      <c r="F2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3" t="str">
        <f>_xlfn.XLOOKUP(AllDataCorrected[[#This Row],[Location Name]], Locations[Location Name],Locations[Group As])</f>
        <v>Clifford Chambers Mill Bridge</v>
      </c>
      <c r="H223" t="e" vm="2">
        <f>_xlfn.XLOOKUP(AllDataCorrected[[#This Row],[Site Name]],LocationsKey[Site Name],LocationsKey[District])</f>
        <v>#VALUE!</v>
      </c>
      <c r="I223" t="e" vm="12">
        <f>_xlfn.XLOOKUP(AllDataCorrected[[#This Row],[Site Name]],LocationsKey[Site Name],LocationsKey[Town])</f>
        <v>#VALUE!</v>
      </c>
      <c r="J223" t="str">
        <f>_xlfn.XLOOKUP(AllDataCorrected[[#This Row],[Site Name]],LocationsKey[Site Name], LocationsKey[Waterway])</f>
        <v>Stour</v>
      </c>
      <c r="K223" t="s">
        <v>263</v>
      </c>
      <c r="L223">
        <f>_xlfn.XLOOKUP(AllDataCorrected[[#This Row],[Site Name]],Tables!$B$12:$B$78, Tables!C$12:C$78)</f>
        <v>52.166358517241363</v>
      </c>
      <c r="M223">
        <f>_xlfn.XLOOKUP(AllDataCorrected[[#This Row],[Site Name]],Tables!$B$12:$B$78, Tables!D$12:D$78)</f>
        <v>-1.7080419310344837</v>
      </c>
      <c r="N223" t="s">
        <v>66</v>
      </c>
      <c r="O223">
        <v>704</v>
      </c>
      <c r="P223">
        <v>6.2</v>
      </c>
      <c r="Q223">
        <v>7</v>
      </c>
      <c r="R223" t="str">
        <f>IF(AllDataCorrected[[#This Row],[Nitrate (PPM)]]&gt;2, "4. Very high (&gt;2ppm)", IF(AllDataCorrected[[#This Row],[Nitrate (PPM)]]&gt;1, "3. High (1-2ppm)", IF(AllDataCorrected[[#This Row],[Nitrate (PPM)]]&gt;0.5, "2. Some evidence (0.5-1ppm)", IF(AllDataCorrected[[#This Row],[Nitrate (PPM)]]&gt;=0, "1. No evidence (&lt;0.5ppm)"))))</f>
        <v>4. Very high (&gt;2ppm)</v>
      </c>
      <c r="S223">
        <v>0.27</v>
      </c>
      <c r="T2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3">
        <v>0.7</v>
      </c>
    </row>
    <row r="224" spans="1:22" x14ac:dyDescent="0.25">
      <c r="A224" t="s">
        <v>378</v>
      </c>
      <c r="B224" s="2">
        <v>45256</v>
      </c>
      <c r="C224" t="str" cm="1">
        <f t="array" ref="C2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4">
        <f>YEAR(AllDataCorrected[[#This Row],[Date]])</f>
        <v>2023</v>
      </c>
      <c r="E224" s="1">
        <v>0.63541666666666663</v>
      </c>
      <c r="F2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4" t="str">
        <f>_xlfn.XLOOKUP(AllDataCorrected[[#This Row],[Location Name]], Locations[Location Name],Locations[Group As])</f>
        <v>Barton</v>
      </c>
      <c r="H224" t="e" vm="2">
        <f>_xlfn.XLOOKUP(AllDataCorrected[[#This Row],[Site Name]],LocationsKey[Site Name],LocationsKey[District])</f>
        <v>#VALUE!</v>
      </c>
      <c r="I224" t="str">
        <f>_xlfn.XLOOKUP(AllDataCorrected[[#This Row],[Site Name]],LocationsKey[Site Name],LocationsKey[Town])</f>
        <v>Barton</v>
      </c>
      <c r="J224" t="str">
        <f>_xlfn.XLOOKUP(AllDataCorrected[[#This Row],[Site Name]],LocationsKey[Site Name], LocationsKey[Waterway])</f>
        <v>Avon</v>
      </c>
      <c r="K224" t="s">
        <v>49</v>
      </c>
      <c r="L224">
        <f>_xlfn.XLOOKUP(AllDataCorrected[[#This Row],[Site Name]],Tables!$B$12:$B$78, Tables!C$12:C$78)</f>
        <v>52.16120999999999</v>
      </c>
      <c r="M224">
        <f>_xlfn.XLOOKUP(AllDataCorrected[[#This Row],[Site Name]],Tables!$B$12:$B$78, Tables!D$12:D$78)</f>
        <v>-1.8301499999999999</v>
      </c>
      <c r="N224" t="s">
        <v>29</v>
      </c>
      <c r="O224">
        <v>868</v>
      </c>
      <c r="P224">
        <v>7.1</v>
      </c>
      <c r="Q224">
        <v>7</v>
      </c>
      <c r="R224" t="str">
        <f>IF(AllDataCorrected[[#This Row],[Nitrate (PPM)]]&gt;2, "4. Very high (&gt;2ppm)", IF(AllDataCorrected[[#This Row],[Nitrate (PPM)]]&gt;1, "3. High (1-2ppm)", IF(AllDataCorrected[[#This Row],[Nitrate (PPM)]]&gt;0.5, "2. Some evidence (0.5-1ppm)", IF(AllDataCorrected[[#This Row],[Nitrate (PPM)]]&gt;=0, "1. No evidence (&lt;0.5ppm)"))))</f>
        <v>4. Very high (&gt;2ppm)</v>
      </c>
      <c r="S224">
        <v>0.67</v>
      </c>
      <c r="T2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4">
        <v>0</v>
      </c>
    </row>
    <row r="225" spans="1:22" x14ac:dyDescent="0.25">
      <c r="A225" t="s">
        <v>379</v>
      </c>
      <c r="B225" s="2">
        <v>45256</v>
      </c>
      <c r="C225" t="str" cm="1">
        <f t="array" ref="C2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5">
        <f>YEAR(AllDataCorrected[[#This Row],[Date]])</f>
        <v>2023</v>
      </c>
      <c r="E225" s="1">
        <v>0.6875</v>
      </c>
      <c r="F2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5" t="str">
        <f>_xlfn.XLOOKUP(AllDataCorrected[[#This Row],[Location Name]], Locations[Location Name],Locations[Group As])</f>
        <v>Welford Boat Station</v>
      </c>
      <c r="H225" t="e" vm="2">
        <f>_xlfn.XLOOKUP(AllDataCorrected[[#This Row],[Site Name]],LocationsKey[Site Name],LocationsKey[District])</f>
        <v>#VALUE!</v>
      </c>
      <c r="I225" t="e" vm="5">
        <f>_xlfn.XLOOKUP(AllDataCorrected[[#This Row],[Site Name]],LocationsKey[Site Name],LocationsKey[Town])</f>
        <v>#VALUE!</v>
      </c>
      <c r="J225" t="str">
        <f>_xlfn.XLOOKUP(AllDataCorrected[[#This Row],[Site Name]],LocationsKey[Site Name], LocationsKey[Waterway])</f>
        <v>Avon</v>
      </c>
      <c r="K225" t="s">
        <v>39</v>
      </c>
      <c r="L225">
        <f>_xlfn.XLOOKUP(AllDataCorrected[[#This Row],[Site Name]],Tables!$B$12:$B$78, Tables!C$12:C$78)</f>
        <v>52.175174684210546</v>
      </c>
      <c r="M225">
        <f>_xlfn.XLOOKUP(AllDataCorrected[[#This Row],[Site Name]],Tables!$B$12:$B$78, Tables!D$12:D$78)</f>
        <v>-1.7918551052631577</v>
      </c>
      <c r="N225" t="s">
        <v>29</v>
      </c>
      <c r="O225">
        <v>876</v>
      </c>
      <c r="P225">
        <v>8.3000000000000007</v>
      </c>
      <c r="Q225">
        <v>20</v>
      </c>
      <c r="R225" t="str">
        <f>IF(AllDataCorrected[[#This Row],[Nitrate (PPM)]]&gt;2, "4. Very high (&gt;2ppm)", IF(AllDataCorrected[[#This Row],[Nitrate (PPM)]]&gt;1, "3. High (1-2ppm)", IF(AllDataCorrected[[#This Row],[Nitrate (PPM)]]&gt;0.5, "2. Some evidence (0.5-1ppm)", IF(AllDataCorrected[[#This Row],[Nitrate (PPM)]]&gt;=0, "1. No evidence (&lt;0.5ppm)"))))</f>
        <v>4. Very high (&gt;2ppm)</v>
      </c>
      <c r="S225">
        <v>0.5</v>
      </c>
      <c r="T2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5">
        <v>0</v>
      </c>
      <c r="V225" t="s">
        <v>380</v>
      </c>
    </row>
    <row r="226" spans="1:22" x14ac:dyDescent="0.25">
      <c r="A226" t="s">
        <v>382</v>
      </c>
      <c r="B226" s="2">
        <v>45257</v>
      </c>
      <c r="C226" t="str" cm="1">
        <f t="array" ref="C2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6">
        <f>YEAR(AllDataCorrected[[#This Row],[Date]])</f>
        <v>2023</v>
      </c>
      <c r="E226" s="1">
        <v>0.40833333333333333</v>
      </c>
      <c r="F2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26" t="str">
        <f>_xlfn.XLOOKUP(AllDataCorrected[[#This Row],[Location Name]], Locations[Location Name],Locations[Group As])</f>
        <v>Stour Stretton-on-Fosse Village</v>
      </c>
      <c r="H226" t="e" vm="2">
        <f>_xlfn.XLOOKUP(AllDataCorrected[[#This Row],[Site Name]],LocationsKey[Site Name],LocationsKey[District])</f>
        <v>#VALUE!</v>
      </c>
      <c r="I226" t="e" vm="14">
        <f>_xlfn.XLOOKUP(AllDataCorrected[[#This Row],[Site Name]],LocationsKey[Site Name],LocationsKey[Town])</f>
        <v>#VALUE!</v>
      </c>
      <c r="J226" t="str">
        <f>_xlfn.XLOOKUP(AllDataCorrected[[#This Row],[Site Name]],LocationsKey[Site Name], LocationsKey[Waterway])</f>
        <v>Stour</v>
      </c>
      <c r="K226" t="s">
        <v>383</v>
      </c>
      <c r="L226">
        <f>_xlfn.XLOOKUP(AllDataCorrected[[#This Row],[Site Name]],Tables!$B$12:$B$78, Tables!C$12:C$78)</f>
        <v>52.046517558823524</v>
      </c>
      <c r="M226">
        <f>_xlfn.XLOOKUP(AllDataCorrected[[#This Row],[Site Name]],Tables!$B$12:$B$78, Tables!D$12:D$78)</f>
        <v>-1.6734143529411767</v>
      </c>
      <c r="N226" t="s">
        <v>66</v>
      </c>
      <c r="O226">
        <v>668</v>
      </c>
      <c r="P226">
        <v>9.3000000000000007</v>
      </c>
      <c r="Q226">
        <v>2</v>
      </c>
      <c r="R226" t="str">
        <f>IF(AllDataCorrected[[#This Row],[Nitrate (PPM)]]&gt;2, "4. Very high (&gt;2ppm)", IF(AllDataCorrected[[#This Row],[Nitrate (PPM)]]&gt;1, "3. High (1-2ppm)", IF(AllDataCorrected[[#This Row],[Nitrate (PPM)]]&gt;0.5, "2. Some evidence (0.5-1ppm)", IF(AllDataCorrected[[#This Row],[Nitrate (PPM)]]&gt;=0, "1. No evidence (&lt;0.5ppm)"))))</f>
        <v>3. High (1-2ppm)</v>
      </c>
      <c r="S226">
        <v>0.93</v>
      </c>
      <c r="T2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6">
        <v>0.2</v>
      </c>
    </row>
    <row r="227" spans="1:22" x14ac:dyDescent="0.25">
      <c r="A227" t="s">
        <v>384</v>
      </c>
      <c r="B227" s="2">
        <v>45257</v>
      </c>
      <c r="C227" t="str" cm="1">
        <f t="array" ref="C2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7">
        <f>YEAR(AllDataCorrected[[#This Row],[Date]])</f>
        <v>2023</v>
      </c>
      <c r="E227" s="1">
        <v>0.4201388888888889</v>
      </c>
      <c r="F2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27" t="str">
        <f>_xlfn.XLOOKUP(AllDataCorrected[[#This Row],[Location Name]], Locations[Location Name],Locations[Group As])</f>
        <v>Stour Stretton-on-Fosse Sewage Works</v>
      </c>
      <c r="H227" t="e" vm="2">
        <f>_xlfn.XLOOKUP(AllDataCorrected[[#This Row],[Site Name]],LocationsKey[Site Name],LocationsKey[District])</f>
        <v>#VALUE!</v>
      </c>
      <c r="I227" t="e" vm="14">
        <f>_xlfn.XLOOKUP(AllDataCorrected[[#This Row],[Site Name]],LocationsKey[Site Name],LocationsKey[Town])</f>
        <v>#VALUE!</v>
      </c>
      <c r="J227" t="str">
        <f>_xlfn.XLOOKUP(AllDataCorrected[[#This Row],[Site Name]],LocationsKey[Site Name], LocationsKey[Waterway])</f>
        <v>Stour</v>
      </c>
      <c r="K227" t="s">
        <v>335</v>
      </c>
      <c r="L227">
        <f>_xlfn.XLOOKUP(AllDataCorrected[[#This Row],[Site Name]],Tables!$B$12:$B$78, Tables!C$12:C$78)</f>
        <v>52.045653647058806</v>
      </c>
      <c r="M227">
        <f>_xlfn.XLOOKUP(AllDataCorrected[[#This Row],[Site Name]],Tables!$B$12:$B$78, Tables!D$12:D$78)</f>
        <v>-1.6719221470588235</v>
      </c>
      <c r="N227" t="s">
        <v>29</v>
      </c>
      <c r="O227">
        <v>703</v>
      </c>
      <c r="P227">
        <v>8.6</v>
      </c>
      <c r="Q227">
        <v>4</v>
      </c>
      <c r="R227" t="str">
        <f>IF(AllDataCorrected[[#This Row],[Nitrate (PPM)]]&gt;2, "4. Very high (&gt;2ppm)", IF(AllDataCorrected[[#This Row],[Nitrate (PPM)]]&gt;1, "3. High (1-2ppm)", IF(AllDataCorrected[[#This Row],[Nitrate (PPM)]]&gt;0.5, "2. Some evidence (0.5-1ppm)", IF(AllDataCorrected[[#This Row],[Nitrate (PPM)]]&gt;=0, "1. No evidence (&lt;0.5ppm)"))))</f>
        <v>4. Very high (&gt;2ppm)</v>
      </c>
      <c r="S227">
        <v>2.5</v>
      </c>
      <c r="T2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7">
        <v>0.3</v>
      </c>
    </row>
    <row r="228" spans="1:22" x14ac:dyDescent="0.25">
      <c r="A228" t="s">
        <v>385</v>
      </c>
      <c r="B228" s="2">
        <v>45257</v>
      </c>
      <c r="C228" t="str" cm="1">
        <f t="array" ref="C2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8">
        <f>YEAR(AllDataCorrected[[#This Row],[Date]])</f>
        <v>2023</v>
      </c>
      <c r="E228" s="1">
        <v>0.61319444444444449</v>
      </c>
      <c r="F2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8" t="str">
        <f>_xlfn.XLOOKUP(AllDataCorrected[[#This Row],[Location Name]], Locations[Location Name],Locations[Group As])</f>
        <v>Preston-on-Stour River Bridge</v>
      </c>
      <c r="H228" t="e" vm="2">
        <f>_xlfn.XLOOKUP(AllDataCorrected[[#This Row],[Site Name]],LocationsKey[Site Name],LocationsKey[District])</f>
        <v>#VALUE!</v>
      </c>
      <c r="I228" t="e" vm="9">
        <f>_xlfn.XLOOKUP(AllDataCorrected[[#This Row],[Site Name]],LocationsKey[Site Name],LocationsKey[Town])</f>
        <v>#VALUE!</v>
      </c>
      <c r="J228" t="str">
        <f>_xlfn.XLOOKUP(AllDataCorrected[[#This Row],[Site Name]],LocationsKey[Site Name], LocationsKey[Waterway])</f>
        <v>Stour</v>
      </c>
      <c r="K228" t="s">
        <v>163</v>
      </c>
      <c r="L228">
        <f>_xlfn.XLOOKUP(AllDataCorrected[[#This Row],[Site Name]],Tables!$B$12:$B$78, Tables!C$12:C$78)</f>
        <v>52.146529500000007</v>
      </c>
      <c r="M228">
        <f>_xlfn.XLOOKUP(AllDataCorrected[[#This Row],[Site Name]],Tables!$B$12:$B$78, Tables!D$12:D$78)</f>
        <v>-1.6996899999999999</v>
      </c>
      <c r="N228" t="s">
        <v>29</v>
      </c>
      <c r="O228">
        <v>659</v>
      </c>
      <c r="P228">
        <v>11.1</v>
      </c>
      <c r="Q228">
        <v>5</v>
      </c>
      <c r="R228" t="str">
        <f>IF(AllDataCorrected[[#This Row],[Nitrate (PPM)]]&gt;2, "4. Very high (&gt;2ppm)", IF(AllDataCorrected[[#This Row],[Nitrate (PPM)]]&gt;1, "3. High (1-2ppm)", IF(AllDataCorrected[[#This Row],[Nitrate (PPM)]]&gt;0.5, "2. Some evidence (0.5-1ppm)", IF(AllDataCorrected[[#This Row],[Nitrate (PPM)]]&gt;=0, "1. No evidence (&lt;0.5ppm)"))))</f>
        <v>4. Very high (&gt;2ppm)</v>
      </c>
      <c r="S228">
        <v>0.28999999999999998</v>
      </c>
      <c r="T2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8">
        <v>1.5</v>
      </c>
    </row>
    <row r="229" spans="1:22" x14ac:dyDescent="0.25">
      <c r="A229" t="s">
        <v>386</v>
      </c>
      <c r="B229" s="2">
        <v>45258</v>
      </c>
      <c r="C229" t="str" cm="1">
        <f t="array" ref="C2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9">
        <f>YEAR(AllDataCorrected[[#This Row],[Date]])</f>
        <v>2023</v>
      </c>
      <c r="E229" s="1">
        <v>0.64583333333333337</v>
      </c>
      <c r="F2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9" t="str">
        <f>_xlfn.XLOOKUP(AllDataCorrected[[#This Row],[Location Name]], Locations[Location Name],Locations[Group As])</f>
        <v>Weston-on-Avon</v>
      </c>
      <c r="H229" t="e" vm="2">
        <f>_xlfn.XLOOKUP(AllDataCorrected[[#This Row],[Site Name]],LocationsKey[Site Name],LocationsKey[District])</f>
        <v>#VALUE!</v>
      </c>
      <c r="I229" t="e" vm="6">
        <f>_xlfn.XLOOKUP(AllDataCorrected[[#This Row],[Site Name]],LocationsKey[Site Name],LocationsKey[Town])</f>
        <v>#VALUE!</v>
      </c>
      <c r="J229" t="str">
        <f>_xlfn.XLOOKUP(AllDataCorrected[[#This Row],[Site Name]],LocationsKey[Site Name], LocationsKey[Waterway])</f>
        <v>Avon</v>
      </c>
      <c r="K229" t="s">
        <v>41</v>
      </c>
      <c r="L229">
        <f>_xlfn.XLOOKUP(AllDataCorrected[[#This Row],[Site Name]],Tables!$B$12:$B$78, Tables!C$12:C$78)</f>
        <v>52.167429999999996</v>
      </c>
      <c r="M229">
        <f>_xlfn.XLOOKUP(AllDataCorrected[[#This Row],[Site Name]],Tables!$B$12:$B$78, Tables!D$12:D$78)</f>
        <v>-1.7744752941176474</v>
      </c>
      <c r="N229" t="s">
        <v>29</v>
      </c>
      <c r="O229">
        <v>900</v>
      </c>
      <c r="P229">
        <v>7.4</v>
      </c>
      <c r="Q229">
        <v>12</v>
      </c>
      <c r="R229" t="str">
        <f>IF(AllDataCorrected[[#This Row],[Nitrate (PPM)]]&gt;2, "4. Very high (&gt;2ppm)", IF(AllDataCorrected[[#This Row],[Nitrate (PPM)]]&gt;1, "3. High (1-2ppm)", IF(AllDataCorrected[[#This Row],[Nitrate (PPM)]]&gt;0.5, "2. Some evidence (0.5-1ppm)", IF(AllDataCorrected[[#This Row],[Nitrate (PPM)]]&gt;=0, "1. No evidence (&lt;0.5ppm)"))))</f>
        <v>4. Very high (&gt;2ppm)</v>
      </c>
      <c r="S229">
        <v>0.53</v>
      </c>
      <c r="T2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9">
        <v>0</v>
      </c>
    </row>
    <row r="230" spans="1:22" x14ac:dyDescent="0.25">
      <c r="A230" t="s">
        <v>387</v>
      </c>
      <c r="B230" s="2">
        <v>45259</v>
      </c>
      <c r="C230" t="str" cm="1">
        <f t="array" ref="C2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0">
        <f>YEAR(AllDataCorrected[[#This Row],[Date]])</f>
        <v>2023</v>
      </c>
      <c r="E230" s="1">
        <v>0.66666666666666663</v>
      </c>
      <c r="F2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0" t="str">
        <f>_xlfn.XLOOKUP(AllDataCorrected[[#This Row],[Location Name]], Locations[Location Name],Locations[Group As])</f>
        <v>Stour Newbold Mill</v>
      </c>
      <c r="H230" t="e" vm="2">
        <f>_xlfn.XLOOKUP(AllDataCorrected[[#This Row],[Site Name]],LocationsKey[Site Name],LocationsKey[District])</f>
        <v>#VALUE!</v>
      </c>
      <c r="I230" t="e" vm="8">
        <f>_xlfn.XLOOKUP(AllDataCorrected[[#This Row],[Site Name]],LocationsKey[Site Name],LocationsKey[Town])</f>
        <v>#VALUE!</v>
      </c>
      <c r="J230" t="str">
        <f>_xlfn.XLOOKUP(AllDataCorrected[[#This Row],[Site Name]],LocationsKey[Site Name], LocationsKey[Waterway])</f>
        <v>Stour</v>
      </c>
      <c r="K230" t="s">
        <v>140</v>
      </c>
      <c r="L230">
        <f>_xlfn.XLOOKUP(AllDataCorrected[[#This Row],[Site Name]],Tables!$B$12:$B$78, Tables!C$12:C$78)</f>
        <v>52.113052370370362</v>
      </c>
      <c r="M230">
        <f>_xlfn.XLOOKUP(AllDataCorrected[[#This Row],[Site Name]],Tables!$B$12:$B$78, Tables!D$12:D$78)</f>
        <v>-1.6333685185185185</v>
      </c>
      <c r="N230" t="s">
        <v>29</v>
      </c>
      <c r="O230">
        <v>667</v>
      </c>
      <c r="P230">
        <v>12</v>
      </c>
      <c r="Q230">
        <v>5</v>
      </c>
      <c r="R230" t="str">
        <f>IF(AllDataCorrected[[#This Row],[Nitrate (PPM)]]&gt;2, "4. Very high (&gt;2ppm)", IF(AllDataCorrected[[#This Row],[Nitrate (PPM)]]&gt;1, "3. High (1-2ppm)", IF(AllDataCorrected[[#This Row],[Nitrate (PPM)]]&gt;0.5, "2. Some evidence (0.5-1ppm)", IF(AllDataCorrected[[#This Row],[Nitrate (PPM)]]&gt;=0, "1. No evidence (&lt;0.5ppm)"))))</f>
        <v>4. Very high (&gt;2ppm)</v>
      </c>
      <c r="S230">
        <v>0.2</v>
      </c>
      <c r="T2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0">
        <v>2.5</v>
      </c>
      <c r="V230" t="s">
        <v>388</v>
      </c>
    </row>
    <row r="231" spans="1:22" x14ac:dyDescent="0.25">
      <c r="A231" t="s">
        <v>389</v>
      </c>
      <c r="B231" s="2">
        <v>45260</v>
      </c>
      <c r="C231" t="str" cm="1">
        <f t="array" ref="C2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1">
        <f>YEAR(AllDataCorrected[[#This Row],[Date]])</f>
        <v>2023</v>
      </c>
      <c r="E231" s="1">
        <v>0.54722222222222228</v>
      </c>
      <c r="F2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1" t="str">
        <f>_xlfn.XLOOKUP(AllDataCorrected[[#This Row],[Location Name]], Locations[Location Name],Locations[Group As])</f>
        <v>Stour Shipston Mill Bridge</v>
      </c>
      <c r="H231" t="e" vm="2">
        <f>_xlfn.XLOOKUP(AllDataCorrected[[#This Row],[Site Name]],LocationsKey[Site Name],LocationsKey[District])</f>
        <v>#VALUE!</v>
      </c>
      <c r="I231" t="e" vm="10">
        <f>_xlfn.XLOOKUP(AllDataCorrected[[#This Row],[Site Name]],LocationsKey[Site Name],LocationsKey[Town])</f>
        <v>#VALUE!</v>
      </c>
      <c r="J231" t="str">
        <f>_xlfn.XLOOKUP(AllDataCorrected[[#This Row],[Site Name]],LocationsKey[Site Name], LocationsKey[Waterway])</f>
        <v>Stour</v>
      </c>
      <c r="K231" t="s">
        <v>319</v>
      </c>
      <c r="L231">
        <f>_xlfn.XLOOKUP(AllDataCorrected[[#This Row],[Site Name]],Tables!$B$12:$B$78, Tables!C$12:C$78)</f>
        <v>52.06201572727273</v>
      </c>
      <c r="M231">
        <f>_xlfn.XLOOKUP(AllDataCorrected[[#This Row],[Site Name]],Tables!$B$12:$B$78, Tables!D$12:D$78)</f>
        <v>-1.6218167272727273</v>
      </c>
      <c r="N231" t="s">
        <v>23</v>
      </c>
      <c r="O231">
        <v>623</v>
      </c>
      <c r="P231">
        <v>6.1</v>
      </c>
      <c r="Q231">
        <v>5</v>
      </c>
      <c r="R231" t="str">
        <f>IF(AllDataCorrected[[#This Row],[Nitrate (PPM)]]&gt;2, "4. Very high (&gt;2ppm)", IF(AllDataCorrected[[#This Row],[Nitrate (PPM)]]&gt;1, "3. High (1-2ppm)", IF(AllDataCorrected[[#This Row],[Nitrate (PPM)]]&gt;0.5, "2. Some evidence (0.5-1ppm)", IF(AllDataCorrected[[#This Row],[Nitrate (PPM)]]&gt;=0, "1. No evidence (&lt;0.5ppm)"))))</f>
        <v>4. Very high (&gt;2ppm)</v>
      </c>
      <c r="S231">
        <v>0.24</v>
      </c>
      <c r="T2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1">
        <v>1</v>
      </c>
    </row>
    <row r="232" spans="1:22" x14ac:dyDescent="0.25">
      <c r="A232" t="s">
        <v>390</v>
      </c>
      <c r="B232" s="2">
        <v>45260</v>
      </c>
      <c r="C232" t="str" cm="1">
        <f t="array" ref="C2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2">
        <f>YEAR(AllDataCorrected[[#This Row],[Date]])</f>
        <v>2023</v>
      </c>
      <c r="E232" s="1">
        <v>0.63541666666666663</v>
      </c>
      <c r="F23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2" t="str">
        <f>_xlfn.XLOOKUP(AllDataCorrected[[#This Row],[Location Name]], Locations[Location Name],Locations[Group As])</f>
        <v>Swilgate</v>
      </c>
      <c r="H232" t="e" vm="1">
        <f>_xlfn.XLOOKUP(AllDataCorrected[[#This Row],[Site Name]],LocationsKey[Site Name],LocationsKey[District])</f>
        <v>#VALUE!</v>
      </c>
      <c r="I232" t="e" vm="1">
        <f>_xlfn.XLOOKUP(AllDataCorrected[[#This Row],[Site Name]],LocationsKey[Site Name],LocationsKey[Town])</f>
        <v>#VALUE!</v>
      </c>
      <c r="J232" t="str">
        <f>_xlfn.XLOOKUP(AllDataCorrected[[#This Row],[Site Name]],LocationsKey[Site Name], LocationsKey[Waterway])</f>
        <v>Swilgate</v>
      </c>
      <c r="K232" t="s">
        <v>84</v>
      </c>
      <c r="L232">
        <f>_xlfn.XLOOKUP(AllDataCorrected[[#This Row],[Site Name]],Tables!$B$12:$B$78, Tables!C$12:C$78)</f>
        <v>51.9885442</v>
      </c>
      <c r="M232">
        <f>_xlfn.XLOOKUP(AllDataCorrected[[#This Row],[Site Name]],Tables!$B$12:$B$78, Tables!D$12:D$78)</f>
        <v>-2.1639010000000001</v>
      </c>
      <c r="N232" t="s">
        <v>23</v>
      </c>
      <c r="O232">
        <v>1006</v>
      </c>
      <c r="P232">
        <v>7.4</v>
      </c>
      <c r="Q232">
        <v>3</v>
      </c>
      <c r="R232" t="str">
        <f>IF(AllDataCorrected[[#This Row],[Nitrate (PPM)]]&gt;2, "4. Very high (&gt;2ppm)", IF(AllDataCorrected[[#This Row],[Nitrate (PPM)]]&gt;1, "3. High (1-2ppm)", IF(AllDataCorrected[[#This Row],[Nitrate (PPM)]]&gt;0.5, "2. Some evidence (0.5-1ppm)", IF(AllDataCorrected[[#This Row],[Nitrate (PPM)]]&gt;=0, "1. No evidence (&lt;0.5ppm)"))))</f>
        <v>4. Very high (&gt;2ppm)</v>
      </c>
      <c r="S232">
        <v>0.55000000000000004</v>
      </c>
      <c r="T2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2">
        <v>0</v>
      </c>
    </row>
    <row r="233" spans="1:22" x14ac:dyDescent="0.25">
      <c r="A233" t="s">
        <v>392</v>
      </c>
      <c r="B233" s="2">
        <v>45262</v>
      </c>
      <c r="C233" t="str" cm="1">
        <f t="array" ref="C2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3">
        <f>YEAR(AllDataCorrected[[#This Row],[Date]])</f>
        <v>2023</v>
      </c>
      <c r="E233" s="1">
        <v>0.45833333333333331</v>
      </c>
      <c r="F2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3" t="str">
        <f>_xlfn.XLOOKUP(AllDataCorrected[[#This Row],[Location Name]], Locations[Location Name],Locations[Group As])</f>
        <v>Avonbank Drive</v>
      </c>
      <c r="H233" t="e" vm="2">
        <f>_xlfn.XLOOKUP(AllDataCorrected[[#This Row],[Site Name]],LocationsKey[Site Name],LocationsKey[District])</f>
        <v>#VALUE!</v>
      </c>
      <c r="I233" t="e" vm="7">
        <f>_xlfn.XLOOKUP(AllDataCorrected[[#This Row],[Site Name]],LocationsKey[Site Name],LocationsKey[Town])</f>
        <v>#VALUE!</v>
      </c>
      <c r="J233" t="str">
        <f>_xlfn.XLOOKUP(AllDataCorrected[[#This Row],[Site Name]],LocationsKey[Site Name], LocationsKey[Waterway])</f>
        <v>Avon</v>
      </c>
      <c r="K233" t="s">
        <v>103</v>
      </c>
      <c r="L233">
        <f>_xlfn.XLOOKUP(AllDataCorrected[[#This Row],[Site Name]],Tables!$B$12:$B$78, Tables!C$12:C$78)</f>
        <v>52.177054657142854</v>
      </c>
      <c r="M233">
        <f>_xlfn.XLOOKUP(AllDataCorrected[[#This Row],[Site Name]],Tables!$B$12:$B$78, Tables!D$12:D$78)</f>
        <v>-1.7358669999999996</v>
      </c>
      <c r="N233" t="s">
        <v>66</v>
      </c>
      <c r="O233">
        <v>902</v>
      </c>
      <c r="P233">
        <v>10.3</v>
      </c>
      <c r="Q233">
        <v>5</v>
      </c>
      <c r="R233" t="str">
        <f>IF(AllDataCorrected[[#This Row],[Nitrate (PPM)]]&gt;2, "4. Very high (&gt;2ppm)", IF(AllDataCorrected[[#This Row],[Nitrate (PPM)]]&gt;1, "3. High (1-2ppm)", IF(AllDataCorrected[[#This Row],[Nitrate (PPM)]]&gt;0.5, "2. Some evidence (0.5-1ppm)", IF(AllDataCorrected[[#This Row],[Nitrate (PPM)]]&gt;=0, "1. No evidence (&lt;0.5ppm)"))))</f>
        <v>4. Very high (&gt;2ppm)</v>
      </c>
      <c r="S233">
        <v>0.57999999999999996</v>
      </c>
      <c r="T2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3">
        <v>0.71</v>
      </c>
    </row>
    <row r="234" spans="1:22" x14ac:dyDescent="0.25">
      <c r="A234" t="s">
        <v>391</v>
      </c>
      <c r="B234" s="2">
        <v>45262</v>
      </c>
      <c r="C234" t="str" cm="1">
        <f t="array" ref="C2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4">
        <f>YEAR(AllDataCorrected[[#This Row],[Date]])</f>
        <v>2023</v>
      </c>
      <c r="E234" s="1">
        <v>0.45833333333333331</v>
      </c>
      <c r="F2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4" t="str">
        <f>_xlfn.XLOOKUP(AllDataCorrected[[#This Row],[Location Name]], Locations[Location Name],Locations[Group As])</f>
        <v>Pitch 16</v>
      </c>
      <c r="H234" t="e" vm="2">
        <f>_xlfn.XLOOKUP(AllDataCorrected[[#This Row],[Site Name]],LocationsKey[Site Name],LocationsKey[District])</f>
        <v>#VALUE!</v>
      </c>
      <c r="I234" t="e" vm="7">
        <f>_xlfn.XLOOKUP(AllDataCorrected[[#This Row],[Site Name]],LocationsKey[Site Name],LocationsKey[Town])</f>
        <v>#VALUE!</v>
      </c>
      <c r="J234" t="str">
        <f>_xlfn.XLOOKUP(AllDataCorrected[[#This Row],[Site Name]],LocationsKey[Site Name], LocationsKey[Waterway])</f>
        <v>Avon</v>
      </c>
      <c r="K234" t="s">
        <v>69</v>
      </c>
      <c r="L234">
        <f>_xlfn.XLOOKUP(AllDataCorrected[[#This Row],[Site Name]],Tables!$B$12:$B$78, Tables!C$12:C$78)</f>
        <v>52.17355294117646</v>
      </c>
      <c r="M234">
        <f>_xlfn.XLOOKUP(AllDataCorrected[[#This Row],[Site Name]],Tables!$B$12:$B$78, Tables!D$12:D$78)</f>
        <v>-1.7433199411764708</v>
      </c>
      <c r="N234" t="s">
        <v>29</v>
      </c>
      <c r="O234">
        <v>702</v>
      </c>
      <c r="P234">
        <v>9.3000000000000007</v>
      </c>
      <c r="Q234">
        <v>5</v>
      </c>
      <c r="R234" t="str">
        <f>IF(AllDataCorrected[[#This Row],[Nitrate (PPM)]]&gt;2, "4. Very high (&gt;2ppm)", IF(AllDataCorrected[[#This Row],[Nitrate (PPM)]]&gt;1, "3. High (1-2ppm)", IF(AllDataCorrected[[#This Row],[Nitrate (PPM)]]&gt;0.5, "2. Some evidence (0.5-1ppm)", IF(AllDataCorrected[[#This Row],[Nitrate (PPM)]]&gt;=0, "1. No evidence (&lt;0.5ppm)"))))</f>
        <v>4. Very high (&gt;2ppm)</v>
      </c>
      <c r="S234">
        <v>0.54</v>
      </c>
      <c r="T2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4">
        <v>0.71</v>
      </c>
    </row>
    <row r="235" spans="1:22" x14ac:dyDescent="0.25">
      <c r="A235" t="s">
        <v>393</v>
      </c>
      <c r="B235" s="2">
        <v>45262</v>
      </c>
      <c r="C235" t="str" cm="1">
        <f t="array" ref="C2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5">
        <f>YEAR(AllDataCorrected[[#This Row],[Date]])</f>
        <v>2023</v>
      </c>
      <c r="E235" s="1">
        <v>0.52083333333333337</v>
      </c>
      <c r="F2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5" t="str">
        <f>_xlfn.XLOOKUP(AllDataCorrected[[#This Row],[Location Name]], Locations[Location Name],Locations[Group As])</f>
        <v>Carrant Bredon Rd</v>
      </c>
      <c r="H235" t="e" vm="1">
        <f>_xlfn.XLOOKUP(AllDataCorrected[[#This Row],[Site Name]],LocationsKey[Site Name],LocationsKey[District])</f>
        <v>#VALUE!</v>
      </c>
      <c r="I235" t="e" vm="1">
        <f>_xlfn.XLOOKUP(AllDataCorrected[[#This Row],[Site Name]],LocationsKey[Site Name],LocationsKey[Town])</f>
        <v>#VALUE!</v>
      </c>
      <c r="J235" t="str">
        <f>_xlfn.XLOOKUP(AllDataCorrected[[#This Row],[Site Name]],LocationsKey[Site Name], LocationsKey[Waterway])</f>
        <v>Carrant</v>
      </c>
      <c r="K235" t="s">
        <v>90</v>
      </c>
      <c r="L235">
        <f>_xlfn.XLOOKUP(AllDataCorrected[[#This Row],[Site Name]],Tables!$B$12:$B$78, Tables!C$12:C$78)</f>
        <v>51.996416567567572</v>
      </c>
      <c r="M235">
        <f>_xlfn.XLOOKUP(AllDataCorrected[[#This Row],[Site Name]],Tables!$B$12:$B$78, Tables!D$12:D$78)</f>
        <v>-2.1556626756756749</v>
      </c>
      <c r="N235" t="s">
        <v>23</v>
      </c>
      <c r="O235">
        <v>802</v>
      </c>
      <c r="P235">
        <v>5.0999999999999996</v>
      </c>
      <c r="Q235">
        <v>5</v>
      </c>
      <c r="R235" t="str">
        <f>IF(AllDataCorrected[[#This Row],[Nitrate (PPM)]]&gt;2, "4. Very high (&gt;2ppm)", IF(AllDataCorrected[[#This Row],[Nitrate (PPM)]]&gt;1, "3. High (1-2ppm)", IF(AllDataCorrected[[#This Row],[Nitrate (PPM)]]&gt;0.5, "2. Some evidence (0.5-1ppm)", IF(AllDataCorrected[[#This Row],[Nitrate (PPM)]]&gt;=0, "1. No evidence (&lt;0.5ppm)"))))</f>
        <v>4. Very high (&gt;2ppm)</v>
      </c>
      <c r="S235">
        <v>0.28000000000000003</v>
      </c>
      <c r="T2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5">
        <v>0</v>
      </c>
    </row>
    <row r="236" spans="1:22" x14ac:dyDescent="0.25">
      <c r="A236" t="s">
        <v>394</v>
      </c>
      <c r="B236" s="2">
        <v>45263</v>
      </c>
      <c r="C236" t="str" cm="1">
        <f t="array" ref="C2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6">
        <f>YEAR(AllDataCorrected[[#This Row],[Date]])</f>
        <v>2023</v>
      </c>
      <c r="E236" s="1">
        <v>0.38194444444444442</v>
      </c>
      <c r="F2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6" t="str">
        <f>_xlfn.XLOOKUP(AllDataCorrected[[#This Row],[Location Name]], Locations[Location Name],Locations[Group As])</f>
        <v>Abbey Mill</v>
      </c>
      <c r="H236" t="e" vm="1">
        <f>_xlfn.XLOOKUP(AllDataCorrected[[#This Row],[Site Name]],LocationsKey[Site Name],LocationsKey[District])</f>
        <v>#VALUE!</v>
      </c>
      <c r="I236" t="e" vm="1">
        <f>_xlfn.XLOOKUP(AllDataCorrected[[#This Row],[Site Name]],LocationsKey[Site Name],LocationsKey[Town])</f>
        <v>#VALUE!</v>
      </c>
      <c r="J236" t="str">
        <f>_xlfn.XLOOKUP(AllDataCorrected[[#This Row],[Site Name]],LocationsKey[Site Name], LocationsKey[Waterway])</f>
        <v>Avon</v>
      </c>
      <c r="K236" t="s">
        <v>22</v>
      </c>
      <c r="L236">
        <f>_xlfn.XLOOKUP(AllDataCorrected[[#This Row],[Site Name]],Tables!$B$12:$B$78, Tables!C$12:C$78)</f>
        <v>51.991389555555564</v>
      </c>
      <c r="M236">
        <f>_xlfn.XLOOKUP(AllDataCorrected[[#This Row],[Site Name]],Tables!$B$12:$B$78, Tables!D$12:D$78)</f>
        <v>-2.1620794000000005</v>
      </c>
      <c r="N236" t="s">
        <v>23</v>
      </c>
      <c r="O236">
        <v>804</v>
      </c>
      <c r="P236">
        <v>6.7</v>
      </c>
      <c r="Q236">
        <v>5</v>
      </c>
      <c r="R236" t="str">
        <f>IF(AllDataCorrected[[#This Row],[Nitrate (PPM)]]&gt;2, "4. Very high (&gt;2ppm)", IF(AllDataCorrected[[#This Row],[Nitrate (PPM)]]&gt;1, "3. High (1-2ppm)", IF(AllDataCorrected[[#This Row],[Nitrate (PPM)]]&gt;0.5, "2. Some evidence (0.5-1ppm)", IF(AllDataCorrected[[#This Row],[Nitrate (PPM)]]&gt;=0, "1. No evidence (&lt;0.5ppm)"))))</f>
        <v>4. Very high (&gt;2ppm)</v>
      </c>
      <c r="S236">
        <v>0.7</v>
      </c>
      <c r="T2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6">
        <v>0</v>
      </c>
    </row>
    <row r="237" spans="1:22" x14ac:dyDescent="0.25">
      <c r="A237" t="s">
        <v>395</v>
      </c>
      <c r="B237" s="2">
        <v>45263</v>
      </c>
      <c r="C237" t="str" cm="1">
        <f t="array" ref="C2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7">
        <f>YEAR(AllDataCorrected[[#This Row],[Date]])</f>
        <v>2023</v>
      </c>
      <c r="E237" s="1">
        <v>0.41666666666666669</v>
      </c>
      <c r="F2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7" t="str">
        <f>_xlfn.XLOOKUP(AllDataCorrected[[#This Row],[Location Name]], Locations[Location Name],Locations[Group As])</f>
        <v>Barton</v>
      </c>
      <c r="H237" t="e" vm="2">
        <f>_xlfn.XLOOKUP(AllDataCorrected[[#This Row],[Site Name]],LocationsKey[Site Name],LocationsKey[District])</f>
        <v>#VALUE!</v>
      </c>
      <c r="I237" t="str">
        <f>_xlfn.XLOOKUP(AllDataCorrected[[#This Row],[Site Name]],LocationsKey[Site Name],LocationsKey[Town])</f>
        <v>Barton</v>
      </c>
      <c r="J237" t="str">
        <f>_xlfn.XLOOKUP(AllDataCorrected[[#This Row],[Site Name]],LocationsKey[Site Name], LocationsKey[Waterway])</f>
        <v>Avon</v>
      </c>
      <c r="K237" t="s">
        <v>49</v>
      </c>
      <c r="L237">
        <f>_xlfn.XLOOKUP(AllDataCorrected[[#This Row],[Site Name]],Tables!$B$12:$B$78, Tables!C$12:C$78)</f>
        <v>52.16120999999999</v>
      </c>
      <c r="M237">
        <f>_xlfn.XLOOKUP(AllDataCorrected[[#This Row],[Site Name]],Tables!$B$12:$B$78, Tables!D$12:D$78)</f>
        <v>-1.8301499999999999</v>
      </c>
      <c r="N237" t="s">
        <v>29</v>
      </c>
      <c r="O237">
        <v>754</v>
      </c>
      <c r="P237">
        <v>7.1</v>
      </c>
      <c r="Q237">
        <v>7</v>
      </c>
      <c r="R237" t="str">
        <f>IF(AllDataCorrected[[#This Row],[Nitrate (PPM)]]&gt;2, "4. Very high (&gt;2ppm)", IF(AllDataCorrected[[#This Row],[Nitrate (PPM)]]&gt;1, "3. High (1-2ppm)", IF(AllDataCorrected[[#This Row],[Nitrate (PPM)]]&gt;0.5, "2. Some evidence (0.5-1ppm)", IF(AllDataCorrected[[#This Row],[Nitrate (PPM)]]&gt;=0, "1. No evidence (&lt;0.5ppm)"))))</f>
        <v>4. Very high (&gt;2ppm)</v>
      </c>
      <c r="S237">
        <v>0.52</v>
      </c>
      <c r="T2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7">
        <v>0</v>
      </c>
    </row>
    <row r="238" spans="1:22" x14ac:dyDescent="0.25">
      <c r="A238" t="s">
        <v>396</v>
      </c>
      <c r="B238" s="2">
        <v>45263</v>
      </c>
      <c r="C238" t="str" cm="1">
        <f t="array" ref="C2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8">
        <f>YEAR(AllDataCorrected[[#This Row],[Date]])</f>
        <v>2023</v>
      </c>
      <c r="E238" s="1">
        <v>0.45833333333333331</v>
      </c>
      <c r="F2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8" t="str">
        <f>_xlfn.XLOOKUP(AllDataCorrected[[#This Row],[Location Name]], Locations[Location Name],Locations[Group As])</f>
        <v>Alveston Weir</v>
      </c>
      <c r="H238" t="e" vm="2">
        <f>_xlfn.XLOOKUP(AllDataCorrected[[#This Row],[Site Name]],LocationsKey[Site Name],LocationsKey[District])</f>
        <v>#VALUE!</v>
      </c>
      <c r="I238" t="e" vm="13">
        <f>_xlfn.XLOOKUP(AllDataCorrected[[#This Row],[Site Name]],LocationsKey[Site Name],LocationsKey[Town])</f>
        <v>#VALUE!</v>
      </c>
      <c r="J238" t="str">
        <f>_xlfn.XLOOKUP(AllDataCorrected[[#This Row],[Site Name]],LocationsKey[Site Name], LocationsKey[Waterway])</f>
        <v>Avon</v>
      </c>
      <c r="K238" t="s">
        <v>286</v>
      </c>
      <c r="L238">
        <f>_xlfn.XLOOKUP(AllDataCorrected[[#This Row],[Site Name]],Tables!$B$12:$B$78, Tables!C$12:C$78)</f>
        <v>52.212366690476216</v>
      </c>
      <c r="M238">
        <f>_xlfn.XLOOKUP(AllDataCorrected[[#This Row],[Site Name]],Tables!$B$12:$B$78, Tables!D$12:D$78)</f>
        <v>-1.6602567619047619</v>
      </c>
      <c r="N238" t="s">
        <v>29</v>
      </c>
      <c r="O238">
        <v>7</v>
      </c>
      <c r="P238">
        <v>7.6</v>
      </c>
      <c r="Q238">
        <v>5</v>
      </c>
      <c r="R238" t="str">
        <f>IF(AllDataCorrected[[#This Row],[Nitrate (PPM)]]&gt;2, "4. Very high (&gt;2ppm)", IF(AllDataCorrected[[#This Row],[Nitrate (PPM)]]&gt;1, "3. High (1-2ppm)", IF(AllDataCorrected[[#This Row],[Nitrate (PPM)]]&gt;0.5, "2. Some evidence (0.5-1ppm)", IF(AllDataCorrected[[#This Row],[Nitrate (PPM)]]&gt;=0, "1. No evidence (&lt;0.5ppm)"))))</f>
        <v>4. Very high (&gt;2ppm)</v>
      </c>
      <c r="S238">
        <v>0.52</v>
      </c>
      <c r="T2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8">
        <v>1</v>
      </c>
      <c r="V238" t="s">
        <v>397</v>
      </c>
    </row>
    <row r="239" spans="1:22" x14ac:dyDescent="0.25">
      <c r="A239" t="s">
        <v>398</v>
      </c>
      <c r="B239" s="2">
        <v>45263</v>
      </c>
      <c r="C239" t="str" cm="1">
        <f t="array" ref="C2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9">
        <f>YEAR(AllDataCorrected[[#This Row],[Date]])</f>
        <v>2023</v>
      </c>
      <c r="E239" s="1">
        <v>0.45833333333333331</v>
      </c>
      <c r="F2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9" t="str">
        <f>_xlfn.XLOOKUP(AllDataCorrected[[#This Row],[Location Name]], Locations[Location Name],Locations[Group As])</f>
        <v>Swiffen Bank</v>
      </c>
      <c r="H239" t="e" vm="2">
        <f>_xlfn.XLOOKUP(AllDataCorrected[[#This Row],[Site Name]],LocationsKey[Site Name],LocationsKey[District])</f>
        <v>#VALUE!</v>
      </c>
      <c r="I239" t="e" vm="13">
        <f>_xlfn.XLOOKUP(AllDataCorrected[[#This Row],[Site Name]],LocationsKey[Site Name],LocationsKey[Town])</f>
        <v>#VALUE!</v>
      </c>
      <c r="J239" t="str">
        <f>_xlfn.XLOOKUP(AllDataCorrected[[#This Row],[Site Name]],LocationsKey[Site Name], LocationsKey[Waterway])</f>
        <v>Avon</v>
      </c>
      <c r="K239" t="s">
        <v>284</v>
      </c>
      <c r="L239">
        <f>_xlfn.XLOOKUP(AllDataCorrected[[#This Row],[Site Name]],Tables!$B$12:$B$78, Tables!C$12:C$78)</f>
        <v>52.206446825000015</v>
      </c>
      <c r="M239">
        <f>_xlfn.XLOOKUP(AllDataCorrected[[#This Row],[Site Name]],Tables!$B$12:$B$78, Tables!D$12:D$78)</f>
        <v>-1.6541684000000003</v>
      </c>
      <c r="N239" t="s">
        <v>29</v>
      </c>
      <c r="O239">
        <v>731</v>
      </c>
      <c r="P239">
        <v>7.2</v>
      </c>
      <c r="Q239">
        <v>5</v>
      </c>
      <c r="R239" t="str">
        <f>IF(AllDataCorrected[[#This Row],[Nitrate (PPM)]]&gt;2, "4. Very high (&gt;2ppm)", IF(AllDataCorrected[[#This Row],[Nitrate (PPM)]]&gt;1, "3. High (1-2ppm)", IF(AllDataCorrected[[#This Row],[Nitrate (PPM)]]&gt;0.5, "2. Some evidence (0.5-1ppm)", IF(AllDataCorrected[[#This Row],[Nitrate (PPM)]]&gt;=0, "1. No evidence (&lt;0.5ppm)"))))</f>
        <v>4. Very high (&gt;2ppm)</v>
      </c>
      <c r="S239">
        <v>0.55000000000000004</v>
      </c>
      <c r="T2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9">
        <v>0</v>
      </c>
    </row>
    <row r="240" spans="1:22" x14ac:dyDescent="0.25">
      <c r="A240" t="s">
        <v>399</v>
      </c>
      <c r="B240" s="2">
        <v>45263</v>
      </c>
      <c r="C240" t="str" cm="1">
        <f t="array" ref="C2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0">
        <f>YEAR(AllDataCorrected[[#This Row],[Date]])</f>
        <v>2023</v>
      </c>
      <c r="E240" s="1">
        <v>0.47916666666666669</v>
      </c>
      <c r="F2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0" t="str">
        <f>_xlfn.XLOOKUP(AllDataCorrected[[#This Row],[Location Name]], Locations[Location Name],Locations[Group As])</f>
        <v>Hampton Wood</v>
      </c>
      <c r="H240" t="e" vm="2">
        <f>_xlfn.XLOOKUP(AllDataCorrected[[#This Row],[Site Name]],LocationsKey[Site Name],LocationsKey[District])</f>
        <v>#VALUE!</v>
      </c>
      <c r="I240" t="e" vm="3">
        <f>_xlfn.XLOOKUP(AllDataCorrected[[#This Row],[Site Name]],LocationsKey[Site Name],LocationsKey[Town])</f>
        <v>#VALUE!</v>
      </c>
      <c r="J240" t="str">
        <f>_xlfn.XLOOKUP(AllDataCorrected[[#This Row],[Site Name]],LocationsKey[Site Name], LocationsKey[Waterway])</f>
        <v>Avon</v>
      </c>
      <c r="K240" t="s">
        <v>34</v>
      </c>
      <c r="L240">
        <f>_xlfn.XLOOKUP(AllDataCorrected[[#This Row],[Site Name]],Tables!$B$12:$B$78, Tables!C$12:C$78)</f>
        <v>52.23814999999999</v>
      </c>
      <c r="M240">
        <f>_xlfn.XLOOKUP(AllDataCorrected[[#This Row],[Site Name]],Tables!$B$12:$B$78, Tables!D$12:D$78)</f>
        <v>-1.6245800000000008</v>
      </c>
      <c r="N240" t="s">
        <v>29</v>
      </c>
      <c r="O240">
        <v>920</v>
      </c>
      <c r="P240">
        <v>6.1</v>
      </c>
      <c r="Q240">
        <v>15</v>
      </c>
      <c r="R240" t="str">
        <f>IF(AllDataCorrected[[#This Row],[Nitrate (PPM)]]&gt;2, "4. Very high (&gt;2ppm)", IF(AllDataCorrected[[#This Row],[Nitrate (PPM)]]&gt;1, "3. High (1-2ppm)", IF(AllDataCorrected[[#This Row],[Nitrate (PPM)]]&gt;0.5, "2. Some evidence (0.5-1ppm)", IF(AllDataCorrected[[#This Row],[Nitrate (PPM)]]&gt;=0, "1. No evidence (&lt;0.5ppm)"))))</f>
        <v>4. Very high (&gt;2ppm)</v>
      </c>
      <c r="S240">
        <v>0.8</v>
      </c>
      <c r="T2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0">
        <v>0</v>
      </c>
    </row>
    <row r="241" spans="1:22" x14ac:dyDescent="0.25">
      <c r="A241" t="s">
        <v>400</v>
      </c>
      <c r="B241" s="2">
        <v>45263</v>
      </c>
      <c r="C241" t="str" cm="1">
        <f t="array" ref="C2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1">
        <f>YEAR(AllDataCorrected[[#This Row],[Date]])</f>
        <v>2023</v>
      </c>
      <c r="E241" s="1">
        <v>0.54166666666666663</v>
      </c>
      <c r="F2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1" t="str">
        <f>_xlfn.XLOOKUP(AllDataCorrected[[#This Row],[Location Name]], Locations[Location Name],Locations[Group As])</f>
        <v>Hampton Lucy</v>
      </c>
      <c r="H241" t="e" vm="2">
        <f>_xlfn.XLOOKUP(AllDataCorrected[[#This Row],[Site Name]],LocationsKey[Site Name],LocationsKey[District])</f>
        <v>#VALUE!</v>
      </c>
      <c r="I241" t="e" vm="4">
        <f>_xlfn.XLOOKUP(AllDataCorrected[[#This Row],[Site Name]],LocationsKey[Site Name],LocationsKey[Town])</f>
        <v>#VALUE!</v>
      </c>
      <c r="J241" t="str">
        <f>_xlfn.XLOOKUP(AllDataCorrected[[#This Row],[Site Name]],LocationsKey[Site Name], LocationsKey[Waterway])</f>
        <v>Avon</v>
      </c>
      <c r="K241" t="s">
        <v>37</v>
      </c>
      <c r="L241">
        <f>_xlfn.XLOOKUP(AllDataCorrected[[#This Row],[Site Name]],Tables!$B$12:$B$78, Tables!C$12:C$78)</f>
        <v>52.211679999999973</v>
      </c>
      <c r="M241">
        <f>_xlfn.XLOOKUP(AllDataCorrected[[#This Row],[Site Name]],Tables!$B$12:$B$78, Tables!D$12:D$78)</f>
        <v>-1.6244400000000001</v>
      </c>
      <c r="N241" t="s">
        <v>23</v>
      </c>
      <c r="O241">
        <v>870</v>
      </c>
      <c r="P241">
        <v>6.3</v>
      </c>
      <c r="Q241">
        <v>13</v>
      </c>
      <c r="R241" t="str">
        <f>IF(AllDataCorrected[[#This Row],[Nitrate (PPM)]]&gt;2, "4. Very high (&gt;2ppm)", IF(AllDataCorrected[[#This Row],[Nitrate (PPM)]]&gt;1, "3. High (1-2ppm)", IF(AllDataCorrected[[#This Row],[Nitrate (PPM)]]&gt;0.5, "2. Some evidence (0.5-1ppm)", IF(AllDataCorrected[[#This Row],[Nitrate (PPM)]]&gt;=0, "1. No evidence (&lt;0.5ppm)"))))</f>
        <v>4. Very high (&gt;2ppm)</v>
      </c>
      <c r="S241">
        <v>0.67</v>
      </c>
      <c r="T2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1">
        <v>0</v>
      </c>
    </row>
    <row r="242" spans="1:22" x14ac:dyDescent="0.25">
      <c r="A242" t="s">
        <v>401</v>
      </c>
      <c r="B242" s="2">
        <v>45263</v>
      </c>
      <c r="C242" t="str" cm="1">
        <f t="array" ref="C2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2">
        <f>YEAR(AllDataCorrected[[#This Row],[Date]])</f>
        <v>2023</v>
      </c>
      <c r="E242" s="1">
        <v>0.58333333333333337</v>
      </c>
      <c r="F2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2" t="str">
        <f>_xlfn.XLOOKUP(AllDataCorrected[[#This Row],[Location Name]], Locations[Location Name],Locations[Group As])</f>
        <v>Clifford Chambers Mill Bridge</v>
      </c>
      <c r="H242" t="e" vm="2">
        <f>_xlfn.XLOOKUP(AllDataCorrected[[#This Row],[Site Name]],LocationsKey[Site Name],LocationsKey[District])</f>
        <v>#VALUE!</v>
      </c>
      <c r="I242" t="e" vm="12">
        <f>_xlfn.XLOOKUP(AllDataCorrected[[#This Row],[Site Name]],LocationsKey[Site Name],LocationsKey[Town])</f>
        <v>#VALUE!</v>
      </c>
      <c r="J242" t="str">
        <f>_xlfn.XLOOKUP(AllDataCorrected[[#This Row],[Site Name]],LocationsKey[Site Name], LocationsKey[Waterway])</f>
        <v>Stour</v>
      </c>
      <c r="K242" t="s">
        <v>263</v>
      </c>
      <c r="L242">
        <f>_xlfn.XLOOKUP(AllDataCorrected[[#This Row],[Site Name]],Tables!$B$12:$B$78, Tables!C$12:C$78)</f>
        <v>52.166358517241363</v>
      </c>
      <c r="M242">
        <f>_xlfn.XLOOKUP(AllDataCorrected[[#This Row],[Site Name]],Tables!$B$12:$B$78, Tables!D$12:D$78)</f>
        <v>-1.7080419310344837</v>
      </c>
      <c r="N242" t="s">
        <v>66</v>
      </c>
      <c r="O242">
        <v>711</v>
      </c>
      <c r="P242">
        <v>4.7</v>
      </c>
      <c r="Q242">
        <v>9</v>
      </c>
      <c r="R242" t="str">
        <f>IF(AllDataCorrected[[#This Row],[Nitrate (PPM)]]&gt;2, "4. Very high (&gt;2ppm)", IF(AllDataCorrected[[#This Row],[Nitrate (PPM)]]&gt;1, "3. High (1-2ppm)", IF(AllDataCorrected[[#This Row],[Nitrate (PPM)]]&gt;0.5, "2. Some evidence (0.5-1ppm)", IF(AllDataCorrected[[#This Row],[Nitrate (PPM)]]&gt;=0, "1. No evidence (&lt;0.5ppm)"))))</f>
        <v>4. Very high (&gt;2ppm)</v>
      </c>
      <c r="S242">
        <v>0.26</v>
      </c>
      <c r="T2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2">
        <v>0.8</v>
      </c>
    </row>
    <row r="243" spans="1:22" x14ac:dyDescent="0.25">
      <c r="A243" t="s">
        <v>402</v>
      </c>
      <c r="B243" s="2">
        <v>45263</v>
      </c>
      <c r="C243" t="str" cm="1">
        <f t="array" ref="C2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3">
        <f>YEAR(AllDataCorrected[[#This Row],[Date]])</f>
        <v>2023</v>
      </c>
      <c r="E243" s="1">
        <v>0.65625</v>
      </c>
      <c r="F2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3" t="str">
        <f>_xlfn.XLOOKUP(AllDataCorrected[[#This Row],[Location Name]], Locations[Location Name],Locations[Group As])</f>
        <v>Welford Boat Station</v>
      </c>
      <c r="H243" t="e" vm="2">
        <f>_xlfn.XLOOKUP(AllDataCorrected[[#This Row],[Site Name]],LocationsKey[Site Name],LocationsKey[District])</f>
        <v>#VALUE!</v>
      </c>
      <c r="I243" t="e" vm="5">
        <f>_xlfn.XLOOKUP(AllDataCorrected[[#This Row],[Site Name]],LocationsKey[Site Name],LocationsKey[Town])</f>
        <v>#VALUE!</v>
      </c>
      <c r="J243" t="str">
        <f>_xlfn.XLOOKUP(AllDataCorrected[[#This Row],[Site Name]],LocationsKey[Site Name], LocationsKey[Waterway])</f>
        <v>Avon</v>
      </c>
      <c r="K243" t="s">
        <v>39</v>
      </c>
      <c r="L243">
        <f>_xlfn.XLOOKUP(AllDataCorrected[[#This Row],[Site Name]],Tables!$B$12:$B$78, Tables!C$12:C$78)</f>
        <v>52.175174684210546</v>
      </c>
      <c r="M243">
        <f>_xlfn.XLOOKUP(AllDataCorrected[[#This Row],[Site Name]],Tables!$B$12:$B$78, Tables!D$12:D$78)</f>
        <v>-1.7918551052631577</v>
      </c>
      <c r="N243" t="s">
        <v>29</v>
      </c>
      <c r="O243">
        <v>888</v>
      </c>
      <c r="P243">
        <v>5.8</v>
      </c>
      <c r="Q243">
        <v>20</v>
      </c>
      <c r="R243" t="str">
        <f>IF(AllDataCorrected[[#This Row],[Nitrate (PPM)]]&gt;2, "4. Very high (&gt;2ppm)", IF(AllDataCorrected[[#This Row],[Nitrate (PPM)]]&gt;1, "3. High (1-2ppm)", IF(AllDataCorrected[[#This Row],[Nitrate (PPM)]]&gt;0.5, "2. Some evidence (0.5-1ppm)", IF(AllDataCorrected[[#This Row],[Nitrate (PPM)]]&gt;=0, "1. No evidence (&lt;0.5ppm)"))))</f>
        <v>4. Very high (&gt;2ppm)</v>
      </c>
      <c r="S243">
        <v>0.34</v>
      </c>
      <c r="T24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3">
        <v>0</v>
      </c>
      <c r="V243" t="s">
        <v>403</v>
      </c>
    </row>
    <row r="244" spans="1:22" x14ac:dyDescent="0.25">
      <c r="A244" t="s">
        <v>404</v>
      </c>
      <c r="B244" s="2">
        <v>45264</v>
      </c>
      <c r="C244" t="str" cm="1">
        <f t="array" ref="C2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4">
        <f>YEAR(AllDataCorrected[[#This Row],[Date]])</f>
        <v>2023</v>
      </c>
      <c r="E244" s="1">
        <v>0.38958333333333334</v>
      </c>
      <c r="F2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4" t="str">
        <f>_xlfn.XLOOKUP(AllDataCorrected[[#This Row],[Location Name]], Locations[Location Name],Locations[Group As])</f>
        <v>Stour Stretton-on-Fosse Village</v>
      </c>
      <c r="H244" t="e" vm="2">
        <f>_xlfn.XLOOKUP(AllDataCorrected[[#This Row],[Site Name]],LocationsKey[Site Name],LocationsKey[District])</f>
        <v>#VALUE!</v>
      </c>
      <c r="I244" t="e" vm="14">
        <f>_xlfn.XLOOKUP(AllDataCorrected[[#This Row],[Site Name]],LocationsKey[Site Name],LocationsKey[Town])</f>
        <v>#VALUE!</v>
      </c>
      <c r="J244" t="str">
        <f>_xlfn.XLOOKUP(AllDataCorrected[[#This Row],[Site Name]],LocationsKey[Site Name], LocationsKey[Waterway])</f>
        <v>Stour</v>
      </c>
      <c r="K244" t="s">
        <v>383</v>
      </c>
      <c r="L244">
        <f>_xlfn.XLOOKUP(AllDataCorrected[[#This Row],[Site Name]],Tables!$B$12:$B$78, Tables!C$12:C$78)</f>
        <v>52.046517558823524</v>
      </c>
      <c r="M244">
        <f>_xlfn.XLOOKUP(AllDataCorrected[[#This Row],[Site Name]],Tables!$B$12:$B$78, Tables!D$12:D$78)</f>
        <v>-1.6734143529411767</v>
      </c>
      <c r="N244" t="s">
        <v>66</v>
      </c>
      <c r="O244">
        <v>319</v>
      </c>
      <c r="P244">
        <v>7.1</v>
      </c>
      <c r="Q244">
        <v>2</v>
      </c>
      <c r="R244" t="str">
        <f>IF(AllDataCorrected[[#This Row],[Nitrate (PPM)]]&gt;2, "4. Very high (&gt;2ppm)", IF(AllDataCorrected[[#This Row],[Nitrate (PPM)]]&gt;1, "3. High (1-2ppm)", IF(AllDataCorrected[[#This Row],[Nitrate (PPM)]]&gt;0.5, "2. Some evidence (0.5-1ppm)", IF(AllDataCorrected[[#This Row],[Nitrate (PPM)]]&gt;=0, "1. No evidence (&lt;0.5ppm)"))))</f>
        <v>3. High (1-2ppm)</v>
      </c>
      <c r="S244">
        <v>0.62</v>
      </c>
      <c r="T2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4">
        <v>0.35</v>
      </c>
    </row>
    <row r="245" spans="1:22" x14ac:dyDescent="0.25">
      <c r="A245" t="s">
        <v>405</v>
      </c>
      <c r="B245" s="2">
        <v>45264</v>
      </c>
      <c r="C245" t="str" cm="1">
        <f t="array" ref="C2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5">
        <f>YEAR(AllDataCorrected[[#This Row],[Date]])</f>
        <v>2023</v>
      </c>
      <c r="E245" s="1">
        <v>0.40138888888888891</v>
      </c>
      <c r="F2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5" t="str">
        <f>_xlfn.XLOOKUP(AllDataCorrected[[#This Row],[Location Name]], Locations[Location Name],Locations[Group As])</f>
        <v>Stour Stretton-on-Fosse Sewage Works</v>
      </c>
      <c r="H245" t="e" vm="2">
        <f>_xlfn.XLOOKUP(AllDataCorrected[[#This Row],[Site Name]],LocationsKey[Site Name],LocationsKey[District])</f>
        <v>#VALUE!</v>
      </c>
      <c r="I245" t="e" vm="14">
        <f>_xlfn.XLOOKUP(AllDataCorrected[[#This Row],[Site Name]],LocationsKey[Site Name],LocationsKey[Town])</f>
        <v>#VALUE!</v>
      </c>
      <c r="J245" t="str">
        <f>_xlfn.XLOOKUP(AllDataCorrected[[#This Row],[Site Name]],LocationsKey[Site Name], LocationsKey[Waterway])</f>
        <v>Stour</v>
      </c>
      <c r="K245" t="s">
        <v>335</v>
      </c>
      <c r="L245">
        <f>_xlfn.XLOOKUP(AllDataCorrected[[#This Row],[Site Name]],Tables!$B$12:$B$78, Tables!C$12:C$78)</f>
        <v>52.045653647058806</v>
      </c>
      <c r="M245">
        <f>_xlfn.XLOOKUP(AllDataCorrected[[#This Row],[Site Name]],Tables!$B$12:$B$78, Tables!D$12:D$78)</f>
        <v>-1.6719221470588235</v>
      </c>
      <c r="N245" t="s">
        <v>29</v>
      </c>
      <c r="O245">
        <v>298</v>
      </c>
      <c r="P245">
        <v>7</v>
      </c>
      <c r="Q245">
        <v>2</v>
      </c>
      <c r="R245" t="str">
        <f>IF(AllDataCorrected[[#This Row],[Nitrate (PPM)]]&gt;2, "4. Very high (&gt;2ppm)", IF(AllDataCorrected[[#This Row],[Nitrate (PPM)]]&gt;1, "3. High (1-2ppm)", IF(AllDataCorrected[[#This Row],[Nitrate (PPM)]]&gt;0.5, "2. Some evidence (0.5-1ppm)", IF(AllDataCorrected[[#This Row],[Nitrate (PPM)]]&gt;=0, "1. No evidence (&lt;0.5ppm)"))))</f>
        <v>3. High (1-2ppm)</v>
      </c>
      <c r="S245">
        <v>0.21</v>
      </c>
      <c r="T2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5">
        <v>0.6</v>
      </c>
    </row>
    <row r="246" spans="1:22" x14ac:dyDescent="0.25">
      <c r="A246" t="s">
        <v>406</v>
      </c>
      <c r="B246" s="2">
        <v>45266</v>
      </c>
      <c r="C246" t="str" cm="1">
        <f t="array" ref="C2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6">
        <f>YEAR(AllDataCorrected[[#This Row],[Date]])</f>
        <v>2023</v>
      </c>
      <c r="E246" s="1">
        <v>0.50138888888888888</v>
      </c>
      <c r="F2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6" t="str">
        <f>_xlfn.XLOOKUP(AllDataCorrected[[#This Row],[Location Name]], Locations[Location Name],Locations[Group As])</f>
        <v>Alveston Weir</v>
      </c>
      <c r="H246" t="e" vm="2">
        <f>_xlfn.XLOOKUP(AllDataCorrected[[#This Row],[Site Name]],LocationsKey[Site Name],LocationsKey[District])</f>
        <v>#VALUE!</v>
      </c>
      <c r="I246" t="e" vm="13">
        <f>_xlfn.XLOOKUP(AllDataCorrected[[#This Row],[Site Name]],LocationsKey[Site Name],LocationsKey[Town])</f>
        <v>#VALUE!</v>
      </c>
      <c r="J246" t="str">
        <f>_xlfn.XLOOKUP(AllDataCorrected[[#This Row],[Site Name]],LocationsKey[Site Name], LocationsKey[Waterway])</f>
        <v>Avon</v>
      </c>
      <c r="K246" t="s">
        <v>286</v>
      </c>
      <c r="L246">
        <f>_xlfn.XLOOKUP(AllDataCorrected[[#This Row],[Site Name]],Tables!$B$12:$B$78, Tables!C$12:C$78)</f>
        <v>52.212366690476216</v>
      </c>
      <c r="M246">
        <f>_xlfn.XLOOKUP(AllDataCorrected[[#This Row],[Site Name]],Tables!$B$12:$B$78, Tables!D$12:D$78)</f>
        <v>-1.6602567619047619</v>
      </c>
      <c r="N246" t="s">
        <v>29</v>
      </c>
      <c r="O246">
        <v>46.6</v>
      </c>
      <c r="P246">
        <v>6.4</v>
      </c>
      <c r="Q246">
        <v>2</v>
      </c>
      <c r="R246" t="str">
        <f>IF(AllDataCorrected[[#This Row],[Nitrate (PPM)]]&gt;2, "4. Very high (&gt;2ppm)", IF(AllDataCorrected[[#This Row],[Nitrate (PPM)]]&gt;1, "3. High (1-2ppm)", IF(AllDataCorrected[[#This Row],[Nitrate (PPM)]]&gt;0.5, "2. Some evidence (0.5-1ppm)", IF(AllDataCorrected[[#This Row],[Nitrate (PPM)]]&gt;=0, "1. No evidence (&lt;0.5ppm)"))))</f>
        <v>3. High (1-2ppm)</v>
      </c>
      <c r="S246">
        <v>0.62</v>
      </c>
      <c r="T2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6">
        <v>2</v>
      </c>
      <c r="V246" t="s">
        <v>407</v>
      </c>
    </row>
    <row r="247" spans="1:22" x14ac:dyDescent="0.25">
      <c r="A247" t="s">
        <v>408</v>
      </c>
      <c r="B247" s="2">
        <v>45266</v>
      </c>
      <c r="C247" t="str" cm="1">
        <f t="array" ref="C2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7">
        <f>YEAR(AllDataCorrected[[#This Row],[Date]])</f>
        <v>2023</v>
      </c>
      <c r="E247" s="1">
        <v>0.59583333333333333</v>
      </c>
      <c r="F2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7" t="str">
        <f>_xlfn.XLOOKUP(AllDataCorrected[[#This Row],[Location Name]], Locations[Location Name],Locations[Group As])</f>
        <v>Swiffen Bank</v>
      </c>
      <c r="H247" t="e" vm="2">
        <f>_xlfn.XLOOKUP(AllDataCorrected[[#This Row],[Site Name]],LocationsKey[Site Name],LocationsKey[District])</f>
        <v>#VALUE!</v>
      </c>
      <c r="I247" t="e" vm="13">
        <f>_xlfn.XLOOKUP(AllDataCorrected[[#This Row],[Site Name]],LocationsKey[Site Name],LocationsKey[Town])</f>
        <v>#VALUE!</v>
      </c>
      <c r="J247" t="str">
        <f>_xlfn.XLOOKUP(AllDataCorrected[[#This Row],[Site Name]],LocationsKey[Site Name], LocationsKey[Waterway])</f>
        <v>Avon</v>
      </c>
      <c r="K247" t="s">
        <v>284</v>
      </c>
      <c r="L247">
        <f>_xlfn.XLOOKUP(AllDataCorrected[[#This Row],[Site Name]],Tables!$B$12:$B$78, Tables!C$12:C$78)</f>
        <v>52.206446825000015</v>
      </c>
      <c r="M247">
        <f>_xlfn.XLOOKUP(AllDataCorrected[[#This Row],[Site Name]],Tables!$B$12:$B$78, Tables!D$12:D$78)</f>
        <v>-1.6541684000000003</v>
      </c>
      <c r="N247" t="s">
        <v>29</v>
      </c>
      <c r="O247">
        <v>47.5</v>
      </c>
      <c r="P247">
        <v>6.1</v>
      </c>
      <c r="Q247">
        <v>2</v>
      </c>
      <c r="R247" t="str">
        <f>IF(AllDataCorrected[[#This Row],[Nitrate (PPM)]]&gt;2, "4. Very high (&gt;2ppm)", IF(AllDataCorrected[[#This Row],[Nitrate (PPM)]]&gt;1, "3. High (1-2ppm)", IF(AllDataCorrected[[#This Row],[Nitrate (PPM)]]&gt;0.5, "2. Some evidence (0.5-1ppm)", IF(AllDataCorrected[[#This Row],[Nitrate (PPM)]]&gt;=0, "1. No evidence (&lt;0.5ppm)"))))</f>
        <v>3. High (1-2ppm)</v>
      </c>
      <c r="S247">
        <v>0.71</v>
      </c>
      <c r="T2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7">
        <v>1</v>
      </c>
      <c r="V247" t="s">
        <v>409</v>
      </c>
    </row>
    <row r="248" spans="1:22" x14ac:dyDescent="0.25">
      <c r="A248" t="s">
        <v>410</v>
      </c>
      <c r="B248" s="2">
        <v>45266</v>
      </c>
      <c r="C248" t="str" cm="1">
        <f t="array" ref="C2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8">
        <f>YEAR(AllDataCorrected[[#This Row],[Date]])</f>
        <v>2023</v>
      </c>
      <c r="E248" s="1">
        <v>0.66666666666666663</v>
      </c>
      <c r="F2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8" t="str">
        <f>_xlfn.XLOOKUP(AllDataCorrected[[#This Row],[Location Name]], Locations[Location Name],Locations[Group As])</f>
        <v>Stour Newbold Mill</v>
      </c>
      <c r="H248" t="e" vm="2">
        <f>_xlfn.XLOOKUP(AllDataCorrected[[#This Row],[Site Name]],LocationsKey[Site Name],LocationsKey[District])</f>
        <v>#VALUE!</v>
      </c>
      <c r="I248" t="e" vm="8">
        <f>_xlfn.XLOOKUP(AllDataCorrected[[#This Row],[Site Name]],LocationsKey[Site Name],LocationsKey[Town])</f>
        <v>#VALUE!</v>
      </c>
      <c r="J248" t="str">
        <f>_xlfn.XLOOKUP(AllDataCorrected[[#This Row],[Site Name]],LocationsKey[Site Name], LocationsKey[Waterway])</f>
        <v>Stour</v>
      </c>
      <c r="K248" t="s">
        <v>140</v>
      </c>
      <c r="L248">
        <f>_xlfn.XLOOKUP(AllDataCorrected[[#This Row],[Site Name]],Tables!$B$12:$B$78, Tables!C$12:C$78)</f>
        <v>52.113052370370362</v>
      </c>
      <c r="M248">
        <f>_xlfn.XLOOKUP(AllDataCorrected[[#This Row],[Site Name]],Tables!$B$12:$B$78, Tables!D$12:D$78)</f>
        <v>-1.6333685185185185</v>
      </c>
      <c r="N248" t="s">
        <v>66</v>
      </c>
      <c r="O248">
        <v>537</v>
      </c>
      <c r="P248">
        <v>8.4</v>
      </c>
      <c r="Q248">
        <v>5</v>
      </c>
      <c r="R248" t="str">
        <f>IF(AllDataCorrected[[#This Row],[Nitrate (PPM)]]&gt;2, "4. Very high (&gt;2ppm)", IF(AllDataCorrected[[#This Row],[Nitrate (PPM)]]&gt;1, "3. High (1-2ppm)", IF(AllDataCorrected[[#This Row],[Nitrate (PPM)]]&gt;0.5, "2. Some evidence (0.5-1ppm)", IF(AllDataCorrected[[#This Row],[Nitrate (PPM)]]&gt;=0, "1. No evidence (&lt;0.5ppm)"))))</f>
        <v>4. Very high (&gt;2ppm)</v>
      </c>
      <c r="S248">
        <v>0.12</v>
      </c>
      <c r="T2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8">
        <v>3</v>
      </c>
      <c r="V248" t="s">
        <v>411</v>
      </c>
    </row>
    <row r="249" spans="1:22" x14ac:dyDescent="0.25">
      <c r="A249" t="s">
        <v>412</v>
      </c>
      <c r="B249" s="2">
        <v>45268</v>
      </c>
      <c r="C249" t="str" cm="1">
        <f t="array" ref="C2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9">
        <f>YEAR(AllDataCorrected[[#This Row],[Date]])</f>
        <v>2023</v>
      </c>
      <c r="E249" s="1">
        <v>0.4375</v>
      </c>
      <c r="F2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9" t="str">
        <f>_xlfn.XLOOKUP(AllDataCorrected[[#This Row],[Location Name]], Locations[Location Name],Locations[Group As])</f>
        <v>Swilgate</v>
      </c>
      <c r="H249" t="e" vm="1">
        <f>_xlfn.XLOOKUP(AllDataCorrected[[#This Row],[Site Name]],LocationsKey[Site Name],LocationsKey[District])</f>
        <v>#VALUE!</v>
      </c>
      <c r="I249" t="e" vm="1">
        <f>_xlfn.XLOOKUP(AllDataCorrected[[#This Row],[Site Name]],LocationsKey[Site Name],LocationsKey[Town])</f>
        <v>#VALUE!</v>
      </c>
      <c r="J249" t="str">
        <f>_xlfn.XLOOKUP(AllDataCorrected[[#This Row],[Site Name]],LocationsKey[Site Name], LocationsKey[Waterway])</f>
        <v>Swilgate</v>
      </c>
      <c r="K249" t="s">
        <v>413</v>
      </c>
      <c r="L249">
        <f>_xlfn.XLOOKUP(AllDataCorrected[[#This Row],[Site Name]],Tables!$B$12:$B$78, Tables!C$12:C$78)</f>
        <v>51.9885442</v>
      </c>
      <c r="M249">
        <f>_xlfn.XLOOKUP(AllDataCorrected[[#This Row],[Site Name]],Tables!$B$12:$B$78, Tables!D$12:D$78)</f>
        <v>-2.1639010000000001</v>
      </c>
      <c r="N249" t="s">
        <v>23</v>
      </c>
      <c r="O249">
        <v>769</v>
      </c>
      <c r="P249">
        <v>8</v>
      </c>
      <c r="Q249">
        <v>4</v>
      </c>
      <c r="R249" t="str">
        <f>IF(AllDataCorrected[[#This Row],[Nitrate (PPM)]]&gt;2, "4. Very high (&gt;2ppm)", IF(AllDataCorrected[[#This Row],[Nitrate (PPM)]]&gt;1, "3. High (1-2ppm)", IF(AllDataCorrected[[#This Row],[Nitrate (PPM)]]&gt;0.5, "2. Some evidence (0.5-1ppm)", IF(AllDataCorrected[[#This Row],[Nitrate (PPM)]]&gt;=0, "1. No evidence (&lt;0.5ppm)"))))</f>
        <v>4. Very high (&gt;2ppm)</v>
      </c>
      <c r="S249">
        <v>0.45</v>
      </c>
      <c r="T2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9">
        <v>2</v>
      </c>
      <c r="V249" t="s">
        <v>414</v>
      </c>
    </row>
    <row r="250" spans="1:22" x14ac:dyDescent="0.25">
      <c r="A250" t="s">
        <v>415</v>
      </c>
      <c r="B250" s="2">
        <v>45269</v>
      </c>
      <c r="C250" t="str" cm="1">
        <f t="array" ref="C2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0">
        <f>YEAR(AllDataCorrected[[#This Row],[Date]])</f>
        <v>2023</v>
      </c>
      <c r="E250" s="1">
        <v>0.46527777777777779</v>
      </c>
      <c r="F2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0" t="str">
        <f>_xlfn.XLOOKUP(AllDataCorrected[[#This Row],[Location Name]], Locations[Location Name],Locations[Group As])</f>
        <v>Pitch 16</v>
      </c>
      <c r="H250" t="e" vm="2">
        <f>_xlfn.XLOOKUP(AllDataCorrected[[#This Row],[Site Name]],LocationsKey[Site Name],LocationsKey[District])</f>
        <v>#VALUE!</v>
      </c>
      <c r="I250" t="e" vm="7">
        <f>_xlfn.XLOOKUP(AllDataCorrected[[#This Row],[Site Name]],LocationsKey[Site Name],LocationsKey[Town])</f>
        <v>#VALUE!</v>
      </c>
      <c r="J250" t="str">
        <f>_xlfn.XLOOKUP(AllDataCorrected[[#This Row],[Site Name]],LocationsKey[Site Name], LocationsKey[Waterway])</f>
        <v>Avon</v>
      </c>
      <c r="K250" t="s">
        <v>69</v>
      </c>
      <c r="L250">
        <f>_xlfn.XLOOKUP(AllDataCorrected[[#This Row],[Site Name]],Tables!$B$12:$B$78, Tables!C$12:C$78)</f>
        <v>52.17355294117646</v>
      </c>
      <c r="M250">
        <f>_xlfn.XLOOKUP(AllDataCorrected[[#This Row],[Site Name]],Tables!$B$12:$B$78, Tables!D$12:D$78)</f>
        <v>-1.7433199411764708</v>
      </c>
      <c r="N250" t="s">
        <v>29</v>
      </c>
      <c r="O250">
        <v>605</v>
      </c>
      <c r="P250">
        <v>10.3</v>
      </c>
      <c r="Q250">
        <v>5</v>
      </c>
      <c r="R250" t="str">
        <f>IF(AllDataCorrected[[#This Row],[Nitrate (PPM)]]&gt;2, "4. Very high (&gt;2ppm)", IF(AllDataCorrected[[#This Row],[Nitrate (PPM)]]&gt;1, "3. High (1-2ppm)", IF(AllDataCorrected[[#This Row],[Nitrate (PPM)]]&gt;0.5, "2. Some evidence (0.5-1ppm)", IF(AllDataCorrected[[#This Row],[Nitrate (PPM)]]&gt;=0, "1. No evidence (&lt;0.5ppm)"))))</f>
        <v>4. Very high (&gt;2ppm)</v>
      </c>
      <c r="S250">
        <v>0.57999999999999996</v>
      </c>
      <c r="T2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0">
        <v>1.2</v>
      </c>
      <c r="V250" t="s">
        <v>416</v>
      </c>
    </row>
    <row r="251" spans="1:22" x14ac:dyDescent="0.25">
      <c r="A251" t="s">
        <v>417</v>
      </c>
      <c r="B251" s="2">
        <v>45269</v>
      </c>
      <c r="C251" t="str" cm="1">
        <f t="array" ref="C2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1">
        <f>YEAR(AllDataCorrected[[#This Row],[Date]])</f>
        <v>2023</v>
      </c>
      <c r="E251" s="1">
        <v>0.48472222222222222</v>
      </c>
      <c r="F2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1" t="str">
        <f>_xlfn.XLOOKUP(AllDataCorrected[[#This Row],[Location Name]], Locations[Location Name],Locations[Group As])</f>
        <v>Avonbank Drive</v>
      </c>
      <c r="H251" t="e" vm="2">
        <f>_xlfn.XLOOKUP(AllDataCorrected[[#This Row],[Site Name]],LocationsKey[Site Name],LocationsKey[District])</f>
        <v>#VALUE!</v>
      </c>
      <c r="I251" t="e" vm="7">
        <f>_xlfn.XLOOKUP(AllDataCorrected[[#This Row],[Site Name]],LocationsKey[Site Name],LocationsKey[Town])</f>
        <v>#VALUE!</v>
      </c>
      <c r="J251" t="str">
        <f>_xlfn.XLOOKUP(AllDataCorrected[[#This Row],[Site Name]],LocationsKey[Site Name], LocationsKey[Waterway])</f>
        <v>Avon</v>
      </c>
      <c r="K251" t="s">
        <v>65</v>
      </c>
      <c r="L251">
        <f>_xlfn.XLOOKUP(AllDataCorrected[[#This Row],[Site Name]],Tables!$B$12:$B$78, Tables!C$12:C$78)</f>
        <v>52.177054657142854</v>
      </c>
      <c r="M251">
        <f>_xlfn.XLOOKUP(AllDataCorrected[[#This Row],[Site Name]],Tables!$B$12:$B$78, Tables!D$12:D$78)</f>
        <v>-1.7358669999999996</v>
      </c>
      <c r="N251" t="s">
        <v>66</v>
      </c>
      <c r="O251">
        <v>615</v>
      </c>
      <c r="P251">
        <v>9.3000000000000007</v>
      </c>
      <c r="Q251">
        <v>5</v>
      </c>
      <c r="R251" t="str">
        <f>IF(AllDataCorrected[[#This Row],[Nitrate (PPM)]]&gt;2, "4. Very high (&gt;2ppm)", IF(AllDataCorrected[[#This Row],[Nitrate (PPM)]]&gt;1, "3. High (1-2ppm)", IF(AllDataCorrected[[#This Row],[Nitrate (PPM)]]&gt;0.5, "2. Some evidence (0.5-1ppm)", IF(AllDataCorrected[[#This Row],[Nitrate (PPM)]]&gt;=0, "1. No evidence (&lt;0.5ppm)"))))</f>
        <v>4. Very high (&gt;2ppm)</v>
      </c>
      <c r="S251">
        <v>0.65</v>
      </c>
      <c r="T2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1">
        <v>1.2</v>
      </c>
    </row>
    <row r="252" spans="1:22" x14ac:dyDescent="0.25">
      <c r="A252" t="s">
        <v>418</v>
      </c>
      <c r="B252" s="2">
        <v>45269</v>
      </c>
      <c r="C252" t="str" cm="1">
        <f t="array" ref="C2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2">
        <f>YEAR(AllDataCorrected[[#This Row],[Date]])</f>
        <v>2023</v>
      </c>
      <c r="E252" s="1">
        <v>0.54166666666666663</v>
      </c>
      <c r="F2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2" t="str">
        <f>_xlfn.XLOOKUP(AllDataCorrected[[#This Row],[Location Name]], Locations[Location Name],Locations[Group As])</f>
        <v>Hampton Lucy</v>
      </c>
      <c r="H252" t="e" vm="2">
        <f>_xlfn.XLOOKUP(AllDataCorrected[[#This Row],[Site Name]],LocationsKey[Site Name],LocationsKey[District])</f>
        <v>#VALUE!</v>
      </c>
      <c r="I252" t="e" vm="4">
        <f>_xlfn.XLOOKUP(AllDataCorrected[[#This Row],[Site Name]],LocationsKey[Site Name],LocationsKey[Town])</f>
        <v>#VALUE!</v>
      </c>
      <c r="J252" t="str">
        <f>_xlfn.XLOOKUP(AllDataCorrected[[#This Row],[Site Name]],LocationsKey[Site Name], LocationsKey[Waterway])</f>
        <v>Avon</v>
      </c>
      <c r="K252" t="s">
        <v>37</v>
      </c>
      <c r="L252">
        <f>_xlfn.XLOOKUP(AllDataCorrected[[#This Row],[Site Name]],Tables!$B$12:$B$78, Tables!C$12:C$78)</f>
        <v>52.211679999999973</v>
      </c>
      <c r="M252">
        <f>_xlfn.XLOOKUP(AllDataCorrected[[#This Row],[Site Name]],Tables!$B$12:$B$78, Tables!D$12:D$78)</f>
        <v>-1.6244400000000001</v>
      </c>
      <c r="N252" t="s">
        <v>23</v>
      </c>
      <c r="O252">
        <v>590</v>
      </c>
      <c r="P252">
        <v>8.8000000000000007</v>
      </c>
      <c r="Q252">
        <v>15</v>
      </c>
      <c r="R252" t="str">
        <f>IF(AllDataCorrected[[#This Row],[Nitrate (PPM)]]&gt;2, "4. Very high (&gt;2ppm)", IF(AllDataCorrected[[#This Row],[Nitrate (PPM)]]&gt;1, "3. High (1-2ppm)", IF(AllDataCorrected[[#This Row],[Nitrate (PPM)]]&gt;0.5, "2. Some evidence (0.5-1ppm)", IF(AllDataCorrected[[#This Row],[Nitrate (PPM)]]&gt;=0, "1. No evidence (&lt;0.5ppm)"))))</f>
        <v>4. Very high (&gt;2ppm)</v>
      </c>
      <c r="S252">
        <v>0.4</v>
      </c>
      <c r="T2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2">
        <v>0</v>
      </c>
    </row>
    <row r="253" spans="1:22" x14ac:dyDescent="0.25">
      <c r="A253" t="s">
        <v>419</v>
      </c>
      <c r="B253" s="2">
        <v>45269</v>
      </c>
      <c r="C253" t="str" cm="1">
        <f t="array" ref="C2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3">
        <f>YEAR(AllDataCorrected[[#This Row],[Date]])</f>
        <v>2023</v>
      </c>
      <c r="E253" s="1">
        <v>0.55486111111111114</v>
      </c>
      <c r="F2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3" t="str">
        <f>_xlfn.XLOOKUP(AllDataCorrected[[#This Row],[Location Name]], Locations[Location Name],Locations[Group As])</f>
        <v>Preston-on-Stour River Bridge</v>
      </c>
      <c r="H253" t="e" vm="2">
        <f>_xlfn.XLOOKUP(AllDataCorrected[[#This Row],[Site Name]],LocationsKey[Site Name],LocationsKey[District])</f>
        <v>#VALUE!</v>
      </c>
      <c r="I253" t="e" vm="9">
        <f>_xlfn.XLOOKUP(AllDataCorrected[[#This Row],[Site Name]],LocationsKey[Site Name],LocationsKey[Town])</f>
        <v>#VALUE!</v>
      </c>
      <c r="J253" t="str">
        <f>_xlfn.XLOOKUP(AllDataCorrected[[#This Row],[Site Name]],LocationsKey[Site Name], LocationsKey[Waterway])</f>
        <v>Stour</v>
      </c>
      <c r="K253" t="s">
        <v>163</v>
      </c>
      <c r="L253">
        <f>_xlfn.XLOOKUP(AllDataCorrected[[#This Row],[Site Name]],Tables!$B$12:$B$78, Tables!C$12:C$78)</f>
        <v>52.146529500000007</v>
      </c>
      <c r="M253">
        <f>_xlfn.XLOOKUP(AllDataCorrected[[#This Row],[Site Name]],Tables!$B$12:$B$78, Tables!D$12:D$78)</f>
        <v>-1.6996899999999999</v>
      </c>
      <c r="N253" t="s">
        <v>29</v>
      </c>
      <c r="O253">
        <v>525</v>
      </c>
      <c r="P253">
        <v>9.1999999999999993</v>
      </c>
      <c r="Q253">
        <v>5</v>
      </c>
      <c r="R253" t="str">
        <f>IF(AllDataCorrected[[#This Row],[Nitrate (PPM)]]&gt;2, "4. Very high (&gt;2ppm)", IF(AllDataCorrected[[#This Row],[Nitrate (PPM)]]&gt;1, "3. High (1-2ppm)", IF(AllDataCorrected[[#This Row],[Nitrate (PPM)]]&gt;0.5, "2. Some evidence (0.5-1ppm)", IF(AllDataCorrected[[#This Row],[Nitrate (PPM)]]&gt;=0, "1. No evidence (&lt;0.5ppm)"))))</f>
        <v>4. Very high (&gt;2ppm)</v>
      </c>
      <c r="S253">
        <v>0.3</v>
      </c>
      <c r="T2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3">
        <v>2.5</v>
      </c>
      <c r="V253" t="s">
        <v>420</v>
      </c>
    </row>
    <row r="254" spans="1:22" x14ac:dyDescent="0.25">
      <c r="A254" t="s">
        <v>421</v>
      </c>
      <c r="B254" s="2">
        <v>45269</v>
      </c>
      <c r="C254" t="str" cm="1">
        <f t="array" ref="C2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4">
        <f>YEAR(AllDataCorrected[[#This Row],[Date]])</f>
        <v>2023</v>
      </c>
      <c r="E254" s="1">
        <v>0.55833333333333335</v>
      </c>
      <c r="F2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4" t="str">
        <f>_xlfn.XLOOKUP(AllDataCorrected[[#This Row],[Location Name]], Locations[Location Name],Locations[Group As])</f>
        <v>Fell Mill Footbridge</v>
      </c>
      <c r="H254" t="e" vm="2">
        <f>_xlfn.XLOOKUP(AllDataCorrected[[#This Row],[Site Name]],LocationsKey[Site Name],LocationsKey[District])</f>
        <v>#VALUE!</v>
      </c>
      <c r="I254" t="e" vm="10">
        <f>_xlfn.XLOOKUP(AllDataCorrected[[#This Row],[Site Name]],LocationsKey[Site Name],LocationsKey[Town])</f>
        <v>#VALUE!</v>
      </c>
      <c r="J254" t="str">
        <f>_xlfn.XLOOKUP(AllDataCorrected[[#This Row],[Site Name]],LocationsKey[Site Name], LocationsKey[Waterway])</f>
        <v>Stour</v>
      </c>
      <c r="K254" t="s">
        <v>422</v>
      </c>
      <c r="L254">
        <f>_xlfn.XLOOKUP(AllDataCorrected[[#This Row],[Site Name]],Tables!$B$12:$B$78, Tables!C$12:C$78)</f>
        <v>52.067966827586183</v>
      </c>
      <c r="M254">
        <f>_xlfn.XLOOKUP(AllDataCorrected[[#This Row],[Site Name]],Tables!$B$12:$B$78, Tables!D$12:D$78)</f>
        <v>-1.6118101379310343</v>
      </c>
      <c r="N254" t="s">
        <v>29</v>
      </c>
      <c r="O254">
        <v>369</v>
      </c>
      <c r="P254">
        <v>9.8000000000000007</v>
      </c>
      <c r="Q254">
        <v>2</v>
      </c>
      <c r="R254" t="str">
        <f>IF(AllDataCorrected[[#This Row],[Nitrate (PPM)]]&gt;2, "4. Very high (&gt;2ppm)", IF(AllDataCorrected[[#This Row],[Nitrate (PPM)]]&gt;1, "3. High (1-2ppm)", IF(AllDataCorrected[[#This Row],[Nitrate (PPM)]]&gt;0.5, "2. Some evidence (0.5-1ppm)", IF(AllDataCorrected[[#This Row],[Nitrate (PPM)]]&gt;=0, "1. No evidence (&lt;0.5ppm)"))))</f>
        <v>3. High (1-2ppm)</v>
      </c>
      <c r="S254">
        <v>0.57999999999999996</v>
      </c>
      <c r="T2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4">
        <v>5</v>
      </c>
      <c r="V254" t="s">
        <v>423</v>
      </c>
    </row>
    <row r="255" spans="1:22" x14ac:dyDescent="0.25">
      <c r="A255" t="s">
        <v>424</v>
      </c>
      <c r="B255" s="2">
        <v>45269</v>
      </c>
      <c r="C255" t="str" cm="1">
        <f t="array" ref="C2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5">
        <f>YEAR(AllDataCorrected[[#This Row],[Date]])</f>
        <v>2023</v>
      </c>
      <c r="E255" s="1">
        <v>0.625</v>
      </c>
      <c r="F2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5" t="str">
        <f>_xlfn.XLOOKUP(AllDataCorrected[[#This Row],[Location Name]], Locations[Location Name],Locations[Group As])</f>
        <v>Clifford Chambers Mill Bridge</v>
      </c>
      <c r="H255" t="e" vm="2">
        <f>_xlfn.XLOOKUP(AllDataCorrected[[#This Row],[Site Name]],LocationsKey[Site Name],LocationsKey[District])</f>
        <v>#VALUE!</v>
      </c>
      <c r="I255" t="e" vm="12">
        <f>_xlfn.XLOOKUP(AllDataCorrected[[#This Row],[Site Name]],LocationsKey[Site Name],LocationsKey[Town])</f>
        <v>#VALUE!</v>
      </c>
      <c r="J255" t="str">
        <f>_xlfn.XLOOKUP(AllDataCorrected[[#This Row],[Site Name]],LocationsKey[Site Name], LocationsKey[Waterway])</f>
        <v>Stour</v>
      </c>
      <c r="K255" t="s">
        <v>263</v>
      </c>
      <c r="L255">
        <f>_xlfn.XLOOKUP(AllDataCorrected[[#This Row],[Site Name]],Tables!$B$12:$B$78, Tables!C$12:C$78)</f>
        <v>52.166358517241363</v>
      </c>
      <c r="M255">
        <f>_xlfn.XLOOKUP(AllDataCorrected[[#This Row],[Site Name]],Tables!$B$12:$B$78, Tables!D$12:D$78)</f>
        <v>-1.7080419310344837</v>
      </c>
      <c r="N255" t="s">
        <v>66</v>
      </c>
      <c r="O255">
        <v>504</v>
      </c>
      <c r="P255">
        <v>12.7</v>
      </c>
      <c r="Q255">
        <v>5</v>
      </c>
      <c r="R255" t="str">
        <f>IF(AllDataCorrected[[#This Row],[Nitrate (PPM)]]&gt;2, "4. Very high (&gt;2ppm)", IF(AllDataCorrected[[#This Row],[Nitrate (PPM)]]&gt;1, "3. High (1-2ppm)", IF(AllDataCorrected[[#This Row],[Nitrate (PPM)]]&gt;0.5, "2. Some evidence (0.5-1ppm)", IF(AllDataCorrected[[#This Row],[Nitrate (PPM)]]&gt;=0, "1. No evidence (&lt;0.5ppm)"))))</f>
        <v>4. Very high (&gt;2ppm)</v>
      </c>
      <c r="S255">
        <v>0.27</v>
      </c>
      <c r="T2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5">
        <v>1.85</v>
      </c>
      <c r="V255" t="s">
        <v>425</v>
      </c>
    </row>
    <row r="256" spans="1:22" x14ac:dyDescent="0.25">
      <c r="A256" t="s">
        <v>426</v>
      </c>
      <c r="B256" s="2">
        <v>45269</v>
      </c>
      <c r="C256" t="str" cm="1">
        <f t="array" ref="C2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6">
        <f>YEAR(AllDataCorrected[[#This Row],[Date]])</f>
        <v>2023</v>
      </c>
      <c r="E256" s="1">
        <v>0.63888888888888884</v>
      </c>
      <c r="F2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6" t="str">
        <f>_xlfn.XLOOKUP(AllDataCorrected[[#This Row],[Location Name]], Locations[Location Name],Locations[Group As])</f>
        <v>Clifford Chambers Road Bridge</v>
      </c>
      <c r="H256" t="e" vm="2">
        <f>_xlfn.XLOOKUP(AllDataCorrected[[#This Row],[Site Name]],LocationsKey[Site Name],LocationsKey[District])</f>
        <v>#VALUE!</v>
      </c>
      <c r="I256" t="e" vm="12">
        <f>_xlfn.XLOOKUP(AllDataCorrected[[#This Row],[Site Name]],LocationsKey[Site Name],LocationsKey[Town])</f>
        <v>#VALUE!</v>
      </c>
      <c r="J256" t="str">
        <f>_xlfn.XLOOKUP(AllDataCorrected[[#This Row],[Site Name]],LocationsKey[Site Name], LocationsKey[Waterway])</f>
        <v>Stour</v>
      </c>
      <c r="K256" t="s">
        <v>427</v>
      </c>
      <c r="L256">
        <f>_xlfn.XLOOKUP(AllDataCorrected[[#This Row],[Site Name]],Tables!$B$12:$B$78, Tables!C$12:C$78)</f>
        <v>52.172840000000001</v>
      </c>
      <c r="M256">
        <f>_xlfn.XLOOKUP(AllDataCorrected[[#This Row],[Site Name]],Tables!$B$12:$B$78, Tables!D$12:D$78)</f>
        <v>-1.71377</v>
      </c>
      <c r="N256" t="s">
        <v>80</v>
      </c>
      <c r="O256">
        <v>513</v>
      </c>
      <c r="P256">
        <v>12.9</v>
      </c>
      <c r="Q256">
        <v>5</v>
      </c>
      <c r="R256" t="str">
        <f>IF(AllDataCorrected[[#This Row],[Nitrate (PPM)]]&gt;2, "4. Very high (&gt;2ppm)", IF(AllDataCorrected[[#This Row],[Nitrate (PPM)]]&gt;1, "3. High (1-2ppm)", IF(AllDataCorrected[[#This Row],[Nitrate (PPM)]]&gt;0.5, "2. Some evidence (0.5-1ppm)", IF(AllDataCorrected[[#This Row],[Nitrate (PPM)]]&gt;=0, "1. No evidence (&lt;0.5ppm)"))))</f>
        <v>4. Very high (&gt;2ppm)</v>
      </c>
      <c r="S256">
        <v>0.34</v>
      </c>
      <c r="T2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6">
        <v>1.85</v>
      </c>
      <c r="V256" t="s">
        <v>428</v>
      </c>
    </row>
    <row r="257" spans="1:22" x14ac:dyDescent="0.25">
      <c r="A257" t="s">
        <v>429</v>
      </c>
      <c r="B257" s="2">
        <v>45270</v>
      </c>
      <c r="C257" t="str" cm="1">
        <f t="array" ref="C2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7">
        <f>YEAR(AllDataCorrected[[#This Row],[Date]])</f>
        <v>2023</v>
      </c>
      <c r="E257" s="1">
        <v>0.41666666666666669</v>
      </c>
      <c r="F2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7" t="str">
        <f>_xlfn.XLOOKUP(AllDataCorrected[[#This Row],[Location Name]], Locations[Location Name],Locations[Group As])</f>
        <v>Barton</v>
      </c>
      <c r="H257" t="e" vm="2">
        <f>_xlfn.XLOOKUP(AllDataCorrected[[#This Row],[Site Name]],LocationsKey[Site Name],LocationsKey[District])</f>
        <v>#VALUE!</v>
      </c>
      <c r="I257" t="str">
        <f>_xlfn.XLOOKUP(AllDataCorrected[[#This Row],[Site Name]],LocationsKey[Site Name],LocationsKey[Town])</f>
        <v>Barton</v>
      </c>
      <c r="J257" t="str">
        <f>_xlfn.XLOOKUP(AllDataCorrected[[#This Row],[Site Name]],LocationsKey[Site Name], LocationsKey[Waterway])</f>
        <v>Avon</v>
      </c>
      <c r="K257" t="s">
        <v>49</v>
      </c>
      <c r="L257">
        <f>_xlfn.XLOOKUP(AllDataCorrected[[#This Row],[Site Name]],Tables!$B$12:$B$78, Tables!C$12:C$78)</f>
        <v>52.16120999999999</v>
      </c>
      <c r="M257">
        <f>_xlfn.XLOOKUP(AllDataCorrected[[#This Row],[Site Name]],Tables!$B$12:$B$78, Tables!D$12:D$78)</f>
        <v>-1.8301499999999999</v>
      </c>
      <c r="N257" t="s">
        <v>29</v>
      </c>
      <c r="O257">
        <v>524</v>
      </c>
      <c r="P257">
        <v>7.5</v>
      </c>
      <c r="Q257">
        <v>5</v>
      </c>
      <c r="R257" t="str">
        <f>IF(AllDataCorrected[[#This Row],[Nitrate (PPM)]]&gt;2, "4. Very high (&gt;2ppm)", IF(AllDataCorrected[[#This Row],[Nitrate (PPM)]]&gt;1, "3. High (1-2ppm)", IF(AllDataCorrected[[#This Row],[Nitrate (PPM)]]&gt;0.5, "2. Some evidence (0.5-1ppm)", IF(AllDataCorrected[[#This Row],[Nitrate (PPM)]]&gt;=0, "1. No evidence (&lt;0.5ppm)"))))</f>
        <v>4. Very high (&gt;2ppm)</v>
      </c>
      <c r="S257">
        <v>0.64</v>
      </c>
      <c r="T2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7">
        <v>0</v>
      </c>
    </row>
    <row r="258" spans="1:22" x14ac:dyDescent="0.25">
      <c r="A258" t="s">
        <v>435</v>
      </c>
      <c r="B258" s="2">
        <v>45270</v>
      </c>
      <c r="C258" t="str" cm="1">
        <f t="array" ref="C2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8">
        <f>YEAR(AllDataCorrected[[#This Row],[Date]])</f>
        <v>2023</v>
      </c>
      <c r="E258" s="1">
        <v>0.41666666666666669</v>
      </c>
      <c r="F2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8" t="str">
        <f>_xlfn.XLOOKUP(AllDataCorrected[[#This Row],[Location Name]], Locations[Location Name],Locations[Group As])</f>
        <v>Lucy's Mill Bridge</v>
      </c>
      <c r="H258" t="e" vm="2">
        <f>_xlfn.XLOOKUP(AllDataCorrected[[#This Row],[Site Name]],LocationsKey[Site Name],LocationsKey[District])</f>
        <v>#VALUE!</v>
      </c>
      <c r="I258" t="e" vm="7">
        <f>_xlfn.XLOOKUP(AllDataCorrected[[#This Row],[Site Name]],LocationsKey[Site Name],LocationsKey[Town])</f>
        <v>#VALUE!</v>
      </c>
      <c r="J258" t="str">
        <f>_xlfn.XLOOKUP(AllDataCorrected[[#This Row],[Site Name]],LocationsKey[Site Name], LocationsKey[Waterway])</f>
        <v>Avon</v>
      </c>
      <c r="K258" t="s">
        <v>216</v>
      </c>
      <c r="L258">
        <f>_xlfn.XLOOKUP(AllDataCorrected[[#This Row],[Site Name]],Tables!$B$12:$B$78, Tables!C$12:C$78)</f>
        <v>52.183699000000011</v>
      </c>
      <c r="M258">
        <f>_xlfn.XLOOKUP(AllDataCorrected[[#This Row],[Site Name]],Tables!$B$12:$B$78, Tables!D$12:D$78)</f>
        <v>-1.7078160000000004</v>
      </c>
      <c r="N258" t="s">
        <v>29</v>
      </c>
      <c r="P258">
        <v>9</v>
      </c>
      <c r="Q258">
        <v>10</v>
      </c>
      <c r="R258" t="str">
        <f>IF(AllDataCorrected[[#This Row],[Nitrate (PPM)]]&gt;2, "4. Very high (&gt;2ppm)", IF(AllDataCorrected[[#This Row],[Nitrate (PPM)]]&gt;1, "3. High (1-2ppm)", IF(AllDataCorrected[[#This Row],[Nitrate (PPM)]]&gt;0.5, "2. Some evidence (0.5-1ppm)", IF(AllDataCorrected[[#This Row],[Nitrate (PPM)]]&gt;=0, "1. No evidence (&lt;0.5ppm)"))))</f>
        <v>4. Very high (&gt;2ppm)</v>
      </c>
      <c r="S258">
        <v>0.59</v>
      </c>
      <c r="T2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8">
        <v>0.7</v>
      </c>
    </row>
    <row r="259" spans="1:22" x14ac:dyDescent="0.25">
      <c r="A259" t="s">
        <v>430</v>
      </c>
      <c r="B259" s="2">
        <v>45270</v>
      </c>
      <c r="C259" t="str" cm="1">
        <f t="array" ref="C2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9">
        <f>YEAR(AllDataCorrected[[#This Row],[Date]])</f>
        <v>2023</v>
      </c>
      <c r="E259" s="1">
        <v>0.51041666666666663</v>
      </c>
      <c r="F2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9" t="str">
        <f>_xlfn.XLOOKUP(AllDataCorrected[[#This Row],[Location Name]], Locations[Location Name],Locations[Group As])</f>
        <v>Hampton Wood</v>
      </c>
      <c r="H259" t="e" vm="2">
        <f>_xlfn.XLOOKUP(AllDataCorrected[[#This Row],[Site Name]],LocationsKey[Site Name],LocationsKey[District])</f>
        <v>#VALUE!</v>
      </c>
      <c r="I259" t="e" vm="3">
        <f>_xlfn.XLOOKUP(AllDataCorrected[[#This Row],[Site Name]],LocationsKey[Site Name],LocationsKey[Town])</f>
        <v>#VALUE!</v>
      </c>
      <c r="J259" t="str">
        <f>_xlfn.XLOOKUP(AllDataCorrected[[#This Row],[Site Name]],LocationsKey[Site Name], LocationsKey[Waterway])</f>
        <v>Avon</v>
      </c>
      <c r="K259" t="s">
        <v>34</v>
      </c>
      <c r="L259">
        <f>_xlfn.XLOOKUP(AllDataCorrected[[#This Row],[Site Name]],Tables!$B$12:$B$78, Tables!C$12:C$78)</f>
        <v>52.23814999999999</v>
      </c>
      <c r="M259">
        <f>_xlfn.XLOOKUP(AllDataCorrected[[#This Row],[Site Name]],Tables!$B$12:$B$78, Tables!D$12:D$78)</f>
        <v>-1.6245800000000008</v>
      </c>
      <c r="N259" t="s">
        <v>29</v>
      </c>
      <c r="O259">
        <v>536</v>
      </c>
      <c r="P259">
        <v>9</v>
      </c>
      <c r="Q259">
        <v>10</v>
      </c>
      <c r="R259" t="str">
        <f>IF(AllDataCorrected[[#This Row],[Nitrate (PPM)]]&gt;2, "4. Very high (&gt;2ppm)", IF(AllDataCorrected[[#This Row],[Nitrate (PPM)]]&gt;1, "3. High (1-2ppm)", IF(AllDataCorrected[[#This Row],[Nitrate (PPM)]]&gt;0.5, "2. Some evidence (0.5-1ppm)", IF(AllDataCorrected[[#This Row],[Nitrate (PPM)]]&gt;=0, "1. No evidence (&lt;0.5ppm)"))))</f>
        <v>4. Very high (&gt;2ppm)</v>
      </c>
      <c r="S259">
        <v>0.37</v>
      </c>
      <c r="T2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9">
        <v>0</v>
      </c>
    </row>
    <row r="260" spans="1:22" x14ac:dyDescent="0.25">
      <c r="A260" t="s">
        <v>431</v>
      </c>
      <c r="B260" s="2">
        <v>45270</v>
      </c>
      <c r="C260" t="str" cm="1">
        <f t="array" ref="C2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0">
        <f>YEAR(AllDataCorrected[[#This Row],[Date]])</f>
        <v>2023</v>
      </c>
      <c r="E260" s="1">
        <v>0.66666666666666663</v>
      </c>
      <c r="F2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0" t="str">
        <f>_xlfn.XLOOKUP(AllDataCorrected[[#This Row],[Location Name]], Locations[Location Name],Locations[Group As])</f>
        <v>Stour Shipston Mill Bridge</v>
      </c>
      <c r="H260" t="e" vm="2">
        <f>_xlfn.XLOOKUP(AllDataCorrected[[#This Row],[Site Name]],LocationsKey[Site Name],LocationsKey[District])</f>
        <v>#VALUE!</v>
      </c>
      <c r="I260" t="e" vm="10">
        <f>_xlfn.XLOOKUP(AllDataCorrected[[#This Row],[Site Name]],LocationsKey[Site Name],LocationsKey[Town])</f>
        <v>#VALUE!</v>
      </c>
      <c r="J260" t="str">
        <f>_xlfn.XLOOKUP(AllDataCorrected[[#This Row],[Site Name]],LocationsKey[Site Name], LocationsKey[Waterway])</f>
        <v>Stour</v>
      </c>
      <c r="K260" t="s">
        <v>432</v>
      </c>
      <c r="L260">
        <f>_xlfn.XLOOKUP(AllDataCorrected[[#This Row],[Site Name]],Tables!$B$12:$B$78, Tables!C$12:C$78)</f>
        <v>52.06201572727273</v>
      </c>
      <c r="M260">
        <f>_xlfn.XLOOKUP(AllDataCorrected[[#This Row],[Site Name]],Tables!$B$12:$B$78, Tables!D$12:D$78)</f>
        <v>-1.6218167272727273</v>
      </c>
      <c r="N260" t="s">
        <v>23</v>
      </c>
      <c r="O260">
        <v>543</v>
      </c>
      <c r="P260">
        <v>9.3000000000000007</v>
      </c>
      <c r="Q260">
        <v>2</v>
      </c>
      <c r="R260" t="str">
        <f>IF(AllDataCorrected[[#This Row],[Nitrate (PPM)]]&gt;2, "4. Very high (&gt;2ppm)", IF(AllDataCorrected[[#This Row],[Nitrate (PPM)]]&gt;1, "3. High (1-2ppm)", IF(AllDataCorrected[[#This Row],[Nitrate (PPM)]]&gt;0.5, "2. Some evidence (0.5-1ppm)", IF(AllDataCorrected[[#This Row],[Nitrate (PPM)]]&gt;=0, "1. No evidence (&lt;0.5ppm)"))))</f>
        <v>3. High (1-2ppm)</v>
      </c>
      <c r="S260">
        <v>0.23</v>
      </c>
      <c r="T2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0">
        <v>3</v>
      </c>
    </row>
    <row r="261" spans="1:22" x14ac:dyDescent="0.25">
      <c r="A261" t="s">
        <v>433</v>
      </c>
      <c r="B261" s="2">
        <v>45270</v>
      </c>
      <c r="C261" t="str" cm="1">
        <f t="array" ref="C2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1">
        <f>YEAR(AllDataCorrected[[#This Row],[Date]])</f>
        <v>2023</v>
      </c>
      <c r="E261" s="1">
        <v>0.66666666666666663</v>
      </c>
      <c r="F2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1" t="str">
        <f>_xlfn.XLOOKUP(AllDataCorrected[[#This Row],[Location Name]], Locations[Location Name],Locations[Group As])</f>
        <v>Welford Boat Station</v>
      </c>
      <c r="H261" t="e" vm="2">
        <f>_xlfn.XLOOKUP(AllDataCorrected[[#This Row],[Site Name]],LocationsKey[Site Name],LocationsKey[District])</f>
        <v>#VALUE!</v>
      </c>
      <c r="I261" t="e" vm="5">
        <f>_xlfn.XLOOKUP(AllDataCorrected[[#This Row],[Site Name]],LocationsKey[Site Name],LocationsKey[Town])</f>
        <v>#VALUE!</v>
      </c>
      <c r="J261" t="str">
        <f>_xlfn.XLOOKUP(AllDataCorrected[[#This Row],[Site Name]],LocationsKey[Site Name], LocationsKey[Waterway])</f>
        <v>Avon</v>
      </c>
      <c r="K261" t="s">
        <v>39</v>
      </c>
      <c r="L261">
        <f>_xlfn.XLOOKUP(AllDataCorrected[[#This Row],[Site Name]],Tables!$B$12:$B$78, Tables!C$12:C$78)</f>
        <v>52.175174684210546</v>
      </c>
      <c r="M261">
        <f>_xlfn.XLOOKUP(AllDataCorrected[[#This Row],[Site Name]],Tables!$B$12:$B$78, Tables!D$12:D$78)</f>
        <v>-1.7918551052631577</v>
      </c>
      <c r="N261" t="s">
        <v>29</v>
      </c>
      <c r="O261">
        <v>538</v>
      </c>
      <c r="P261">
        <v>8.5</v>
      </c>
      <c r="Q261">
        <v>10</v>
      </c>
      <c r="R261" t="str">
        <f>IF(AllDataCorrected[[#This Row],[Nitrate (PPM)]]&gt;2, "4. Very high (&gt;2ppm)", IF(AllDataCorrected[[#This Row],[Nitrate (PPM)]]&gt;1, "3. High (1-2ppm)", IF(AllDataCorrected[[#This Row],[Nitrate (PPM)]]&gt;0.5, "2. Some evidence (0.5-1ppm)", IF(AllDataCorrected[[#This Row],[Nitrate (PPM)]]&gt;=0, "1. No evidence (&lt;0.5ppm)"))))</f>
        <v>4. Very high (&gt;2ppm)</v>
      </c>
      <c r="S261">
        <v>0.6</v>
      </c>
      <c r="T2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1">
        <v>0</v>
      </c>
    </row>
    <row r="262" spans="1:22" x14ac:dyDescent="0.25">
      <c r="A262" t="s">
        <v>434</v>
      </c>
      <c r="B262" s="2">
        <v>45270</v>
      </c>
      <c r="C262" t="str" cm="1">
        <f t="array" ref="C2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2">
        <f>YEAR(AllDataCorrected[[#This Row],[Date]])</f>
        <v>2023</v>
      </c>
      <c r="E262" s="1">
        <v>0.67777777777777781</v>
      </c>
      <c r="F2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2" t="str">
        <f>_xlfn.XLOOKUP(AllDataCorrected[[#This Row],[Location Name]], Locations[Location Name],Locations[Group As])</f>
        <v>Abbey Mill</v>
      </c>
      <c r="H262" t="e" vm="1">
        <f>_xlfn.XLOOKUP(AllDataCorrected[[#This Row],[Site Name]],LocationsKey[Site Name],LocationsKey[District])</f>
        <v>#VALUE!</v>
      </c>
      <c r="I262" t="e" vm="1">
        <f>_xlfn.XLOOKUP(AllDataCorrected[[#This Row],[Site Name]],LocationsKey[Site Name],LocationsKey[Town])</f>
        <v>#VALUE!</v>
      </c>
      <c r="J262" t="str">
        <f>_xlfn.XLOOKUP(AllDataCorrected[[#This Row],[Site Name]],LocationsKey[Site Name], LocationsKey[Waterway])</f>
        <v>Avon</v>
      </c>
      <c r="K262" t="s">
        <v>22</v>
      </c>
      <c r="L262">
        <f>_xlfn.XLOOKUP(AllDataCorrected[[#This Row],[Site Name]],Tables!$B$12:$B$78, Tables!C$12:C$78)</f>
        <v>51.991389555555564</v>
      </c>
      <c r="M262">
        <f>_xlfn.XLOOKUP(AllDataCorrected[[#This Row],[Site Name]],Tables!$B$12:$B$78, Tables!D$12:D$78)</f>
        <v>-2.1620794000000005</v>
      </c>
      <c r="N262" t="s">
        <v>23</v>
      </c>
      <c r="O262">
        <v>512</v>
      </c>
      <c r="P262">
        <v>10.8</v>
      </c>
      <c r="Q262">
        <v>5</v>
      </c>
      <c r="R262" t="str">
        <f>IF(AllDataCorrected[[#This Row],[Nitrate (PPM)]]&gt;2, "4. Very high (&gt;2ppm)", IF(AllDataCorrected[[#This Row],[Nitrate (PPM)]]&gt;1, "3. High (1-2ppm)", IF(AllDataCorrected[[#This Row],[Nitrate (PPM)]]&gt;0.5, "2. Some evidence (0.5-1ppm)", IF(AllDataCorrected[[#This Row],[Nitrate (PPM)]]&gt;=0, "1. No evidence (&lt;0.5ppm)"))))</f>
        <v>4. Very high (&gt;2ppm)</v>
      </c>
      <c r="S262">
        <v>0.76</v>
      </c>
      <c r="T2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2">
        <v>2</v>
      </c>
      <c r="V262" t="s">
        <v>270</v>
      </c>
    </row>
    <row r="263" spans="1:22" x14ac:dyDescent="0.25">
      <c r="A263" t="s">
        <v>436</v>
      </c>
      <c r="B263" s="2">
        <v>45271</v>
      </c>
      <c r="C263" t="str" cm="1">
        <f t="array" ref="C2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3">
        <f>YEAR(AllDataCorrected[[#This Row],[Date]])</f>
        <v>2023</v>
      </c>
      <c r="E263" s="1">
        <v>0.36805555555555558</v>
      </c>
      <c r="F2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63" t="str">
        <f>_xlfn.XLOOKUP(AllDataCorrected[[#This Row],[Location Name]], Locations[Location Name],Locations[Group As])</f>
        <v>Stour Stretton-on-Fosse Village</v>
      </c>
      <c r="H263" t="e" vm="2">
        <f>_xlfn.XLOOKUP(AllDataCorrected[[#This Row],[Site Name]],LocationsKey[Site Name],LocationsKey[District])</f>
        <v>#VALUE!</v>
      </c>
      <c r="I263" t="e" vm="14">
        <f>_xlfn.XLOOKUP(AllDataCorrected[[#This Row],[Site Name]],LocationsKey[Site Name],LocationsKey[Town])</f>
        <v>#VALUE!</v>
      </c>
      <c r="J263" t="str">
        <f>_xlfn.XLOOKUP(AllDataCorrected[[#This Row],[Site Name]],LocationsKey[Site Name], LocationsKey[Waterway])</f>
        <v>Stour</v>
      </c>
      <c r="K263" t="s">
        <v>383</v>
      </c>
      <c r="L263">
        <f>_xlfn.XLOOKUP(AllDataCorrected[[#This Row],[Site Name]],Tables!$B$12:$B$78, Tables!C$12:C$78)</f>
        <v>52.046517558823524</v>
      </c>
      <c r="M263">
        <f>_xlfn.XLOOKUP(AllDataCorrected[[#This Row],[Site Name]],Tables!$B$12:$B$78, Tables!D$12:D$78)</f>
        <v>-1.6734143529411767</v>
      </c>
      <c r="N263" t="s">
        <v>66</v>
      </c>
      <c r="O263">
        <v>449</v>
      </c>
      <c r="P263">
        <v>8.8000000000000007</v>
      </c>
      <c r="Q263">
        <v>2</v>
      </c>
      <c r="R263" t="str">
        <f>IF(AllDataCorrected[[#This Row],[Nitrate (PPM)]]&gt;2, "4. Very high (&gt;2ppm)", IF(AllDataCorrected[[#This Row],[Nitrate (PPM)]]&gt;1, "3. High (1-2ppm)", IF(AllDataCorrected[[#This Row],[Nitrate (PPM)]]&gt;0.5, "2. Some evidence (0.5-1ppm)", IF(AllDataCorrected[[#This Row],[Nitrate (PPM)]]&gt;=0, "1. No evidence (&lt;0.5ppm)"))))</f>
        <v>3. High (1-2ppm)</v>
      </c>
      <c r="S263">
        <v>0.6</v>
      </c>
      <c r="T2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3">
        <v>0.4</v>
      </c>
    </row>
    <row r="264" spans="1:22" x14ac:dyDescent="0.25">
      <c r="A264" t="s">
        <v>437</v>
      </c>
      <c r="B264" s="2">
        <v>45271</v>
      </c>
      <c r="C264" t="str" cm="1">
        <f t="array" ref="C2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4">
        <f>YEAR(AllDataCorrected[[#This Row],[Date]])</f>
        <v>2023</v>
      </c>
      <c r="E264" s="1">
        <v>0.37916666666666665</v>
      </c>
      <c r="F2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64" t="str">
        <f>_xlfn.XLOOKUP(AllDataCorrected[[#This Row],[Location Name]], Locations[Location Name],Locations[Group As])</f>
        <v>Stour Stretton-on-Fosse Sewage Works</v>
      </c>
      <c r="H264" t="e" vm="2">
        <f>_xlfn.XLOOKUP(AllDataCorrected[[#This Row],[Site Name]],LocationsKey[Site Name],LocationsKey[District])</f>
        <v>#VALUE!</v>
      </c>
      <c r="I264" t="e" vm="14">
        <f>_xlfn.XLOOKUP(AllDataCorrected[[#This Row],[Site Name]],LocationsKey[Site Name],LocationsKey[Town])</f>
        <v>#VALUE!</v>
      </c>
      <c r="J264" t="str">
        <f>_xlfn.XLOOKUP(AllDataCorrected[[#This Row],[Site Name]],LocationsKey[Site Name], LocationsKey[Waterway])</f>
        <v>Stour</v>
      </c>
      <c r="K264" t="s">
        <v>335</v>
      </c>
      <c r="L264">
        <f>_xlfn.XLOOKUP(AllDataCorrected[[#This Row],[Site Name]],Tables!$B$12:$B$78, Tables!C$12:C$78)</f>
        <v>52.045653647058806</v>
      </c>
      <c r="M264">
        <f>_xlfn.XLOOKUP(AllDataCorrected[[#This Row],[Site Name]],Tables!$B$12:$B$78, Tables!D$12:D$78)</f>
        <v>-1.6719221470588235</v>
      </c>
      <c r="N264" t="s">
        <v>29</v>
      </c>
      <c r="O264">
        <v>435</v>
      </c>
      <c r="P264">
        <v>8.3000000000000007</v>
      </c>
      <c r="Q264">
        <v>2</v>
      </c>
      <c r="R264" t="str">
        <f>IF(AllDataCorrected[[#This Row],[Nitrate (PPM)]]&gt;2, "4. Very high (&gt;2ppm)", IF(AllDataCorrected[[#This Row],[Nitrate (PPM)]]&gt;1, "3. High (1-2ppm)", IF(AllDataCorrected[[#This Row],[Nitrate (PPM)]]&gt;0.5, "2. Some evidence (0.5-1ppm)", IF(AllDataCorrected[[#This Row],[Nitrate (PPM)]]&gt;=0, "1. No evidence (&lt;0.5ppm)"))))</f>
        <v>3. High (1-2ppm)</v>
      </c>
      <c r="S264">
        <v>0.56999999999999995</v>
      </c>
      <c r="T2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4">
        <v>0.6</v>
      </c>
    </row>
    <row r="265" spans="1:22" x14ac:dyDescent="0.25">
      <c r="A265" t="s">
        <v>438</v>
      </c>
      <c r="B265" s="2">
        <v>45271</v>
      </c>
      <c r="C265" t="str" cm="1">
        <f t="array" ref="C2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5">
        <f>YEAR(AllDataCorrected[[#This Row],[Date]])</f>
        <v>2023</v>
      </c>
      <c r="E265" s="1">
        <v>0.61458333333333337</v>
      </c>
      <c r="F2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5" t="str">
        <f>_xlfn.XLOOKUP(AllDataCorrected[[#This Row],[Location Name]], Locations[Location Name],Locations[Group As])</f>
        <v>Carrant Bredon Rd</v>
      </c>
      <c r="H265" t="e" vm="1">
        <f>_xlfn.XLOOKUP(AllDataCorrected[[#This Row],[Site Name]],LocationsKey[Site Name],LocationsKey[District])</f>
        <v>#VALUE!</v>
      </c>
      <c r="I265" t="e" vm="1">
        <f>_xlfn.XLOOKUP(AllDataCorrected[[#This Row],[Site Name]],LocationsKey[Site Name],LocationsKey[Town])</f>
        <v>#VALUE!</v>
      </c>
      <c r="J265" t="str">
        <f>_xlfn.XLOOKUP(AllDataCorrected[[#This Row],[Site Name]],LocationsKey[Site Name], LocationsKey[Waterway])</f>
        <v>Carrant</v>
      </c>
      <c r="K265" t="s">
        <v>439</v>
      </c>
      <c r="L265">
        <f>_xlfn.XLOOKUP(AllDataCorrected[[#This Row],[Site Name]],Tables!$B$12:$B$78, Tables!C$12:C$78)</f>
        <v>51.996416567567572</v>
      </c>
      <c r="M265">
        <f>_xlfn.XLOOKUP(AllDataCorrected[[#This Row],[Site Name]],Tables!$B$12:$B$78, Tables!D$12:D$78)</f>
        <v>-2.1556626756756749</v>
      </c>
      <c r="N265" t="s">
        <v>23</v>
      </c>
      <c r="O265">
        <v>628</v>
      </c>
      <c r="P265">
        <v>9.6</v>
      </c>
      <c r="Q265">
        <v>6</v>
      </c>
      <c r="R265" t="str">
        <f>IF(AllDataCorrected[[#This Row],[Nitrate (PPM)]]&gt;2, "4. Very high (&gt;2ppm)", IF(AllDataCorrected[[#This Row],[Nitrate (PPM)]]&gt;1, "3. High (1-2ppm)", IF(AllDataCorrected[[#This Row],[Nitrate (PPM)]]&gt;0.5, "2. Some evidence (0.5-1ppm)", IF(AllDataCorrected[[#This Row],[Nitrate (PPM)]]&gt;=0, "1. No evidence (&lt;0.5ppm)"))))</f>
        <v>4. Very high (&gt;2ppm)</v>
      </c>
      <c r="S265">
        <v>0.35</v>
      </c>
      <c r="T2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5">
        <v>1.5</v>
      </c>
      <c r="V265" t="s">
        <v>291</v>
      </c>
    </row>
    <row r="266" spans="1:22" x14ac:dyDescent="0.25">
      <c r="A266" t="s">
        <v>440</v>
      </c>
      <c r="B266" s="2">
        <v>45273</v>
      </c>
      <c r="C266" t="str" cm="1">
        <f t="array" ref="C2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6">
        <f>YEAR(AllDataCorrected[[#This Row],[Date]])</f>
        <v>2023</v>
      </c>
      <c r="E266" s="1">
        <v>0.59375</v>
      </c>
      <c r="F2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6" t="str">
        <f>_xlfn.XLOOKUP(AllDataCorrected[[#This Row],[Location Name]], Locations[Location Name],Locations[Group As])</f>
        <v>Alveston Weir</v>
      </c>
      <c r="H266" t="e" vm="2">
        <f>_xlfn.XLOOKUP(AllDataCorrected[[#This Row],[Site Name]],LocationsKey[Site Name],LocationsKey[District])</f>
        <v>#VALUE!</v>
      </c>
      <c r="I266" t="e" vm="13">
        <f>_xlfn.XLOOKUP(AllDataCorrected[[#This Row],[Site Name]],LocationsKey[Site Name],LocationsKey[Town])</f>
        <v>#VALUE!</v>
      </c>
      <c r="J266" t="str">
        <f>_xlfn.XLOOKUP(AllDataCorrected[[#This Row],[Site Name]],LocationsKey[Site Name], LocationsKey[Waterway])</f>
        <v>Avon</v>
      </c>
      <c r="K266" t="s">
        <v>286</v>
      </c>
      <c r="L266">
        <f>_xlfn.XLOOKUP(AllDataCorrected[[#This Row],[Site Name]],Tables!$B$12:$B$78, Tables!C$12:C$78)</f>
        <v>52.212366690476216</v>
      </c>
      <c r="M266">
        <f>_xlfn.XLOOKUP(AllDataCorrected[[#This Row],[Site Name]],Tables!$B$12:$B$78, Tables!D$12:D$78)</f>
        <v>-1.6602567619047619</v>
      </c>
      <c r="N266" t="s">
        <v>29</v>
      </c>
      <c r="O266">
        <v>525</v>
      </c>
      <c r="P266">
        <v>8.6999999999999993</v>
      </c>
      <c r="Q266">
        <v>5</v>
      </c>
      <c r="R266" t="str">
        <f>IF(AllDataCorrected[[#This Row],[Nitrate (PPM)]]&gt;2, "4. Very high (&gt;2ppm)", IF(AllDataCorrected[[#This Row],[Nitrate (PPM)]]&gt;1, "3. High (1-2ppm)", IF(AllDataCorrected[[#This Row],[Nitrate (PPM)]]&gt;0.5, "2. Some evidence (0.5-1ppm)", IF(AllDataCorrected[[#This Row],[Nitrate (PPM)]]&gt;=0, "1. No evidence (&lt;0.5ppm)"))))</f>
        <v>4. Very high (&gt;2ppm)</v>
      </c>
      <c r="S266">
        <v>0.43</v>
      </c>
      <c r="T2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6">
        <v>2</v>
      </c>
      <c r="V266" t="s">
        <v>441</v>
      </c>
    </row>
    <row r="267" spans="1:22" x14ac:dyDescent="0.25">
      <c r="A267" t="s">
        <v>442</v>
      </c>
      <c r="B267" s="2">
        <v>45273</v>
      </c>
      <c r="C267" t="str" cm="1">
        <f t="array" ref="C2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7">
        <f>YEAR(AllDataCorrected[[#This Row],[Date]])</f>
        <v>2023</v>
      </c>
      <c r="E267" s="1">
        <v>0.60416666666666663</v>
      </c>
      <c r="F26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7" t="str">
        <f>_xlfn.XLOOKUP(AllDataCorrected[[#This Row],[Location Name]], Locations[Location Name],Locations[Group As])</f>
        <v>Swiffen Bank</v>
      </c>
      <c r="H267" t="e" vm="2">
        <f>_xlfn.XLOOKUP(AllDataCorrected[[#This Row],[Site Name]],LocationsKey[Site Name],LocationsKey[District])</f>
        <v>#VALUE!</v>
      </c>
      <c r="I267" t="e" vm="13">
        <f>_xlfn.XLOOKUP(AllDataCorrected[[#This Row],[Site Name]],LocationsKey[Site Name],LocationsKey[Town])</f>
        <v>#VALUE!</v>
      </c>
      <c r="J267" t="str">
        <f>_xlfn.XLOOKUP(AllDataCorrected[[#This Row],[Site Name]],LocationsKey[Site Name], LocationsKey[Waterway])</f>
        <v>Avon</v>
      </c>
      <c r="K267" t="s">
        <v>443</v>
      </c>
      <c r="L267">
        <f>_xlfn.XLOOKUP(AllDataCorrected[[#This Row],[Site Name]],Tables!$B$12:$B$78, Tables!C$12:C$78)</f>
        <v>52.206446825000015</v>
      </c>
      <c r="M267">
        <f>_xlfn.XLOOKUP(AllDataCorrected[[#This Row],[Site Name]],Tables!$B$12:$B$78, Tables!D$12:D$78)</f>
        <v>-1.6541684000000003</v>
      </c>
      <c r="N267" t="s">
        <v>29</v>
      </c>
      <c r="O267">
        <v>511</v>
      </c>
      <c r="P267">
        <v>8.5</v>
      </c>
      <c r="Q267">
        <v>5</v>
      </c>
      <c r="R267" t="str">
        <f>IF(AllDataCorrected[[#This Row],[Nitrate (PPM)]]&gt;2, "4. Very high (&gt;2ppm)", IF(AllDataCorrected[[#This Row],[Nitrate (PPM)]]&gt;1, "3. High (1-2ppm)", IF(AllDataCorrected[[#This Row],[Nitrate (PPM)]]&gt;0.5, "2. Some evidence (0.5-1ppm)", IF(AllDataCorrected[[#This Row],[Nitrate (PPM)]]&gt;=0, "1. No evidence (&lt;0.5ppm)"))))</f>
        <v>4. Very high (&gt;2ppm)</v>
      </c>
      <c r="S267">
        <v>0.55000000000000004</v>
      </c>
      <c r="T2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7">
        <v>2</v>
      </c>
      <c r="V267" t="s">
        <v>344</v>
      </c>
    </row>
    <row r="268" spans="1:22" x14ac:dyDescent="0.25">
      <c r="A268" t="s">
        <v>444</v>
      </c>
      <c r="B268" s="2">
        <v>45273</v>
      </c>
      <c r="C268" t="str" cm="1">
        <f t="array" ref="C2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8">
        <f>YEAR(AllDataCorrected[[#This Row],[Date]])</f>
        <v>2023</v>
      </c>
      <c r="E268" s="1">
        <v>0.625</v>
      </c>
      <c r="F26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8" t="str">
        <f>_xlfn.XLOOKUP(AllDataCorrected[[#This Row],[Location Name]], Locations[Location Name],Locations[Group As])</f>
        <v>Weston-on-Avon</v>
      </c>
      <c r="H268" t="e" vm="2">
        <f>_xlfn.XLOOKUP(AllDataCorrected[[#This Row],[Site Name]],LocationsKey[Site Name],LocationsKey[District])</f>
        <v>#VALUE!</v>
      </c>
      <c r="I268" t="e" vm="6">
        <f>_xlfn.XLOOKUP(AllDataCorrected[[#This Row],[Site Name]],LocationsKey[Site Name],LocationsKey[Town])</f>
        <v>#VALUE!</v>
      </c>
      <c r="J268" t="str">
        <f>_xlfn.XLOOKUP(AllDataCorrected[[#This Row],[Site Name]],LocationsKey[Site Name], LocationsKey[Waterway])</f>
        <v>Avon</v>
      </c>
      <c r="K268" t="s">
        <v>41</v>
      </c>
      <c r="L268">
        <f>_xlfn.XLOOKUP(AllDataCorrected[[#This Row],[Site Name]],Tables!$B$12:$B$78, Tables!C$12:C$78)</f>
        <v>52.167429999999996</v>
      </c>
      <c r="M268">
        <f>_xlfn.XLOOKUP(AllDataCorrected[[#This Row],[Site Name]],Tables!$B$12:$B$78, Tables!D$12:D$78)</f>
        <v>-1.7744752941176474</v>
      </c>
      <c r="N268" t="s">
        <v>29</v>
      </c>
      <c r="O268">
        <v>598</v>
      </c>
      <c r="P268">
        <v>8.3000000000000007</v>
      </c>
      <c r="Q268">
        <v>7</v>
      </c>
      <c r="R268" t="str">
        <f>IF(AllDataCorrected[[#This Row],[Nitrate (PPM)]]&gt;2, "4. Very high (&gt;2ppm)", IF(AllDataCorrected[[#This Row],[Nitrate (PPM)]]&gt;1, "3. High (1-2ppm)", IF(AllDataCorrected[[#This Row],[Nitrate (PPM)]]&gt;0.5, "2. Some evidence (0.5-1ppm)", IF(AllDataCorrected[[#This Row],[Nitrate (PPM)]]&gt;=0, "1. No evidence (&lt;0.5ppm)"))))</f>
        <v>4. Very high (&gt;2ppm)</v>
      </c>
      <c r="S268">
        <v>0.4</v>
      </c>
      <c r="T2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8">
        <v>0</v>
      </c>
    </row>
    <row r="269" spans="1:22" x14ac:dyDescent="0.25">
      <c r="A269" t="s">
        <v>445</v>
      </c>
      <c r="B269" s="2">
        <v>45273</v>
      </c>
      <c r="C269" t="str" cm="1">
        <f t="array" ref="C2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9">
        <f>YEAR(AllDataCorrected[[#This Row],[Date]])</f>
        <v>2023</v>
      </c>
      <c r="E269" s="1">
        <v>0.64583333333333337</v>
      </c>
      <c r="F2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9" t="str">
        <f>_xlfn.XLOOKUP(AllDataCorrected[[#This Row],[Location Name]], Locations[Location Name],Locations[Group As])</f>
        <v>Stour Newbold Mill</v>
      </c>
      <c r="H269" t="e" vm="2">
        <f>_xlfn.XLOOKUP(AllDataCorrected[[#This Row],[Site Name]],LocationsKey[Site Name],LocationsKey[District])</f>
        <v>#VALUE!</v>
      </c>
      <c r="I269" t="e" vm="8">
        <f>_xlfn.XLOOKUP(AllDataCorrected[[#This Row],[Site Name]],LocationsKey[Site Name],LocationsKey[Town])</f>
        <v>#VALUE!</v>
      </c>
      <c r="J269" t="str">
        <f>_xlfn.XLOOKUP(AllDataCorrected[[#This Row],[Site Name]],LocationsKey[Site Name], LocationsKey[Waterway])</f>
        <v>Stour</v>
      </c>
      <c r="K269" t="s">
        <v>140</v>
      </c>
      <c r="L269">
        <f>_xlfn.XLOOKUP(AllDataCorrected[[#This Row],[Site Name]],Tables!$B$12:$B$78, Tables!C$12:C$78)</f>
        <v>52.113052370370362</v>
      </c>
      <c r="M269">
        <f>_xlfn.XLOOKUP(AllDataCorrected[[#This Row],[Site Name]],Tables!$B$12:$B$78, Tables!D$12:D$78)</f>
        <v>-1.6333685185185185</v>
      </c>
      <c r="N269" t="s">
        <v>66</v>
      </c>
      <c r="O269">
        <v>513</v>
      </c>
      <c r="P269">
        <v>9.8000000000000007</v>
      </c>
      <c r="Q269">
        <v>5</v>
      </c>
      <c r="R269" t="str">
        <f>IF(AllDataCorrected[[#This Row],[Nitrate (PPM)]]&gt;2, "4. Very high (&gt;2ppm)", IF(AllDataCorrected[[#This Row],[Nitrate (PPM)]]&gt;1, "3. High (1-2ppm)", IF(AllDataCorrected[[#This Row],[Nitrate (PPM)]]&gt;0.5, "2. Some evidence (0.5-1ppm)", IF(AllDataCorrected[[#This Row],[Nitrate (PPM)]]&gt;=0, "1. No evidence (&lt;0.5ppm)"))))</f>
        <v>4. Very high (&gt;2ppm)</v>
      </c>
      <c r="S269">
        <v>0.19</v>
      </c>
      <c r="T2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9">
        <v>3</v>
      </c>
      <c r="V269" t="s">
        <v>411</v>
      </c>
    </row>
    <row r="270" spans="1:22" x14ac:dyDescent="0.25">
      <c r="A270" t="s">
        <v>446</v>
      </c>
      <c r="B270" s="2">
        <v>45274</v>
      </c>
      <c r="C270" t="str" cm="1">
        <f t="array" ref="C2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0">
        <f>YEAR(AllDataCorrected[[#This Row],[Date]])</f>
        <v>2023</v>
      </c>
      <c r="E270" s="1">
        <v>0.65277777777777779</v>
      </c>
      <c r="F2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0" t="str">
        <f>_xlfn.XLOOKUP(AllDataCorrected[[#This Row],[Location Name]], Locations[Location Name],Locations[Group As])</f>
        <v>Swilgate</v>
      </c>
      <c r="H270" t="e" vm="1">
        <f>_xlfn.XLOOKUP(AllDataCorrected[[#This Row],[Site Name]],LocationsKey[Site Name],LocationsKey[District])</f>
        <v>#VALUE!</v>
      </c>
      <c r="I270" t="e" vm="1">
        <f>_xlfn.XLOOKUP(AllDataCorrected[[#This Row],[Site Name]],LocationsKey[Site Name],LocationsKey[Town])</f>
        <v>#VALUE!</v>
      </c>
      <c r="J270" t="str">
        <f>_xlfn.XLOOKUP(AllDataCorrected[[#This Row],[Site Name]],LocationsKey[Site Name], LocationsKey[Waterway])</f>
        <v>Swilgate</v>
      </c>
      <c r="K270" t="s">
        <v>84</v>
      </c>
      <c r="L270">
        <f>_xlfn.XLOOKUP(AllDataCorrected[[#This Row],[Site Name]],Tables!$B$12:$B$78, Tables!C$12:C$78)</f>
        <v>51.9885442</v>
      </c>
      <c r="M270">
        <f>_xlfn.XLOOKUP(AllDataCorrected[[#This Row],[Site Name]],Tables!$B$12:$B$78, Tables!D$12:D$78)</f>
        <v>-2.1639010000000001</v>
      </c>
      <c r="N270" t="s">
        <v>23</v>
      </c>
      <c r="O270">
        <v>715</v>
      </c>
      <c r="P270">
        <v>9.1</v>
      </c>
      <c r="Q270">
        <v>6</v>
      </c>
      <c r="R270" t="str">
        <f>IF(AllDataCorrected[[#This Row],[Nitrate (PPM)]]&gt;2, "4. Very high (&gt;2ppm)", IF(AllDataCorrected[[#This Row],[Nitrate (PPM)]]&gt;1, "3. High (1-2ppm)", IF(AllDataCorrected[[#This Row],[Nitrate (PPM)]]&gt;0.5, "2. Some evidence (0.5-1ppm)", IF(AllDataCorrected[[#This Row],[Nitrate (PPM)]]&gt;=0, "1. No evidence (&lt;0.5ppm)"))))</f>
        <v>4. Very high (&gt;2ppm)</v>
      </c>
      <c r="S270">
        <v>0.43</v>
      </c>
      <c r="T2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0">
        <v>2</v>
      </c>
      <c r="V270" t="s">
        <v>291</v>
      </c>
    </row>
    <row r="271" spans="1:22" x14ac:dyDescent="0.25">
      <c r="A271" t="s">
        <v>447</v>
      </c>
      <c r="B271" s="2">
        <v>45276</v>
      </c>
      <c r="C271" t="str" cm="1">
        <f t="array" ref="C2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1">
        <f>YEAR(AllDataCorrected[[#This Row],[Date]])</f>
        <v>2023</v>
      </c>
      <c r="E271" s="1">
        <v>0.63888888888888884</v>
      </c>
      <c r="F2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1" t="str">
        <f>_xlfn.XLOOKUP(AllDataCorrected[[#This Row],[Location Name]], Locations[Location Name],Locations[Group As])</f>
        <v>Clifford Chambers Mill Bridge</v>
      </c>
      <c r="H271" t="e" vm="2">
        <f>_xlfn.XLOOKUP(AllDataCorrected[[#This Row],[Site Name]],LocationsKey[Site Name],LocationsKey[District])</f>
        <v>#VALUE!</v>
      </c>
      <c r="I271" t="e" vm="12">
        <f>_xlfn.XLOOKUP(AllDataCorrected[[#This Row],[Site Name]],LocationsKey[Site Name],LocationsKey[Town])</f>
        <v>#VALUE!</v>
      </c>
      <c r="J271" t="str">
        <f>_xlfn.XLOOKUP(AllDataCorrected[[#This Row],[Site Name]],LocationsKey[Site Name], LocationsKey[Waterway])</f>
        <v>Stour</v>
      </c>
      <c r="K271" t="s">
        <v>263</v>
      </c>
      <c r="L271">
        <f>_xlfn.XLOOKUP(AllDataCorrected[[#This Row],[Site Name]],Tables!$B$12:$B$78, Tables!C$12:C$78)</f>
        <v>52.166358517241363</v>
      </c>
      <c r="M271">
        <f>_xlfn.XLOOKUP(AllDataCorrected[[#This Row],[Site Name]],Tables!$B$12:$B$78, Tables!D$12:D$78)</f>
        <v>-1.7080419310344837</v>
      </c>
      <c r="N271" t="s">
        <v>66</v>
      </c>
      <c r="O271">
        <v>635</v>
      </c>
      <c r="P271">
        <v>12.5</v>
      </c>
      <c r="Q271">
        <v>4</v>
      </c>
      <c r="R271" t="str">
        <f>IF(AllDataCorrected[[#This Row],[Nitrate (PPM)]]&gt;2, "4. Very high (&gt;2ppm)", IF(AllDataCorrected[[#This Row],[Nitrate (PPM)]]&gt;1, "3. High (1-2ppm)", IF(AllDataCorrected[[#This Row],[Nitrate (PPM)]]&gt;0.5, "2. Some evidence (0.5-1ppm)", IF(AllDataCorrected[[#This Row],[Nitrate (PPM)]]&gt;=0, "1. No evidence (&lt;0.5ppm)"))))</f>
        <v>4. Very high (&gt;2ppm)</v>
      </c>
      <c r="S271">
        <v>0.28000000000000003</v>
      </c>
      <c r="T2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1">
        <v>1.2</v>
      </c>
      <c r="V271" t="s">
        <v>448</v>
      </c>
    </row>
    <row r="272" spans="1:22" x14ac:dyDescent="0.25">
      <c r="A272" t="s">
        <v>449</v>
      </c>
      <c r="B272" s="2">
        <v>45276</v>
      </c>
      <c r="C272" t="str" cm="1">
        <f t="array" ref="C2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2">
        <f>YEAR(AllDataCorrected[[#This Row],[Date]])</f>
        <v>2023</v>
      </c>
      <c r="E272" s="1">
        <v>0.65277777777777779</v>
      </c>
      <c r="F2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2" t="str">
        <f>_xlfn.XLOOKUP(AllDataCorrected[[#This Row],[Location Name]], Locations[Location Name],Locations[Group As])</f>
        <v>Clifford Chambers Road Bridge</v>
      </c>
      <c r="H272" t="e" vm="2">
        <f>_xlfn.XLOOKUP(AllDataCorrected[[#This Row],[Site Name]],LocationsKey[Site Name],LocationsKey[District])</f>
        <v>#VALUE!</v>
      </c>
      <c r="I272" t="e" vm="12">
        <f>_xlfn.XLOOKUP(AllDataCorrected[[#This Row],[Site Name]],LocationsKey[Site Name],LocationsKey[Town])</f>
        <v>#VALUE!</v>
      </c>
      <c r="J272" t="str">
        <f>_xlfn.XLOOKUP(AllDataCorrected[[#This Row],[Site Name]],LocationsKey[Site Name], LocationsKey[Waterway])</f>
        <v>Stour</v>
      </c>
      <c r="K272" t="s">
        <v>427</v>
      </c>
      <c r="L272">
        <f>_xlfn.XLOOKUP(AllDataCorrected[[#This Row],[Site Name]],Tables!$B$12:$B$78, Tables!C$12:C$78)</f>
        <v>52.172840000000001</v>
      </c>
      <c r="M272">
        <f>_xlfn.XLOOKUP(AllDataCorrected[[#This Row],[Site Name]],Tables!$B$12:$B$78, Tables!D$12:D$78)</f>
        <v>-1.71377</v>
      </c>
      <c r="N272" t="s">
        <v>80</v>
      </c>
      <c r="O272">
        <v>644</v>
      </c>
      <c r="P272">
        <v>13.2</v>
      </c>
      <c r="Q272">
        <v>4</v>
      </c>
      <c r="R272" t="str">
        <f>IF(AllDataCorrected[[#This Row],[Nitrate (PPM)]]&gt;2, "4. Very high (&gt;2ppm)", IF(AllDataCorrected[[#This Row],[Nitrate (PPM)]]&gt;1, "3. High (1-2ppm)", IF(AllDataCorrected[[#This Row],[Nitrate (PPM)]]&gt;0.5, "2. Some evidence (0.5-1ppm)", IF(AllDataCorrected[[#This Row],[Nitrate (PPM)]]&gt;=0, "1. No evidence (&lt;0.5ppm)"))))</f>
        <v>4. Very high (&gt;2ppm)</v>
      </c>
      <c r="S272">
        <v>0.23</v>
      </c>
      <c r="T2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2">
        <v>1.2</v>
      </c>
    </row>
    <row r="273" spans="1:22" x14ac:dyDescent="0.25">
      <c r="A273" t="s">
        <v>456</v>
      </c>
      <c r="B273" s="2">
        <v>45277</v>
      </c>
      <c r="C273" t="str" cm="1">
        <f t="array" ref="C2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3">
        <f>YEAR(AllDataCorrected[[#This Row],[Date]])</f>
        <v>2023</v>
      </c>
      <c r="E273" s="1">
        <v>0.41666666666666669</v>
      </c>
      <c r="F2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3" t="str">
        <f>_xlfn.XLOOKUP(AllDataCorrected[[#This Row],[Location Name]], Locations[Location Name],Locations[Group As])</f>
        <v>Lucy's Mill Bridge</v>
      </c>
      <c r="H273" t="e" vm="2">
        <f>_xlfn.XLOOKUP(AllDataCorrected[[#This Row],[Site Name]],LocationsKey[Site Name],LocationsKey[District])</f>
        <v>#VALUE!</v>
      </c>
      <c r="I273" t="e" vm="7">
        <f>_xlfn.XLOOKUP(AllDataCorrected[[#This Row],[Site Name]],LocationsKey[Site Name],LocationsKey[Town])</f>
        <v>#VALUE!</v>
      </c>
      <c r="J273" t="str">
        <f>_xlfn.XLOOKUP(AllDataCorrected[[#This Row],[Site Name]],LocationsKey[Site Name], LocationsKey[Waterway])</f>
        <v>Avon</v>
      </c>
      <c r="K273" t="s">
        <v>216</v>
      </c>
      <c r="L273">
        <f>_xlfn.XLOOKUP(AllDataCorrected[[#This Row],[Site Name]],Tables!$B$12:$B$78, Tables!C$12:C$78)</f>
        <v>52.183699000000011</v>
      </c>
      <c r="M273">
        <f>_xlfn.XLOOKUP(AllDataCorrected[[#This Row],[Site Name]],Tables!$B$12:$B$78, Tables!D$12:D$78)</f>
        <v>-1.7078160000000004</v>
      </c>
      <c r="N273" t="s">
        <v>29</v>
      </c>
      <c r="P273">
        <v>9</v>
      </c>
      <c r="Q273">
        <v>10</v>
      </c>
      <c r="R273" t="str">
        <f>IF(AllDataCorrected[[#This Row],[Nitrate (PPM)]]&gt;2, "4. Very high (&gt;2ppm)", IF(AllDataCorrected[[#This Row],[Nitrate (PPM)]]&gt;1, "3. High (1-2ppm)", IF(AllDataCorrected[[#This Row],[Nitrate (PPM)]]&gt;0.5, "2. Some evidence (0.5-1ppm)", IF(AllDataCorrected[[#This Row],[Nitrate (PPM)]]&gt;=0, "1. No evidence (&lt;0.5ppm)"))))</f>
        <v>4. Very high (&gt;2ppm)</v>
      </c>
      <c r="S273">
        <v>0.43</v>
      </c>
      <c r="T2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3">
        <v>0.7</v>
      </c>
    </row>
    <row r="274" spans="1:22" x14ac:dyDescent="0.25">
      <c r="A274" t="s">
        <v>450</v>
      </c>
      <c r="B274" s="2">
        <v>45277</v>
      </c>
      <c r="C274" t="str" cm="1">
        <f t="array" ref="C2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4">
        <f>YEAR(AllDataCorrected[[#This Row],[Date]])</f>
        <v>2023</v>
      </c>
      <c r="E274" s="1">
        <v>0.42708333333333331</v>
      </c>
      <c r="F27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4" t="str">
        <f>_xlfn.XLOOKUP(AllDataCorrected[[#This Row],[Location Name]], Locations[Location Name],Locations[Group As])</f>
        <v>Barton</v>
      </c>
      <c r="H274" t="e" vm="2">
        <f>_xlfn.XLOOKUP(AllDataCorrected[[#This Row],[Site Name]],LocationsKey[Site Name],LocationsKey[District])</f>
        <v>#VALUE!</v>
      </c>
      <c r="I274" t="str">
        <f>_xlfn.XLOOKUP(AllDataCorrected[[#This Row],[Site Name]],LocationsKey[Site Name],LocationsKey[Town])</f>
        <v>Barton</v>
      </c>
      <c r="J274" t="str">
        <f>_xlfn.XLOOKUP(AllDataCorrected[[#This Row],[Site Name]],LocationsKey[Site Name], LocationsKey[Waterway])</f>
        <v>Avon</v>
      </c>
      <c r="K274" t="s">
        <v>49</v>
      </c>
      <c r="L274">
        <f>_xlfn.XLOOKUP(AllDataCorrected[[#This Row],[Site Name]],Tables!$B$12:$B$78, Tables!C$12:C$78)</f>
        <v>52.16120999999999</v>
      </c>
      <c r="M274">
        <f>_xlfn.XLOOKUP(AllDataCorrected[[#This Row],[Site Name]],Tables!$B$12:$B$78, Tables!D$12:D$78)</f>
        <v>-1.8301499999999999</v>
      </c>
      <c r="N274" t="s">
        <v>29</v>
      </c>
      <c r="O274">
        <v>726</v>
      </c>
      <c r="P274">
        <v>9.1</v>
      </c>
      <c r="Q274">
        <v>7</v>
      </c>
      <c r="R274" t="str">
        <f>IF(AllDataCorrected[[#This Row],[Nitrate (PPM)]]&gt;2, "4. Very high (&gt;2ppm)", IF(AllDataCorrected[[#This Row],[Nitrate (PPM)]]&gt;1, "3. High (1-2ppm)", IF(AllDataCorrected[[#This Row],[Nitrate (PPM)]]&gt;0.5, "2. Some evidence (0.5-1ppm)", IF(AllDataCorrected[[#This Row],[Nitrate (PPM)]]&gt;=0, "1. No evidence (&lt;0.5ppm)"))))</f>
        <v>4. Very high (&gt;2ppm)</v>
      </c>
      <c r="S274">
        <v>0.39</v>
      </c>
      <c r="T2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4">
        <v>0</v>
      </c>
    </row>
    <row r="275" spans="1:22" x14ac:dyDescent="0.25">
      <c r="A275" t="s">
        <v>451</v>
      </c>
      <c r="B275" s="2">
        <v>45277</v>
      </c>
      <c r="C275" t="str" cm="1">
        <f t="array" ref="C2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5">
        <f>YEAR(AllDataCorrected[[#This Row],[Date]])</f>
        <v>2023</v>
      </c>
      <c r="E275" s="1">
        <v>0.4375</v>
      </c>
      <c r="F2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5" t="str">
        <f>_xlfn.XLOOKUP(AllDataCorrected[[#This Row],[Location Name]], Locations[Location Name],Locations[Group As])</f>
        <v>Abbey Mill</v>
      </c>
      <c r="H275" t="e" vm="1">
        <f>_xlfn.XLOOKUP(AllDataCorrected[[#This Row],[Site Name]],LocationsKey[Site Name],LocationsKey[District])</f>
        <v>#VALUE!</v>
      </c>
      <c r="I275" t="e" vm="1">
        <f>_xlfn.XLOOKUP(AllDataCorrected[[#This Row],[Site Name]],LocationsKey[Site Name],LocationsKey[Town])</f>
        <v>#VALUE!</v>
      </c>
      <c r="J275" t="str">
        <f>_xlfn.XLOOKUP(AllDataCorrected[[#This Row],[Site Name]],LocationsKey[Site Name], LocationsKey[Waterway])</f>
        <v>Avon</v>
      </c>
      <c r="K275" t="s">
        <v>22</v>
      </c>
      <c r="L275">
        <f>_xlfn.XLOOKUP(AllDataCorrected[[#This Row],[Site Name]],Tables!$B$12:$B$78, Tables!C$12:C$78)</f>
        <v>51.991389555555564</v>
      </c>
      <c r="M275">
        <f>_xlfn.XLOOKUP(AllDataCorrected[[#This Row],[Site Name]],Tables!$B$12:$B$78, Tables!D$12:D$78)</f>
        <v>-2.1620794000000005</v>
      </c>
      <c r="N275" t="s">
        <v>23</v>
      </c>
      <c r="O275">
        <v>653</v>
      </c>
      <c r="P275">
        <v>12</v>
      </c>
      <c r="Q275">
        <v>10</v>
      </c>
      <c r="R275" t="str">
        <f>IF(AllDataCorrected[[#This Row],[Nitrate (PPM)]]&gt;2, "4. Very high (&gt;2ppm)", IF(AllDataCorrected[[#This Row],[Nitrate (PPM)]]&gt;1, "3. High (1-2ppm)", IF(AllDataCorrected[[#This Row],[Nitrate (PPM)]]&gt;0.5, "2. Some evidence (0.5-1ppm)", IF(AllDataCorrected[[#This Row],[Nitrate (PPM)]]&gt;=0, "1. No evidence (&lt;0.5ppm)"))))</f>
        <v>4. Very high (&gt;2ppm)</v>
      </c>
      <c r="S275">
        <v>0.78</v>
      </c>
      <c r="T2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5">
        <v>2</v>
      </c>
      <c r="V275" t="s">
        <v>291</v>
      </c>
    </row>
    <row r="276" spans="1:22" x14ac:dyDescent="0.25">
      <c r="A276" t="s">
        <v>452</v>
      </c>
      <c r="B276" s="2">
        <v>45277</v>
      </c>
      <c r="C276" t="str" cm="1">
        <f t="array" ref="C2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6">
        <f>YEAR(AllDataCorrected[[#This Row],[Date]])</f>
        <v>2023</v>
      </c>
      <c r="E276" s="1">
        <v>0.51041666666666663</v>
      </c>
      <c r="F2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6" t="str">
        <f>_xlfn.XLOOKUP(AllDataCorrected[[#This Row],[Location Name]], Locations[Location Name],Locations[Group As])</f>
        <v>Hampton Wood</v>
      </c>
      <c r="H276" t="e" vm="2">
        <f>_xlfn.XLOOKUP(AllDataCorrected[[#This Row],[Site Name]],LocationsKey[Site Name],LocationsKey[District])</f>
        <v>#VALUE!</v>
      </c>
      <c r="I276" t="e" vm="3">
        <f>_xlfn.XLOOKUP(AllDataCorrected[[#This Row],[Site Name]],LocationsKey[Site Name],LocationsKey[Town])</f>
        <v>#VALUE!</v>
      </c>
      <c r="J276" t="str">
        <f>_xlfn.XLOOKUP(AllDataCorrected[[#This Row],[Site Name]],LocationsKey[Site Name], LocationsKey[Waterway])</f>
        <v>Avon</v>
      </c>
      <c r="K276" t="s">
        <v>34</v>
      </c>
      <c r="L276">
        <f>_xlfn.XLOOKUP(AllDataCorrected[[#This Row],[Site Name]],Tables!$B$12:$B$78, Tables!C$12:C$78)</f>
        <v>52.23814999999999</v>
      </c>
      <c r="M276">
        <f>_xlfn.XLOOKUP(AllDataCorrected[[#This Row],[Site Name]],Tables!$B$12:$B$78, Tables!D$12:D$78)</f>
        <v>-1.6245800000000008</v>
      </c>
      <c r="N276" t="s">
        <v>29</v>
      </c>
      <c r="O276">
        <v>730</v>
      </c>
      <c r="P276">
        <v>9.6999999999999993</v>
      </c>
      <c r="Q276">
        <v>10</v>
      </c>
      <c r="R276" t="str">
        <f>IF(AllDataCorrected[[#This Row],[Nitrate (PPM)]]&gt;2, "4. Very high (&gt;2ppm)", IF(AllDataCorrected[[#This Row],[Nitrate (PPM)]]&gt;1, "3. High (1-2ppm)", IF(AllDataCorrected[[#This Row],[Nitrate (PPM)]]&gt;0.5, "2. Some evidence (0.5-1ppm)", IF(AllDataCorrected[[#This Row],[Nitrate (PPM)]]&gt;=0, "1. No evidence (&lt;0.5ppm)"))))</f>
        <v>4. Very high (&gt;2ppm)</v>
      </c>
      <c r="S276">
        <v>0.43</v>
      </c>
      <c r="T2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6">
        <v>0</v>
      </c>
    </row>
    <row r="277" spans="1:22" x14ac:dyDescent="0.25">
      <c r="A277" t="s">
        <v>453</v>
      </c>
      <c r="B277" s="2">
        <v>45277</v>
      </c>
      <c r="C277" t="str" cm="1">
        <f t="array" ref="C2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7">
        <f>YEAR(AllDataCorrected[[#This Row],[Date]])</f>
        <v>2023</v>
      </c>
      <c r="E277" s="1">
        <v>0.54166666666666663</v>
      </c>
      <c r="F2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7" t="str">
        <f>_xlfn.XLOOKUP(AllDataCorrected[[#This Row],[Location Name]], Locations[Location Name],Locations[Group As])</f>
        <v>Hampton Lucy</v>
      </c>
      <c r="H277" t="e" vm="2">
        <f>_xlfn.XLOOKUP(AllDataCorrected[[#This Row],[Site Name]],LocationsKey[Site Name],LocationsKey[District])</f>
        <v>#VALUE!</v>
      </c>
      <c r="I277" t="e" vm="4">
        <f>_xlfn.XLOOKUP(AllDataCorrected[[#This Row],[Site Name]],LocationsKey[Site Name],LocationsKey[Town])</f>
        <v>#VALUE!</v>
      </c>
      <c r="J277" t="str">
        <f>_xlfn.XLOOKUP(AllDataCorrected[[#This Row],[Site Name]],LocationsKey[Site Name], LocationsKey[Waterway])</f>
        <v>Avon</v>
      </c>
      <c r="K277" t="s">
        <v>37</v>
      </c>
      <c r="L277">
        <f>_xlfn.XLOOKUP(AllDataCorrected[[#This Row],[Site Name]],Tables!$B$12:$B$78, Tables!C$12:C$78)</f>
        <v>52.211679999999973</v>
      </c>
      <c r="M277">
        <f>_xlfn.XLOOKUP(AllDataCorrected[[#This Row],[Site Name]],Tables!$B$12:$B$78, Tables!D$12:D$78)</f>
        <v>-1.6244400000000001</v>
      </c>
      <c r="N277" t="s">
        <v>23</v>
      </c>
      <c r="O277">
        <v>720</v>
      </c>
      <c r="P277">
        <v>9.6999999999999993</v>
      </c>
      <c r="Q277">
        <v>7</v>
      </c>
      <c r="R277" t="str">
        <f>IF(AllDataCorrected[[#This Row],[Nitrate (PPM)]]&gt;2, "4. Very high (&gt;2ppm)", IF(AllDataCorrected[[#This Row],[Nitrate (PPM)]]&gt;1, "3. High (1-2ppm)", IF(AllDataCorrected[[#This Row],[Nitrate (PPM)]]&gt;0.5, "2. Some evidence (0.5-1ppm)", IF(AllDataCorrected[[#This Row],[Nitrate (PPM)]]&gt;=0, "1. No evidence (&lt;0.5ppm)"))))</f>
        <v>4. Very high (&gt;2ppm)</v>
      </c>
      <c r="S277">
        <v>0.54</v>
      </c>
      <c r="T2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7">
        <v>0</v>
      </c>
    </row>
    <row r="278" spans="1:22" x14ac:dyDescent="0.25">
      <c r="A278" t="s">
        <v>454</v>
      </c>
      <c r="B278" s="2">
        <v>45277</v>
      </c>
      <c r="C278" t="str" cm="1">
        <f t="array" ref="C2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8">
        <f>YEAR(AllDataCorrected[[#This Row],[Date]])</f>
        <v>2023</v>
      </c>
      <c r="E278" s="1">
        <v>0.66666666666666663</v>
      </c>
      <c r="F2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8" t="str">
        <f>_xlfn.XLOOKUP(AllDataCorrected[[#This Row],[Location Name]], Locations[Location Name],Locations[Group As])</f>
        <v>Welford Boat Station</v>
      </c>
      <c r="H278" t="e" vm="2">
        <f>_xlfn.XLOOKUP(AllDataCorrected[[#This Row],[Site Name]],LocationsKey[Site Name],LocationsKey[District])</f>
        <v>#VALUE!</v>
      </c>
      <c r="I278" t="e" vm="5">
        <f>_xlfn.XLOOKUP(AllDataCorrected[[#This Row],[Site Name]],LocationsKey[Site Name],LocationsKey[Town])</f>
        <v>#VALUE!</v>
      </c>
      <c r="J278" t="str">
        <f>_xlfn.XLOOKUP(AllDataCorrected[[#This Row],[Site Name]],LocationsKey[Site Name], LocationsKey[Waterway])</f>
        <v>Avon</v>
      </c>
      <c r="K278" t="s">
        <v>39</v>
      </c>
      <c r="L278">
        <f>_xlfn.XLOOKUP(AllDataCorrected[[#This Row],[Site Name]],Tables!$B$12:$B$78, Tables!C$12:C$78)</f>
        <v>52.175174684210546</v>
      </c>
      <c r="M278">
        <f>_xlfn.XLOOKUP(AllDataCorrected[[#This Row],[Site Name]],Tables!$B$12:$B$78, Tables!D$12:D$78)</f>
        <v>-1.7918551052631577</v>
      </c>
      <c r="N278" t="s">
        <v>29</v>
      </c>
      <c r="O278">
        <v>760</v>
      </c>
      <c r="P278">
        <v>9.3000000000000007</v>
      </c>
      <c r="Q278">
        <v>20</v>
      </c>
      <c r="R278" t="str">
        <f>IF(AllDataCorrected[[#This Row],[Nitrate (PPM)]]&gt;2, "4. Very high (&gt;2ppm)", IF(AllDataCorrected[[#This Row],[Nitrate (PPM)]]&gt;1, "3. High (1-2ppm)", IF(AllDataCorrected[[#This Row],[Nitrate (PPM)]]&gt;0.5, "2. Some evidence (0.5-1ppm)", IF(AllDataCorrected[[#This Row],[Nitrate (PPM)]]&gt;=0, "1. No evidence (&lt;0.5ppm)"))))</f>
        <v>4. Very high (&gt;2ppm)</v>
      </c>
      <c r="S278">
        <v>0.39</v>
      </c>
      <c r="T2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8">
        <v>0</v>
      </c>
      <c r="V278" t="s">
        <v>455</v>
      </c>
    </row>
    <row r="279" spans="1:22" x14ac:dyDescent="0.25">
      <c r="A279" t="s">
        <v>457</v>
      </c>
      <c r="B279" s="2">
        <v>45278</v>
      </c>
      <c r="C279" t="str" cm="1">
        <f t="array" ref="C2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9">
        <f>YEAR(AllDataCorrected[[#This Row],[Date]])</f>
        <v>2023</v>
      </c>
      <c r="E279" s="1">
        <v>0.35486111111111113</v>
      </c>
      <c r="F2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9" t="str">
        <f>_xlfn.XLOOKUP(AllDataCorrected[[#This Row],[Location Name]], Locations[Location Name],Locations[Group As])</f>
        <v>Stour Stretton-on-Fosse Village</v>
      </c>
      <c r="H279" t="e" vm="2">
        <f>_xlfn.XLOOKUP(AllDataCorrected[[#This Row],[Site Name]],LocationsKey[Site Name],LocationsKey[District])</f>
        <v>#VALUE!</v>
      </c>
      <c r="I279" t="e" vm="14">
        <f>_xlfn.XLOOKUP(AllDataCorrected[[#This Row],[Site Name]],LocationsKey[Site Name],LocationsKey[Town])</f>
        <v>#VALUE!</v>
      </c>
      <c r="J279" t="str">
        <f>_xlfn.XLOOKUP(AllDataCorrected[[#This Row],[Site Name]],LocationsKey[Site Name], LocationsKey[Waterway])</f>
        <v>Stour</v>
      </c>
      <c r="K279" t="s">
        <v>383</v>
      </c>
      <c r="L279">
        <f>_xlfn.XLOOKUP(AllDataCorrected[[#This Row],[Site Name]],Tables!$B$12:$B$78, Tables!C$12:C$78)</f>
        <v>52.046517558823524</v>
      </c>
      <c r="M279">
        <f>_xlfn.XLOOKUP(AllDataCorrected[[#This Row],[Site Name]],Tables!$B$12:$B$78, Tables!D$12:D$78)</f>
        <v>-1.6734143529411767</v>
      </c>
      <c r="N279" t="s">
        <v>66</v>
      </c>
      <c r="O279">
        <v>660</v>
      </c>
      <c r="P279">
        <v>9.6</v>
      </c>
      <c r="Q279">
        <v>2</v>
      </c>
      <c r="R279" t="str">
        <f>IF(AllDataCorrected[[#This Row],[Nitrate (PPM)]]&gt;2, "4. Very high (&gt;2ppm)", IF(AllDataCorrected[[#This Row],[Nitrate (PPM)]]&gt;1, "3. High (1-2ppm)", IF(AllDataCorrected[[#This Row],[Nitrate (PPM)]]&gt;0.5, "2. Some evidence (0.5-1ppm)", IF(AllDataCorrected[[#This Row],[Nitrate (PPM)]]&gt;=0, "1. No evidence (&lt;0.5ppm)"))))</f>
        <v>3. High (1-2ppm)</v>
      </c>
      <c r="S279">
        <v>1.1100000000000001</v>
      </c>
      <c r="T2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9">
        <v>0.2</v>
      </c>
    </row>
    <row r="280" spans="1:22" x14ac:dyDescent="0.25">
      <c r="A280" t="s">
        <v>458</v>
      </c>
      <c r="B280" s="2">
        <v>45278</v>
      </c>
      <c r="C280" t="str" cm="1">
        <f t="array" ref="C2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0">
        <f>YEAR(AllDataCorrected[[#This Row],[Date]])</f>
        <v>2023</v>
      </c>
      <c r="E280" s="1">
        <v>0.36388888888888887</v>
      </c>
      <c r="F2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0" t="str">
        <f>_xlfn.XLOOKUP(AllDataCorrected[[#This Row],[Location Name]], Locations[Location Name],Locations[Group As])</f>
        <v>Stour Stretton-on-Fosse Sewage Works</v>
      </c>
      <c r="H280" t="e" vm="2">
        <f>_xlfn.XLOOKUP(AllDataCorrected[[#This Row],[Site Name]],LocationsKey[Site Name],LocationsKey[District])</f>
        <v>#VALUE!</v>
      </c>
      <c r="I280" t="e" vm="14">
        <f>_xlfn.XLOOKUP(AllDataCorrected[[#This Row],[Site Name]],LocationsKey[Site Name],LocationsKey[Town])</f>
        <v>#VALUE!</v>
      </c>
      <c r="J280" t="str">
        <f>_xlfn.XLOOKUP(AllDataCorrected[[#This Row],[Site Name]],LocationsKey[Site Name], LocationsKey[Waterway])</f>
        <v>Stour</v>
      </c>
      <c r="K280" t="s">
        <v>335</v>
      </c>
      <c r="L280">
        <f>_xlfn.XLOOKUP(AllDataCorrected[[#This Row],[Site Name]],Tables!$B$12:$B$78, Tables!C$12:C$78)</f>
        <v>52.045653647058806</v>
      </c>
      <c r="M280">
        <f>_xlfn.XLOOKUP(AllDataCorrected[[#This Row],[Site Name]],Tables!$B$12:$B$78, Tables!D$12:D$78)</f>
        <v>-1.6719221470588235</v>
      </c>
      <c r="N280" t="s">
        <v>29</v>
      </c>
      <c r="O280">
        <v>667</v>
      </c>
      <c r="P280">
        <v>9.8000000000000007</v>
      </c>
      <c r="Q280">
        <v>3</v>
      </c>
      <c r="R280" t="str">
        <f>IF(AllDataCorrected[[#This Row],[Nitrate (PPM)]]&gt;2, "4. Very high (&gt;2ppm)", IF(AllDataCorrected[[#This Row],[Nitrate (PPM)]]&gt;1, "3. High (1-2ppm)", IF(AllDataCorrected[[#This Row],[Nitrate (PPM)]]&gt;0.5, "2. Some evidence (0.5-1ppm)", IF(AllDataCorrected[[#This Row],[Nitrate (PPM)]]&gt;=0, "1. No evidence (&lt;0.5ppm)"))))</f>
        <v>4. Very high (&gt;2ppm)</v>
      </c>
      <c r="S280">
        <v>2.16</v>
      </c>
      <c r="T2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0">
        <v>0.3</v>
      </c>
    </row>
    <row r="281" spans="1:22" x14ac:dyDescent="0.25">
      <c r="A281" t="s">
        <v>459</v>
      </c>
      <c r="B281" s="2">
        <v>45278</v>
      </c>
      <c r="C281" t="str" cm="1">
        <f t="array" ref="C2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1">
        <f>YEAR(AllDataCorrected[[#This Row],[Date]])</f>
        <v>2023</v>
      </c>
      <c r="E281" s="1">
        <v>0.62361111111111112</v>
      </c>
      <c r="F2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1" t="str">
        <f>_xlfn.XLOOKUP(AllDataCorrected[[#This Row],[Location Name]], Locations[Location Name],Locations[Group As])</f>
        <v>Carrant Bredon Rd</v>
      </c>
      <c r="H281" t="e" vm="1">
        <f>_xlfn.XLOOKUP(AllDataCorrected[[#This Row],[Site Name]],LocationsKey[Site Name],LocationsKey[District])</f>
        <v>#VALUE!</v>
      </c>
      <c r="I281" t="e" vm="1">
        <f>_xlfn.XLOOKUP(AllDataCorrected[[#This Row],[Site Name]],LocationsKey[Site Name],LocationsKey[Town])</f>
        <v>#VALUE!</v>
      </c>
      <c r="J281" t="str">
        <f>_xlfn.XLOOKUP(AllDataCorrected[[#This Row],[Site Name]],LocationsKey[Site Name], LocationsKey[Waterway])</f>
        <v>Carrant</v>
      </c>
      <c r="K281" t="s">
        <v>90</v>
      </c>
      <c r="L281">
        <f>_xlfn.XLOOKUP(AllDataCorrected[[#This Row],[Site Name]],Tables!$B$12:$B$78, Tables!C$12:C$78)</f>
        <v>51.996416567567572</v>
      </c>
      <c r="M281">
        <f>_xlfn.XLOOKUP(AllDataCorrected[[#This Row],[Site Name]],Tables!$B$12:$B$78, Tables!D$12:D$78)</f>
        <v>-2.1556626756756749</v>
      </c>
      <c r="N281" t="s">
        <v>23</v>
      </c>
      <c r="O281">
        <v>676</v>
      </c>
      <c r="P281">
        <v>10.6</v>
      </c>
      <c r="Q281">
        <v>5</v>
      </c>
      <c r="R281" t="str">
        <f>IF(AllDataCorrected[[#This Row],[Nitrate (PPM)]]&gt;2, "4. Very high (&gt;2ppm)", IF(AllDataCorrected[[#This Row],[Nitrate (PPM)]]&gt;1, "3. High (1-2ppm)", IF(AllDataCorrected[[#This Row],[Nitrate (PPM)]]&gt;0.5, "2. Some evidence (0.5-1ppm)", IF(AllDataCorrected[[#This Row],[Nitrate (PPM)]]&gt;=0, "1. No evidence (&lt;0.5ppm)"))))</f>
        <v>4. Very high (&gt;2ppm)</v>
      </c>
      <c r="S281">
        <v>0.3</v>
      </c>
      <c r="T2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1">
        <v>1</v>
      </c>
    </row>
    <row r="282" spans="1:22" x14ac:dyDescent="0.25">
      <c r="A282" t="s">
        <v>460</v>
      </c>
      <c r="B282" s="2">
        <v>45279</v>
      </c>
      <c r="C282" t="str" cm="1">
        <f t="array" ref="C2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2">
        <f>YEAR(AllDataCorrected[[#This Row],[Date]])</f>
        <v>2023</v>
      </c>
      <c r="E282" s="1">
        <v>0.45277777777777778</v>
      </c>
      <c r="F2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2" t="str">
        <f>_xlfn.XLOOKUP(AllDataCorrected[[#This Row],[Location Name]], Locations[Location Name],Locations[Group As])</f>
        <v>Swiffen Bank</v>
      </c>
      <c r="H282" t="e" vm="2">
        <f>_xlfn.XLOOKUP(AllDataCorrected[[#This Row],[Site Name]],LocationsKey[Site Name],LocationsKey[District])</f>
        <v>#VALUE!</v>
      </c>
      <c r="I282" t="e" vm="13">
        <f>_xlfn.XLOOKUP(AllDataCorrected[[#This Row],[Site Name]],LocationsKey[Site Name],LocationsKey[Town])</f>
        <v>#VALUE!</v>
      </c>
      <c r="J282" t="str">
        <f>_xlfn.XLOOKUP(AllDataCorrected[[#This Row],[Site Name]],LocationsKey[Site Name], LocationsKey[Waterway])</f>
        <v>Avon</v>
      </c>
      <c r="K282" t="s">
        <v>284</v>
      </c>
      <c r="L282">
        <f>_xlfn.XLOOKUP(AllDataCorrected[[#This Row],[Site Name]],Tables!$B$12:$B$78, Tables!C$12:C$78)</f>
        <v>52.206446825000015</v>
      </c>
      <c r="M282">
        <f>_xlfn.XLOOKUP(AllDataCorrected[[#This Row],[Site Name]],Tables!$B$12:$B$78, Tables!D$12:D$78)</f>
        <v>-1.6541684000000003</v>
      </c>
      <c r="N282" t="s">
        <v>29</v>
      </c>
      <c r="O282">
        <v>697</v>
      </c>
      <c r="P282">
        <v>11.6</v>
      </c>
      <c r="Q282">
        <v>5</v>
      </c>
      <c r="R282" t="str">
        <f>IF(AllDataCorrected[[#This Row],[Nitrate (PPM)]]&gt;2, "4. Very high (&gt;2ppm)", IF(AllDataCorrected[[#This Row],[Nitrate (PPM)]]&gt;1, "3. High (1-2ppm)", IF(AllDataCorrected[[#This Row],[Nitrate (PPM)]]&gt;0.5, "2. Some evidence (0.5-1ppm)", IF(AllDataCorrected[[#This Row],[Nitrate (PPM)]]&gt;=0, "1. No evidence (&lt;0.5ppm)"))))</f>
        <v>4. Very high (&gt;2ppm)</v>
      </c>
      <c r="S282">
        <v>0.38</v>
      </c>
      <c r="T2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2">
        <v>0</v>
      </c>
      <c r="V282" t="s">
        <v>461</v>
      </c>
    </row>
    <row r="283" spans="1:22" x14ac:dyDescent="0.25">
      <c r="A283" t="s">
        <v>462</v>
      </c>
      <c r="B283" s="2">
        <v>45279</v>
      </c>
      <c r="C283" t="str" cm="1">
        <f t="array" ref="C2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3">
        <f>YEAR(AllDataCorrected[[#This Row],[Date]])</f>
        <v>2023</v>
      </c>
      <c r="E283" s="1">
        <v>0.46875</v>
      </c>
      <c r="F2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3" t="str">
        <f>_xlfn.XLOOKUP(AllDataCorrected[[#This Row],[Location Name]], Locations[Location Name],Locations[Group As])</f>
        <v>Alveston Weir</v>
      </c>
      <c r="H283" t="e" vm="2">
        <f>_xlfn.XLOOKUP(AllDataCorrected[[#This Row],[Site Name]],LocationsKey[Site Name],LocationsKey[District])</f>
        <v>#VALUE!</v>
      </c>
      <c r="I283" t="e" vm="13">
        <f>_xlfn.XLOOKUP(AllDataCorrected[[#This Row],[Site Name]],LocationsKey[Site Name],LocationsKey[Town])</f>
        <v>#VALUE!</v>
      </c>
      <c r="J283" t="str">
        <f>_xlfn.XLOOKUP(AllDataCorrected[[#This Row],[Site Name]],LocationsKey[Site Name], LocationsKey[Waterway])</f>
        <v>Avon</v>
      </c>
      <c r="K283" t="s">
        <v>286</v>
      </c>
      <c r="L283">
        <f>_xlfn.XLOOKUP(AllDataCorrected[[#This Row],[Site Name]],Tables!$B$12:$B$78, Tables!C$12:C$78)</f>
        <v>52.212366690476216</v>
      </c>
      <c r="M283">
        <f>_xlfn.XLOOKUP(AllDataCorrected[[#This Row],[Site Name]],Tables!$B$12:$B$78, Tables!D$12:D$78)</f>
        <v>-1.6602567619047619</v>
      </c>
      <c r="N283" t="s">
        <v>29</v>
      </c>
      <c r="O283">
        <v>683</v>
      </c>
      <c r="P283">
        <v>11.8</v>
      </c>
      <c r="Q283">
        <v>5</v>
      </c>
      <c r="R283" t="str">
        <f>IF(AllDataCorrected[[#This Row],[Nitrate (PPM)]]&gt;2, "4. Very high (&gt;2ppm)", IF(AllDataCorrected[[#This Row],[Nitrate (PPM)]]&gt;1, "3. High (1-2ppm)", IF(AllDataCorrected[[#This Row],[Nitrate (PPM)]]&gt;0.5, "2. Some evidence (0.5-1ppm)", IF(AllDataCorrected[[#This Row],[Nitrate (PPM)]]&gt;=0, "1. No evidence (&lt;0.5ppm)"))))</f>
        <v>4. Very high (&gt;2ppm)</v>
      </c>
      <c r="S283">
        <v>0.37</v>
      </c>
      <c r="T2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3">
        <v>2</v>
      </c>
      <c r="V283" t="s">
        <v>463</v>
      </c>
    </row>
    <row r="284" spans="1:22" x14ac:dyDescent="0.25">
      <c r="A284" t="s">
        <v>464</v>
      </c>
      <c r="B284" s="2">
        <v>45280</v>
      </c>
      <c r="C284" t="str" cm="1">
        <f t="array" ref="C2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4">
        <f>YEAR(AllDataCorrected[[#This Row],[Date]])</f>
        <v>2023</v>
      </c>
      <c r="E284" s="1">
        <v>0.65416666666666667</v>
      </c>
      <c r="F2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4" t="str">
        <f>_xlfn.XLOOKUP(AllDataCorrected[[#This Row],[Location Name]], Locations[Location Name],Locations[Group As])</f>
        <v>Stour Newbold Mill</v>
      </c>
      <c r="H284" t="e" vm="2">
        <f>_xlfn.XLOOKUP(AllDataCorrected[[#This Row],[Site Name]],LocationsKey[Site Name],LocationsKey[District])</f>
        <v>#VALUE!</v>
      </c>
      <c r="I284" t="e" vm="8">
        <f>_xlfn.XLOOKUP(AllDataCorrected[[#This Row],[Site Name]],LocationsKey[Site Name],LocationsKey[Town])</f>
        <v>#VALUE!</v>
      </c>
      <c r="J284" t="str">
        <f>_xlfn.XLOOKUP(AllDataCorrected[[#This Row],[Site Name]],LocationsKey[Site Name], LocationsKey[Waterway])</f>
        <v>Stour</v>
      </c>
      <c r="K284" t="s">
        <v>465</v>
      </c>
      <c r="L284">
        <f>_xlfn.XLOOKUP(AllDataCorrected[[#This Row],[Site Name]],Tables!$B$12:$B$78, Tables!C$12:C$78)</f>
        <v>52.113052370370362</v>
      </c>
      <c r="M284">
        <f>_xlfn.XLOOKUP(AllDataCorrected[[#This Row],[Site Name]],Tables!$B$12:$B$78, Tables!D$12:D$78)</f>
        <v>-1.6333685185185185</v>
      </c>
      <c r="N284" t="s">
        <v>29</v>
      </c>
      <c r="O284">
        <v>664</v>
      </c>
      <c r="P284">
        <v>9.1999999999999993</v>
      </c>
      <c r="Q284">
        <v>4</v>
      </c>
      <c r="R284" t="str">
        <f>IF(AllDataCorrected[[#This Row],[Nitrate (PPM)]]&gt;2, "4. Very high (&gt;2ppm)", IF(AllDataCorrected[[#This Row],[Nitrate (PPM)]]&gt;1, "3. High (1-2ppm)", IF(AllDataCorrected[[#This Row],[Nitrate (PPM)]]&gt;0.5, "2. Some evidence (0.5-1ppm)", IF(AllDataCorrected[[#This Row],[Nitrate (PPM)]]&gt;=0, "1. No evidence (&lt;0.5ppm)"))))</f>
        <v>4. Very high (&gt;2ppm)</v>
      </c>
      <c r="S284">
        <v>0.26</v>
      </c>
      <c r="T2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4">
        <v>3.2</v>
      </c>
      <c r="V284" t="s">
        <v>466</v>
      </c>
    </row>
    <row r="285" spans="1:22" x14ac:dyDescent="0.25">
      <c r="A285" t="s">
        <v>467</v>
      </c>
      <c r="B285" s="2">
        <v>45280</v>
      </c>
      <c r="C285" t="str" cm="1">
        <f t="array" ref="C2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5">
        <f>YEAR(AllDataCorrected[[#This Row],[Date]])</f>
        <v>2023</v>
      </c>
      <c r="E285" s="1">
        <v>0.66666666666666663</v>
      </c>
      <c r="F2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5" t="str">
        <f>_xlfn.XLOOKUP(AllDataCorrected[[#This Row],[Location Name]], Locations[Location Name],Locations[Group As])</f>
        <v>Weston-on-Avon</v>
      </c>
      <c r="H285" t="e" vm="2">
        <f>_xlfn.XLOOKUP(AllDataCorrected[[#This Row],[Site Name]],LocationsKey[Site Name],LocationsKey[District])</f>
        <v>#VALUE!</v>
      </c>
      <c r="I285" t="e" vm="6">
        <f>_xlfn.XLOOKUP(AllDataCorrected[[#This Row],[Site Name]],LocationsKey[Site Name],LocationsKey[Town])</f>
        <v>#VALUE!</v>
      </c>
      <c r="J285" t="str">
        <f>_xlfn.XLOOKUP(AllDataCorrected[[#This Row],[Site Name]],LocationsKey[Site Name], LocationsKey[Waterway])</f>
        <v>Avon</v>
      </c>
      <c r="K285" t="s">
        <v>41</v>
      </c>
      <c r="L285">
        <f>_xlfn.XLOOKUP(AllDataCorrected[[#This Row],[Site Name]],Tables!$B$12:$B$78, Tables!C$12:C$78)</f>
        <v>52.167429999999996</v>
      </c>
      <c r="M285">
        <f>_xlfn.XLOOKUP(AllDataCorrected[[#This Row],[Site Name]],Tables!$B$12:$B$78, Tables!D$12:D$78)</f>
        <v>-1.7744752941176474</v>
      </c>
      <c r="N285" t="s">
        <v>29</v>
      </c>
      <c r="O285">
        <v>684</v>
      </c>
      <c r="P285">
        <v>10.7</v>
      </c>
      <c r="Q285">
        <v>10</v>
      </c>
      <c r="R285" t="str">
        <f>IF(AllDataCorrected[[#This Row],[Nitrate (PPM)]]&gt;2, "4. Very high (&gt;2ppm)", IF(AllDataCorrected[[#This Row],[Nitrate (PPM)]]&gt;1, "3. High (1-2ppm)", IF(AllDataCorrected[[#This Row],[Nitrate (PPM)]]&gt;0.5, "2. Some evidence (0.5-1ppm)", IF(AllDataCorrected[[#This Row],[Nitrate (PPM)]]&gt;=0, "1. No evidence (&lt;0.5ppm)"))))</f>
        <v>4. Very high (&gt;2ppm)</v>
      </c>
      <c r="S285">
        <v>0.4</v>
      </c>
      <c r="T2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5">
        <v>0</v>
      </c>
    </row>
    <row r="286" spans="1:22" x14ac:dyDescent="0.25">
      <c r="A286" t="s">
        <v>468</v>
      </c>
      <c r="B286" s="2">
        <v>45281</v>
      </c>
      <c r="C286" t="str" cm="1">
        <f t="array" ref="C2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6">
        <f>YEAR(AllDataCorrected[[#This Row],[Date]])</f>
        <v>2023</v>
      </c>
      <c r="E286" s="1">
        <v>0.45833333333333331</v>
      </c>
      <c r="F2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6" t="str">
        <f>_xlfn.XLOOKUP(AllDataCorrected[[#This Row],[Location Name]], Locations[Location Name],Locations[Group As])</f>
        <v>Swilgate</v>
      </c>
      <c r="H286" t="e" vm="1">
        <f>_xlfn.XLOOKUP(AllDataCorrected[[#This Row],[Site Name]],LocationsKey[Site Name],LocationsKey[District])</f>
        <v>#VALUE!</v>
      </c>
      <c r="I286" t="e" vm="1">
        <f>_xlfn.XLOOKUP(AllDataCorrected[[#This Row],[Site Name]],LocationsKey[Site Name],LocationsKey[Town])</f>
        <v>#VALUE!</v>
      </c>
      <c r="J286" t="str">
        <f>_xlfn.XLOOKUP(AllDataCorrected[[#This Row],[Site Name]],LocationsKey[Site Name], LocationsKey[Waterway])</f>
        <v>Swilgate</v>
      </c>
      <c r="K286" t="s">
        <v>84</v>
      </c>
      <c r="L286">
        <f>_xlfn.XLOOKUP(AllDataCorrected[[#This Row],[Site Name]],Tables!$B$12:$B$78, Tables!C$12:C$78)</f>
        <v>51.9885442</v>
      </c>
      <c r="M286">
        <f>_xlfn.XLOOKUP(AllDataCorrected[[#This Row],[Site Name]],Tables!$B$12:$B$78, Tables!D$12:D$78)</f>
        <v>-2.1639010000000001</v>
      </c>
      <c r="N286" t="s">
        <v>23</v>
      </c>
      <c r="O286">
        <v>875</v>
      </c>
      <c r="P286">
        <v>11</v>
      </c>
      <c r="Q286">
        <v>5</v>
      </c>
      <c r="R286" t="str">
        <f>IF(AllDataCorrected[[#This Row],[Nitrate (PPM)]]&gt;2, "4. Very high (&gt;2ppm)", IF(AllDataCorrected[[#This Row],[Nitrate (PPM)]]&gt;1, "3. High (1-2ppm)", IF(AllDataCorrected[[#This Row],[Nitrate (PPM)]]&gt;0.5, "2. Some evidence (0.5-1ppm)", IF(AllDataCorrected[[#This Row],[Nitrate (PPM)]]&gt;=0, "1. No evidence (&lt;0.5ppm)"))))</f>
        <v>4. Very high (&gt;2ppm)</v>
      </c>
      <c r="S286">
        <v>0.3</v>
      </c>
      <c r="T2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6">
        <v>1</v>
      </c>
    </row>
    <row r="287" spans="1:22" x14ac:dyDescent="0.25">
      <c r="A287" t="s">
        <v>469</v>
      </c>
      <c r="B287" s="2">
        <v>45283</v>
      </c>
      <c r="C287" t="str" cm="1">
        <f t="array" ref="C2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7">
        <f>YEAR(AllDataCorrected[[#This Row],[Date]])</f>
        <v>2023</v>
      </c>
      <c r="E287" s="1">
        <v>0.48958333333333331</v>
      </c>
      <c r="F2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7" t="str">
        <f>_xlfn.XLOOKUP(AllDataCorrected[[#This Row],[Location Name]], Locations[Location Name],Locations[Group As])</f>
        <v>Carrant Bredon Rd</v>
      </c>
      <c r="H287" t="e" vm="1">
        <f>_xlfn.XLOOKUP(AllDataCorrected[[#This Row],[Site Name]],LocationsKey[Site Name],LocationsKey[District])</f>
        <v>#VALUE!</v>
      </c>
      <c r="I287" t="e" vm="1">
        <f>_xlfn.XLOOKUP(AllDataCorrected[[#This Row],[Site Name]],LocationsKey[Site Name],LocationsKey[Town])</f>
        <v>#VALUE!</v>
      </c>
      <c r="J287" t="str">
        <f>_xlfn.XLOOKUP(AllDataCorrected[[#This Row],[Site Name]],LocationsKey[Site Name], LocationsKey[Waterway])</f>
        <v>Carrant</v>
      </c>
      <c r="K287" t="s">
        <v>90</v>
      </c>
      <c r="L287">
        <f>_xlfn.XLOOKUP(AllDataCorrected[[#This Row],[Site Name]],Tables!$B$12:$B$78, Tables!C$12:C$78)</f>
        <v>51.996416567567572</v>
      </c>
      <c r="M287">
        <f>_xlfn.XLOOKUP(AllDataCorrected[[#This Row],[Site Name]],Tables!$B$12:$B$78, Tables!D$12:D$78)</f>
        <v>-2.1556626756756749</v>
      </c>
      <c r="N287" t="s">
        <v>23</v>
      </c>
      <c r="O287">
        <v>549</v>
      </c>
      <c r="P287">
        <v>10.1</v>
      </c>
      <c r="Q287">
        <v>7</v>
      </c>
      <c r="R287" t="str">
        <f>IF(AllDataCorrected[[#This Row],[Nitrate (PPM)]]&gt;2, "4. Very high (&gt;2ppm)", IF(AllDataCorrected[[#This Row],[Nitrate (PPM)]]&gt;1, "3. High (1-2ppm)", IF(AllDataCorrected[[#This Row],[Nitrate (PPM)]]&gt;0.5, "2. Some evidence (0.5-1ppm)", IF(AllDataCorrected[[#This Row],[Nitrate (PPM)]]&gt;=0, "1. No evidence (&lt;0.5ppm)"))))</f>
        <v>4. Very high (&gt;2ppm)</v>
      </c>
      <c r="S287">
        <v>0.23</v>
      </c>
      <c r="T2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7">
        <v>0.15</v>
      </c>
    </row>
    <row r="288" spans="1:22" x14ac:dyDescent="0.25">
      <c r="A288" t="s">
        <v>470</v>
      </c>
      <c r="B288" s="2">
        <v>45283</v>
      </c>
      <c r="C288" t="str" cm="1">
        <f t="array" ref="C2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8">
        <f>YEAR(AllDataCorrected[[#This Row],[Date]])</f>
        <v>2023</v>
      </c>
      <c r="E288" s="1">
        <v>0.61388888888888893</v>
      </c>
      <c r="F28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8" t="str">
        <f>_xlfn.XLOOKUP(AllDataCorrected[[#This Row],[Location Name]], Locations[Location Name],Locations[Group As])</f>
        <v>Abbey Mill</v>
      </c>
      <c r="H288" t="e" vm="1">
        <f>_xlfn.XLOOKUP(AllDataCorrected[[#This Row],[Site Name]],LocationsKey[Site Name],LocationsKey[District])</f>
        <v>#VALUE!</v>
      </c>
      <c r="I288" t="e" vm="1">
        <f>_xlfn.XLOOKUP(AllDataCorrected[[#This Row],[Site Name]],LocationsKey[Site Name],LocationsKey[Town])</f>
        <v>#VALUE!</v>
      </c>
      <c r="J288" t="str">
        <f>_xlfn.XLOOKUP(AllDataCorrected[[#This Row],[Site Name]],LocationsKey[Site Name], LocationsKey[Waterway])</f>
        <v>Avon</v>
      </c>
      <c r="K288" t="s">
        <v>22</v>
      </c>
      <c r="L288">
        <f>_xlfn.XLOOKUP(AllDataCorrected[[#This Row],[Site Name]],Tables!$B$12:$B$78, Tables!C$12:C$78)</f>
        <v>51.991389555555564</v>
      </c>
      <c r="M288">
        <f>_xlfn.XLOOKUP(AllDataCorrected[[#This Row],[Site Name]],Tables!$B$12:$B$78, Tables!D$12:D$78)</f>
        <v>-2.1620794000000005</v>
      </c>
      <c r="N288" t="s">
        <v>23</v>
      </c>
      <c r="O288">
        <v>705</v>
      </c>
      <c r="P288">
        <v>12</v>
      </c>
      <c r="Q288">
        <v>10</v>
      </c>
      <c r="R288" t="str">
        <f>IF(AllDataCorrected[[#This Row],[Nitrate (PPM)]]&gt;2, "4. Very high (&gt;2ppm)", IF(AllDataCorrected[[#This Row],[Nitrate (PPM)]]&gt;1, "3. High (1-2ppm)", IF(AllDataCorrected[[#This Row],[Nitrate (PPM)]]&gt;0.5, "2. Some evidence (0.5-1ppm)", IF(AllDataCorrected[[#This Row],[Nitrate (PPM)]]&gt;=0, "1. No evidence (&lt;0.5ppm)"))))</f>
        <v>4. Very high (&gt;2ppm)</v>
      </c>
      <c r="S288">
        <v>0.53</v>
      </c>
      <c r="T2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8">
        <v>0.3</v>
      </c>
    </row>
    <row r="289" spans="1:22" x14ac:dyDescent="0.25">
      <c r="A289" t="s">
        <v>472</v>
      </c>
      <c r="B289" s="2">
        <v>45283</v>
      </c>
      <c r="C289" t="str" cm="1">
        <f t="array" ref="C2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9">
        <f>YEAR(AllDataCorrected[[#This Row],[Date]])</f>
        <v>2023</v>
      </c>
      <c r="E289" s="1">
        <v>0.68055555555555558</v>
      </c>
      <c r="F2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9" t="str">
        <f>_xlfn.XLOOKUP(AllDataCorrected[[#This Row],[Location Name]], Locations[Location Name],Locations[Group As])</f>
        <v>Clifford Chambers Mill Bridge</v>
      </c>
      <c r="H289" t="e" vm="2">
        <f>_xlfn.XLOOKUP(AllDataCorrected[[#This Row],[Site Name]],LocationsKey[Site Name],LocationsKey[District])</f>
        <v>#VALUE!</v>
      </c>
      <c r="I289" t="e" vm="12">
        <f>_xlfn.XLOOKUP(AllDataCorrected[[#This Row],[Site Name]],LocationsKey[Site Name],LocationsKey[Town])</f>
        <v>#VALUE!</v>
      </c>
      <c r="J289" t="str">
        <f>_xlfn.XLOOKUP(AllDataCorrected[[#This Row],[Site Name]],LocationsKey[Site Name], LocationsKey[Waterway])</f>
        <v>Stour</v>
      </c>
      <c r="K289" t="s">
        <v>263</v>
      </c>
      <c r="L289">
        <f>_xlfn.XLOOKUP(AllDataCorrected[[#This Row],[Site Name]],Tables!$B$12:$B$78, Tables!C$12:C$78)</f>
        <v>52.166358517241363</v>
      </c>
      <c r="M289">
        <f>_xlfn.XLOOKUP(AllDataCorrected[[#This Row],[Site Name]],Tables!$B$12:$B$78, Tables!D$12:D$78)</f>
        <v>-1.7080419310344837</v>
      </c>
      <c r="N289" t="s">
        <v>66</v>
      </c>
      <c r="O289">
        <v>626</v>
      </c>
      <c r="P289">
        <v>12.4</v>
      </c>
      <c r="Q289">
        <v>6</v>
      </c>
      <c r="R289" t="str">
        <f>IF(AllDataCorrected[[#This Row],[Nitrate (PPM)]]&gt;2, "4. Very high (&gt;2ppm)", IF(AllDataCorrected[[#This Row],[Nitrate (PPM)]]&gt;1, "3. High (1-2ppm)", IF(AllDataCorrected[[#This Row],[Nitrate (PPM)]]&gt;0.5, "2. Some evidence (0.5-1ppm)", IF(AllDataCorrected[[#This Row],[Nitrate (PPM)]]&gt;=0, "1. No evidence (&lt;0.5ppm)"))))</f>
        <v>4. Very high (&gt;2ppm)</v>
      </c>
      <c r="S289">
        <v>0.23</v>
      </c>
      <c r="T2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9">
        <v>1.2</v>
      </c>
      <c r="V289" t="s">
        <v>448</v>
      </c>
    </row>
    <row r="290" spans="1:22" x14ac:dyDescent="0.25">
      <c r="A290" t="s">
        <v>471</v>
      </c>
      <c r="B290" s="2">
        <v>45283</v>
      </c>
      <c r="C290" t="str" cm="1">
        <f t="array" ref="C2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0">
        <f>YEAR(AllDataCorrected[[#This Row],[Date]])</f>
        <v>2023</v>
      </c>
      <c r="E290" s="1">
        <v>0.68055555555555558</v>
      </c>
      <c r="F2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0" t="str">
        <f>_xlfn.XLOOKUP(AllDataCorrected[[#This Row],[Location Name]], Locations[Location Name],Locations[Group As])</f>
        <v>Clifford Chambers Road Bridge</v>
      </c>
      <c r="H290" t="e" vm="2">
        <f>_xlfn.XLOOKUP(AllDataCorrected[[#This Row],[Site Name]],LocationsKey[Site Name],LocationsKey[District])</f>
        <v>#VALUE!</v>
      </c>
      <c r="I290" t="e" vm="12">
        <f>_xlfn.XLOOKUP(AllDataCorrected[[#This Row],[Site Name]],LocationsKey[Site Name],LocationsKey[Town])</f>
        <v>#VALUE!</v>
      </c>
      <c r="J290" t="str">
        <f>_xlfn.XLOOKUP(AllDataCorrected[[#This Row],[Site Name]],LocationsKey[Site Name], LocationsKey[Waterway])</f>
        <v>Stour</v>
      </c>
      <c r="K290" t="s">
        <v>427</v>
      </c>
      <c r="L290">
        <f>_xlfn.XLOOKUP(AllDataCorrected[[#This Row],[Site Name]],Tables!$B$12:$B$78, Tables!C$12:C$78)</f>
        <v>52.172840000000001</v>
      </c>
      <c r="M290">
        <f>_xlfn.XLOOKUP(AllDataCorrected[[#This Row],[Site Name]],Tables!$B$12:$B$78, Tables!D$12:D$78)</f>
        <v>-1.71377</v>
      </c>
      <c r="N290" t="s">
        <v>80</v>
      </c>
      <c r="O290">
        <v>636</v>
      </c>
      <c r="P290">
        <v>12.7</v>
      </c>
      <c r="Q290">
        <v>5</v>
      </c>
      <c r="R290" t="str">
        <f>IF(AllDataCorrected[[#This Row],[Nitrate (PPM)]]&gt;2, "4. Very high (&gt;2ppm)", IF(AllDataCorrected[[#This Row],[Nitrate (PPM)]]&gt;1, "3. High (1-2ppm)", IF(AllDataCorrected[[#This Row],[Nitrate (PPM)]]&gt;0.5, "2. Some evidence (0.5-1ppm)", IF(AllDataCorrected[[#This Row],[Nitrate (PPM)]]&gt;=0, "1. No evidence (&lt;0.5ppm)"))))</f>
        <v>4. Very high (&gt;2ppm)</v>
      </c>
      <c r="S290">
        <v>0.24</v>
      </c>
      <c r="T2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0">
        <v>1.2</v>
      </c>
    </row>
    <row r="291" spans="1:22" x14ac:dyDescent="0.25">
      <c r="A291" t="s">
        <v>473</v>
      </c>
      <c r="B291" s="2">
        <v>45284</v>
      </c>
      <c r="C291" t="str" cm="1">
        <f t="array" ref="C2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1">
        <f>YEAR(AllDataCorrected[[#This Row],[Date]])</f>
        <v>2023</v>
      </c>
      <c r="E291" s="1">
        <v>0.51388888888888884</v>
      </c>
      <c r="F2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1" t="str">
        <f>_xlfn.XLOOKUP(AllDataCorrected[[#This Row],[Location Name]], Locations[Location Name],Locations[Group As])</f>
        <v>Hampton Wood</v>
      </c>
      <c r="H291" t="e" vm="2">
        <f>_xlfn.XLOOKUP(AllDataCorrected[[#This Row],[Site Name]],LocationsKey[Site Name],LocationsKey[District])</f>
        <v>#VALUE!</v>
      </c>
      <c r="I291" t="e" vm="3">
        <f>_xlfn.XLOOKUP(AllDataCorrected[[#This Row],[Site Name]],LocationsKey[Site Name],LocationsKey[Town])</f>
        <v>#VALUE!</v>
      </c>
      <c r="J291" t="str">
        <f>_xlfn.XLOOKUP(AllDataCorrected[[#This Row],[Site Name]],LocationsKey[Site Name], LocationsKey[Waterway])</f>
        <v>Avon</v>
      </c>
      <c r="K291" t="s">
        <v>34</v>
      </c>
      <c r="L291">
        <f>_xlfn.XLOOKUP(AllDataCorrected[[#This Row],[Site Name]],Tables!$B$12:$B$78, Tables!C$12:C$78)</f>
        <v>52.23814999999999</v>
      </c>
      <c r="M291">
        <f>_xlfn.XLOOKUP(AllDataCorrected[[#This Row],[Site Name]],Tables!$B$12:$B$78, Tables!D$12:D$78)</f>
        <v>-1.6245800000000008</v>
      </c>
      <c r="N291" t="s">
        <v>29</v>
      </c>
      <c r="O291">
        <v>730</v>
      </c>
      <c r="P291">
        <v>12</v>
      </c>
      <c r="Q291">
        <v>15</v>
      </c>
      <c r="R291" t="str">
        <f>IF(AllDataCorrected[[#This Row],[Nitrate (PPM)]]&gt;2, "4. Very high (&gt;2ppm)", IF(AllDataCorrected[[#This Row],[Nitrate (PPM)]]&gt;1, "3. High (1-2ppm)", IF(AllDataCorrected[[#This Row],[Nitrate (PPM)]]&gt;0.5, "2. Some evidence (0.5-1ppm)", IF(AllDataCorrected[[#This Row],[Nitrate (PPM)]]&gt;=0, "1. No evidence (&lt;0.5ppm)"))))</f>
        <v>4. Very high (&gt;2ppm)</v>
      </c>
      <c r="S291">
        <v>0.45</v>
      </c>
      <c r="T2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1">
        <v>0</v>
      </c>
    </row>
    <row r="292" spans="1:22" x14ac:dyDescent="0.25">
      <c r="A292" t="s">
        <v>474</v>
      </c>
      <c r="B292" s="2">
        <v>45284</v>
      </c>
      <c r="C292" t="str" cm="1">
        <f t="array" ref="C2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2">
        <f>YEAR(AllDataCorrected[[#This Row],[Date]])</f>
        <v>2023</v>
      </c>
      <c r="E292" s="1">
        <v>0.53125</v>
      </c>
      <c r="F2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2" t="str">
        <f>_xlfn.XLOOKUP(AllDataCorrected[[#This Row],[Location Name]], Locations[Location Name],Locations[Group As])</f>
        <v>Hampton Lucy</v>
      </c>
      <c r="H292" t="e" vm="2">
        <f>_xlfn.XLOOKUP(AllDataCorrected[[#This Row],[Site Name]],LocationsKey[Site Name],LocationsKey[District])</f>
        <v>#VALUE!</v>
      </c>
      <c r="I292" t="e" vm="4">
        <f>_xlfn.XLOOKUP(AllDataCorrected[[#This Row],[Site Name]],LocationsKey[Site Name],LocationsKey[Town])</f>
        <v>#VALUE!</v>
      </c>
      <c r="J292" t="str">
        <f>_xlfn.XLOOKUP(AllDataCorrected[[#This Row],[Site Name]],LocationsKey[Site Name], LocationsKey[Waterway])</f>
        <v>Avon</v>
      </c>
      <c r="K292" t="s">
        <v>37</v>
      </c>
      <c r="L292">
        <f>_xlfn.XLOOKUP(AllDataCorrected[[#This Row],[Site Name]],Tables!$B$12:$B$78, Tables!C$12:C$78)</f>
        <v>52.211679999999973</v>
      </c>
      <c r="M292">
        <f>_xlfn.XLOOKUP(AllDataCorrected[[#This Row],[Site Name]],Tables!$B$12:$B$78, Tables!D$12:D$78)</f>
        <v>-1.6244400000000001</v>
      </c>
      <c r="N292" t="s">
        <v>23</v>
      </c>
      <c r="O292">
        <v>732</v>
      </c>
      <c r="P292">
        <v>11.4</v>
      </c>
      <c r="Q292">
        <v>20</v>
      </c>
      <c r="R292" t="str">
        <f>IF(AllDataCorrected[[#This Row],[Nitrate (PPM)]]&gt;2, "4. Very high (&gt;2ppm)", IF(AllDataCorrected[[#This Row],[Nitrate (PPM)]]&gt;1, "3. High (1-2ppm)", IF(AllDataCorrected[[#This Row],[Nitrate (PPM)]]&gt;0.5, "2. Some evidence (0.5-1ppm)", IF(AllDataCorrected[[#This Row],[Nitrate (PPM)]]&gt;=0, "1. No evidence (&lt;0.5ppm)"))))</f>
        <v>4. Very high (&gt;2ppm)</v>
      </c>
      <c r="S292">
        <v>0.51</v>
      </c>
      <c r="T2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2">
        <v>0</v>
      </c>
    </row>
    <row r="293" spans="1:22" x14ac:dyDescent="0.25">
      <c r="A293" t="s">
        <v>475</v>
      </c>
      <c r="B293" s="2">
        <v>45286</v>
      </c>
      <c r="C293" t="str" cm="1">
        <f t="array" ref="C2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3">
        <f>YEAR(AllDataCorrected[[#This Row],[Date]])</f>
        <v>2023</v>
      </c>
      <c r="E293" s="1">
        <v>0.625</v>
      </c>
      <c r="F2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3" t="str">
        <f>_xlfn.XLOOKUP(AllDataCorrected[[#This Row],[Location Name]], Locations[Location Name],Locations[Group As])</f>
        <v>Weston-on-Avon</v>
      </c>
      <c r="H293" t="e" vm="2">
        <f>_xlfn.XLOOKUP(AllDataCorrected[[#This Row],[Site Name]],LocationsKey[Site Name],LocationsKey[District])</f>
        <v>#VALUE!</v>
      </c>
      <c r="I293" t="e" vm="6">
        <f>_xlfn.XLOOKUP(AllDataCorrected[[#This Row],[Site Name]],LocationsKey[Site Name],LocationsKey[Town])</f>
        <v>#VALUE!</v>
      </c>
      <c r="J293" t="str">
        <f>_xlfn.XLOOKUP(AllDataCorrected[[#This Row],[Site Name]],LocationsKey[Site Name], LocationsKey[Waterway])</f>
        <v>Avon</v>
      </c>
      <c r="K293" t="s">
        <v>41</v>
      </c>
      <c r="L293">
        <f>_xlfn.XLOOKUP(AllDataCorrected[[#This Row],[Site Name]],Tables!$B$12:$B$78, Tables!C$12:C$78)</f>
        <v>52.167429999999996</v>
      </c>
      <c r="M293">
        <f>_xlfn.XLOOKUP(AllDataCorrected[[#This Row],[Site Name]],Tables!$B$12:$B$78, Tables!D$12:D$78)</f>
        <v>-1.7744752941176474</v>
      </c>
      <c r="N293" t="s">
        <v>29</v>
      </c>
      <c r="O293">
        <v>780</v>
      </c>
      <c r="P293">
        <v>10.6</v>
      </c>
      <c r="Q293">
        <v>7</v>
      </c>
      <c r="R293" t="str">
        <f>IF(AllDataCorrected[[#This Row],[Nitrate (PPM)]]&gt;2, "4. Very high (&gt;2ppm)", IF(AllDataCorrected[[#This Row],[Nitrate (PPM)]]&gt;1, "3. High (1-2ppm)", IF(AllDataCorrected[[#This Row],[Nitrate (PPM)]]&gt;0.5, "2. Some evidence (0.5-1ppm)", IF(AllDataCorrected[[#This Row],[Nitrate (PPM)]]&gt;=0, "1. No evidence (&lt;0.5ppm)"))))</f>
        <v>4. Very high (&gt;2ppm)</v>
      </c>
      <c r="S293">
        <v>0.46</v>
      </c>
      <c r="T2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3">
        <v>0</v>
      </c>
    </row>
    <row r="294" spans="1:22" x14ac:dyDescent="0.25">
      <c r="A294" t="s">
        <v>476</v>
      </c>
      <c r="B294" s="2">
        <v>45287</v>
      </c>
      <c r="C294" t="str" cm="1">
        <f t="array" ref="C2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4">
        <f>YEAR(AllDataCorrected[[#This Row],[Date]])</f>
        <v>2023</v>
      </c>
      <c r="E294" s="1">
        <v>0.52083333333333337</v>
      </c>
      <c r="F2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4" t="str">
        <f>_xlfn.XLOOKUP(AllDataCorrected[[#This Row],[Location Name]], Locations[Location Name],Locations[Group As])</f>
        <v>Barton</v>
      </c>
      <c r="H294" t="e" vm="2">
        <f>_xlfn.XLOOKUP(AllDataCorrected[[#This Row],[Site Name]],LocationsKey[Site Name],LocationsKey[District])</f>
        <v>#VALUE!</v>
      </c>
      <c r="I294" t="str">
        <f>_xlfn.XLOOKUP(AllDataCorrected[[#This Row],[Site Name]],LocationsKey[Site Name],LocationsKey[Town])</f>
        <v>Barton</v>
      </c>
      <c r="J294" t="str">
        <f>_xlfn.XLOOKUP(AllDataCorrected[[#This Row],[Site Name]],LocationsKey[Site Name], LocationsKey[Waterway])</f>
        <v>Avon</v>
      </c>
      <c r="K294" t="s">
        <v>49</v>
      </c>
      <c r="L294">
        <f>_xlfn.XLOOKUP(AllDataCorrected[[#This Row],[Site Name]],Tables!$B$12:$B$78, Tables!C$12:C$78)</f>
        <v>52.16120999999999</v>
      </c>
      <c r="M294">
        <f>_xlfn.XLOOKUP(AllDataCorrected[[#This Row],[Site Name]],Tables!$B$12:$B$78, Tables!D$12:D$78)</f>
        <v>-1.8301499999999999</v>
      </c>
      <c r="N294" t="s">
        <v>29</v>
      </c>
      <c r="O294">
        <v>732</v>
      </c>
      <c r="P294">
        <v>7.9</v>
      </c>
      <c r="Q294">
        <v>25</v>
      </c>
      <c r="R294" t="str">
        <f>IF(AllDataCorrected[[#This Row],[Nitrate (PPM)]]&gt;2, "4. Very high (&gt;2ppm)", IF(AllDataCorrected[[#This Row],[Nitrate (PPM)]]&gt;1, "3. High (1-2ppm)", IF(AllDataCorrected[[#This Row],[Nitrate (PPM)]]&gt;0.5, "2. Some evidence (0.5-1ppm)", IF(AllDataCorrected[[#This Row],[Nitrate (PPM)]]&gt;=0, "1. No evidence (&lt;0.5ppm)"))))</f>
        <v>4. Very high (&gt;2ppm)</v>
      </c>
      <c r="S294">
        <v>0.42</v>
      </c>
      <c r="T2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4">
        <v>0</v>
      </c>
    </row>
    <row r="295" spans="1:22" x14ac:dyDescent="0.25">
      <c r="A295" t="s">
        <v>477</v>
      </c>
      <c r="B295" s="2">
        <v>45288</v>
      </c>
      <c r="C295" t="str" cm="1">
        <f t="array" ref="C2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5">
        <f>YEAR(AllDataCorrected[[#This Row],[Date]])</f>
        <v>2023</v>
      </c>
      <c r="E295" s="1">
        <v>0.48402777777777778</v>
      </c>
      <c r="F2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95" t="str">
        <f>_xlfn.XLOOKUP(AllDataCorrected[[#This Row],[Location Name]], Locations[Location Name],Locations[Group As])</f>
        <v>Alveston Weir</v>
      </c>
      <c r="H295" t="e" vm="2">
        <f>_xlfn.XLOOKUP(AllDataCorrected[[#This Row],[Site Name]],LocationsKey[Site Name],LocationsKey[District])</f>
        <v>#VALUE!</v>
      </c>
      <c r="I295" t="e" vm="13">
        <f>_xlfn.XLOOKUP(AllDataCorrected[[#This Row],[Site Name]],LocationsKey[Site Name],LocationsKey[Town])</f>
        <v>#VALUE!</v>
      </c>
      <c r="J295" t="str">
        <f>_xlfn.XLOOKUP(AllDataCorrected[[#This Row],[Site Name]],LocationsKey[Site Name], LocationsKey[Waterway])</f>
        <v>Avon</v>
      </c>
      <c r="K295" t="s">
        <v>286</v>
      </c>
      <c r="L295">
        <f>_xlfn.XLOOKUP(AllDataCorrected[[#This Row],[Site Name]],Tables!$B$12:$B$78, Tables!C$12:C$78)</f>
        <v>52.212366690476216</v>
      </c>
      <c r="M295">
        <f>_xlfn.XLOOKUP(AllDataCorrected[[#This Row],[Site Name]],Tables!$B$12:$B$78, Tables!D$12:D$78)</f>
        <v>-1.6602567619047619</v>
      </c>
      <c r="N295" t="s">
        <v>29</v>
      </c>
      <c r="O295">
        <v>495</v>
      </c>
      <c r="P295">
        <v>10.1</v>
      </c>
      <c r="Q295">
        <v>2</v>
      </c>
      <c r="R295" t="str">
        <f>IF(AllDataCorrected[[#This Row],[Nitrate (PPM)]]&gt;2, "4. Very high (&gt;2ppm)", IF(AllDataCorrected[[#This Row],[Nitrate (PPM)]]&gt;1, "3. High (1-2ppm)", IF(AllDataCorrected[[#This Row],[Nitrate (PPM)]]&gt;0.5, "2. Some evidence (0.5-1ppm)", IF(AllDataCorrected[[#This Row],[Nitrate (PPM)]]&gt;=0, "1. No evidence (&lt;0.5ppm)"))))</f>
        <v>3. High (1-2ppm)</v>
      </c>
      <c r="S295">
        <v>0.63</v>
      </c>
      <c r="T2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5">
        <v>1</v>
      </c>
      <c r="V295" t="s">
        <v>478</v>
      </c>
    </row>
    <row r="296" spans="1:22" x14ac:dyDescent="0.25">
      <c r="A296" t="s">
        <v>482</v>
      </c>
      <c r="B296" s="2">
        <v>45288</v>
      </c>
      <c r="C296" t="str" cm="1">
        <f t="array" ref="C2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6">
        <f>YEAR(AllDataCorrected[[#This Row],[Date]])</f>
        <v>2023</v>
      </c>
      <c r="E296" s="1">
        <v>0.5</v>
      </c>
      <c r="F2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6" t="str">
        <f>_xlfn.XLOOKUP(AllDataCorrected[[#This Row],[Location Name]], Locations[Location Name],Locations[Group As])</f>
        <v>Swiffen Bank</v>
      </c>
      <c r="H296" t="e" vm="2">
        <f>_xlfn.XLOOKUP(AllDataCorrected[[#This Row],[Site Name]],LocationsKey[Site Name],LocationsKey[District])</f>
        <v>#VALUE!</v>
      </c>
      <c r="I296" t="e" vm="13">
        <f>_xlfn.XLOOKUP(AllDataCorrected[[#This Row],[Site Name]],LocationsKey[Site Name],LocationsKey[Town])</f>
        <v>#VALUE!</v>
      </c>
      <c r="J296" t="str">
        <f>_xlfn.XLOOKUP(AllDataCorrected[[#This Row],[Site Name]],LocationsKey[Site Name], LocationsKey[Waterway])</f>
        <v>Avon</v>
      </c>
      <c r="K296" t="s">
        <v>284</v>
      </c>
      <c r="L296">
        <f>_xlfn.XLOOKUP(AllDataCorrected[[#This Row],[Site Name]],Tables!$B$12:$B$78, Tables!C$12:C$78)</f>
        <v>52.206446825000015</v>
      </c>
      <c r="M296">
        <f>_xlfn.XLOOKUP(AllDataCorrected[[#This Row],[Site Name]],Tables!$B$12:$B$78, Tables!D$12:D$78)</f>
        <v>-1.6541684000000003</v>
      </c>
      <c r="N296" t="s">
        <v>29</v>
      </c>
      <c r="O296">
        <v>513</v>
      </c>
      <c r="P296">
        <v>11.1</v>
      </c>
      <c r="Q296">
        <v>2</v>
      </c>
      <c r="R296" t="str">
        <f>IF(AllDataCorrected[[#This Row],[Nitrate (PPM)]]&gt;2, "4. Very high (&gt;2ppm)", IF(AllDataCorrected[[#This Row],[Nitrate (PPM)]]&gt;1, "3. High (1-2ppm)", IF(AllDataCorrected[[#This Row],[Nitrate (PPM)]]&gt;0.5, "2. Some evidence (0.5-1ppm)", IF(AllDataCorrected[[#This Row],[Nitrate (PPM)]]&gt;=0, "1. No evidence (&lt;0.5ppm)"))))</f>
        <v>3. High (1-2ppm)</v>
      </c>
      <c r="S296">
        <v>0.82</v>
      </c>
      <c r="T2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6">
        <v>2</v>
      </c>
      <c r="V296" t="s">
        <v>483</v>
      </c>
    </row>
    <row r="297" spans="1:22" x14ac:dyDescent="0.25">
      <c r="A297" t="s">
        <v>479</v>
      </c>
      <c r="B297" s="2">
        <v>45288</v>
      </c>
      <c r="C297" t="str" cm="1">
        <f t="array" ref="C2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7">
        <f>YEAR(AllDataCorrected[[#This Row],[Date]])</f>
        <v>2023</v>
      </c>
      <c r="E297" s="1">
        <v>0.5</v>
      </c>
      <c r="F2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7" t="str">
        <f>_xlfn.XLOOKUP(AllDataCorrected[[#This Row],[Location Name]], Locations[Location Name],Locations[Group As])</f>
        <v>Swilgate</v>
      </c>
      <c r="H297" t="e" vm="1">
        <f>_xlfn.XLOOKUP(AllDataCorrected[[#This Row],[Site Name]],LocationsKey[Site Name],LocationsKey[District])</f>
        <v>#VALUE!</v>
      </c>
      <c r="I297" t="e" vm="1">
        <f>_xlfn.XLOOKUP(AllDataCorrected[[#This Row],[Site Name]],LocationsKey[Site Name],LocationsKey[Town])</f>
        <v>#VALUE!</v>
      </c>
      <c r="J297" t="str">
        <f>_xlfn.XLOOKUP(AllDataCorrected[[#This Row],[Site Name]],LocationsKey[Site Name], LocationsKey[Waterway])</f>
        <v>Swilgate</v>
      </c>
      <c r="K297" t="s">
        <v>480</v>
      </c>
      <c r="L297">
        <f>_xlfn.XLOOKUP(AllDataCorrected[[#This Row],[Site Name]],Tables!$B$12:$B$78, Tables!C$12:C$78)</f>
        <v>51.9885442</v>
      </c>
      <c r="M297">
        <f>_xlfn.XLOOKUP(AllDataCorrected[[#This Row],[Site Name]],Tables!$B$12:$B$78, Tables!D$12:D$78)</f>
        <v>-2.1639010000000001</v>
      </c>
      <c r="N297" t="s">
        <v>23</v>
      </c>
      <c r="O297">
        <v>797</v>
      </c>
      <c r="P297">
        <v>10.7</v>
      </c>
      <c r="Q297">
        <v>4</v>
      </c>
      <c r="R297" t="str">
        <f>IF(AllDataCorrected[[#This Row],[Nitrate (PPM)]]&gt;2, "4. Very high (&gt;2ppm)", IF(AllDataCorrected[[#This Row],[Nitrate (PPM)]]&gt;1, "3. High (1-2ppm)", IF(AllDataCorrected[[#This Row],[Nitrate (PPM)]]&gt;0.5, "2. Some evidence (0.5-1ppm)", IF(AllDataCorrected[[#This Row],[Nitrate (PPM)]]&gt;=0, "1. No evidence (&lt;0.5ppm)"))))</f>
        <v>4. Very high (&gt;2ppm)</v>
      </c>
      <c r="S297">
        <v>0.55000000000000004</v>
      </c>
      <c r="T2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7">
        <v>2</v>
      </c>
      <c r="V297" t="s">
        <v>481</v>
      </c>
    </row>
    <row r="298" spans="1:22" x14ac:dyDescent="0.25">
      <c r="A298" t="s">
        <v>484</v>
      </c>
      <c r="B298" s="2">
        <v>45290</v>
      </c>
      <c r="C298" t="str" cm="1">
        <f t="array" ref="C2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8">
        <f>YEAR(AllDataCorrected[[#This Row],[Date]])</f>
        <v>2023</v>
      </c>
      <c r="E298" s="1">
        <v>0.5</v>
      </c>
      <c r="F2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8" t="str">
        <f>_xlfn.XLOOKUP(AllDataCorrected[[#This Row],[Location Name]], Locations[Location Name],Locations[Group As])</f>
        <v>Carrant Bredon Rd</v>
      </c>
      <c r="H298" t="e" vm="1">
        <f>_xlfn.XLOOKUP(AllDataCorrected[[#This Row],[Site Name]],LocationsKey[Site Name],LocationsKey[District])</f>
        <v>#VALUE!</v>
      </c>
      <c r="I298" t="e" vm="1">
        <f>_xlfn.XLOOKUP(AllDataCorrected[[#This Row],[Site Name]],LocationsKey[Site Name],LocationsKey[Town])</f>
        <v>#VALUE!</v>
      </c>
      <c r="J298" t="str">
        <f>_xlfn.XLOOKUP(AllDataCorrected[[#This Row],[Site Name]],LocationsKey[Site Name], LocationsKey[Waterway])</f>
        <v>Carrant</v>
      </c>
      <c r="K298" t="s">
        <v>90</v>
      </c>
      <c r="L298">
        <f>_xlfn.XLOOKUP(AllDataCorrected[[#This Row],[Site Name]],Tables!$B$12:$B$78, Tables!C$12:C$78)</f>
        <v>51.996416567567572</v>
      </c>
      <c r="M298">
        <f>_xlfn.XLOOKUP(AllDataCorrected[[#This Row],[Site Name]],Tables!$B$12:$B$78, Tables!D$12:D$78)</f>
        <v>-2.1556626756756749</v>
      </c>
      <c r="N298" t="s">
        <v>23</v>
      </c>
      <c r="O298">
        <v>497</v>
      </c>
      <c r="P298">
        <v>9.4</v>
      </c>
      <c r="Q298">
        <v>5</v>
      </c>
      <c r="R298" t="str">
        <f>IF(AllDataCorrected[[#This Row],[Nitrate (PPM)]]&gt;2, "4. Very high (&gt;2ppm)", IF(AllDataCorrected[[#This Row],[Nitrate (PPM)]]&gt;1, "3. High (1-2ppm)", IF(AllDataCorrected[[#This Row],[Nitrate (PPM)]]&gt;0.5, "2. Some evidence (0.5-1ppm)", IF(AllDataCorrected[[#This Row],[Nitrate (PPM)]]&gt;=0, "1. No evidence (&lt;0.5ppm)"))))</f>
        <v>4. Very high (&gt;2ppm)</v>
      </c>
      <c r="S298">
        <v>0.79</v>
      </c>
      <c r="T2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8">
        <v>2</v>
      </c>
      <c r="V298" t="s">
        <v>270</v>
      </c>
    </row>
    <row r="299" spans="1:22" x14ac:dyDescent="0.25">
      <c r="A299" t="s">
        <v>485</v>
      </c>
      <c r="B299" s="2">
        <v>45290</v>
      </c>
      <c r="C299" t="str" cm="1">
        <f t="array" ref="C2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9">
        <f>YEAR(AllDataCorrected[[#This Row],[Date]])</f>
        <v>2023</v>
      </c>
      <c r="E299" s="1">
        <v>0.60416666666666663</v>
      </c>
      <c r="F2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9" t="str">
        <f>_xlfn.XLOOKUP(AllDataCorrected[[#This Row],[Location Name]], Locations[Location Name],Locations[Group As])</f>
        <v>Abbey Mill</v>
      </c>
      <c r="H299" t="e" vm="1">
        <f>_xlfn.XLOOKUP(AllDataCorrected[[#This Row],[Site Name]],LocationsKey[Site Name],LocationsKey[District])</f>
        <v>#VALUE!</v>
      </c>
      <c r="I299" t="e" vm="1">
        <f>_xlfn.XLOOKUP(AllDataCorrected[[#This Row],[Site Name]],LocationsKey[Site Name],LocationsKey[Town])</f>
        <v>#VALUE!</v>
      </c>
      <c r="J299" t="str">
        <f>_xlfn.XLOOKUP(AllDataCorrected[[#This Row],[Site Name]],LocationsKey[Site Name], LocationsKey[Waterway])</f>
        <v>Avon</v>
      </c>
      <c r="K299" t="s">
        <v>22</v>
      </c>
      <c r="L299">
        <f>_xlfn.XLOOKUP(AllDataCorrected[[#This Row],[Site Name]],Tables!$B$12:$B$78, Tables!C$12:C$78)</f>
        <v>51.991389555555564</v>
      </c>
      <c r="M299">
        <f>_xlfn.XLOOKUP(AllDataCorrected[[#This Row],[Site Name]],Tables!$B$12:$B$78, Tables!D$12:D$78)</f>
        <v>-2.1620794000000005</v>
      </c>
      <c r="N299" t="s">
        <v>23</v>
      </c>
      <c r="O299">
        <v>474</v>
      </c>
      <c r="P299">
        <v>11.1</v>
      </c>
      <c r="Q299">
        <v>4</v>
      </c>
      <c r="R299" t="str">
        <f>IF(AllDataCorrected[[#This Row],[Nitrate (PPM)]]&gt;2, "4. Very high (&gt;2ppm)", IF(AllDataCorrected[[#This Row],[Nitrate (PPM)]]&gt;1, "3. High (1-2ppm)", IF(AllDataCorrected[[#This Row],[Nitrate (PPM)]]&gt;0.5, "2. Some evidence (0.5-1ppm)", IF(AllDataCorrected[[#This Row],[Nitrate (PPM)]]&gt;=0, "1. No evidence (&lt;0.5ppm)"))))</f>
        <v>4. Very high (&gt;2ppm)</v>
      </c>
      <c r="S299">
        <v>0.86</v>
      </c>
      <c r="T2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9">
        <v>2.6</v>
      </c>
      <c r="V299" t="s">
        <v>486</v>
      </c>
    </row>
    <row r="300" spans="1:22" x14ac:dyDescent="0.25">
      <c r="A300" t="s">
        <v>487</v>
      </c>
      <c r="B300" s="2">
        <v>45291</v>
      </c>
      <c r="C300" t="str" cm="1">
        <f t="array" ref="C3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0">
        <f>YEAR(AllDataCorrected[[#This Row],[Date]])</f>
        <v>2023</v>
      </c>
      <c r="E300" s="1">
        <v>0.54166666666666663</v>
      </c>
      <c r="F3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0" t="str">
        <f>_xlfn.XLOOKUP(AllDataCorrected[[#This Row],[Location Name]], Locations[Location Name],Locations[Group As])</f>
        <v>Hampton Lucy</v>
      </c>
      <c r="H300" t="e" vm="2">
        <f>_xlfn.XLOOKUP(AllDataCorrected[[#This Row],[Site Name]],LocationsKey[Site Name],LocationsKey[District])</f>
        <v>#VALUE!</v>
      </c>
      <c r="I300" t="e" vm="4">
        <f>_xlfn.XLOOKUP(AllDataCorrected[[#This Row],[Site Name]],LocationsKey[Site Name],LocationsKey[Town])</f>
        <v>#VALUE!</v>
      </c>
      <c r="J300" t="str">
        <f>_xlfn.XLOOKUP(AllDataCorrected[[#This Row],[Site Name]],LocationsKey[Site Name], LocationsKey[Waterway])</f>
        <v>Avon</v>
      </c>
      <c r="K300" t="s">
        <v>37</v>
      </c>
      <c r="L300">
        <f>_xlfn.XLOOKUP(AllDataCorrected[[#This Row],[Site Name]],Tables!$B$12:$B$78, Tables!C$12:C$78)</f>
        <v>52.211679999999973</v>
      </c>
      <c r="M300">
        <f>_xlfn.XLOOKUP(AllDataCorrected[[#This Row],[Site Name]],Tables!$B$12:$B$78, Tables!D$12:D$78)</f>
        <v>-1.6244400000000001</v>
      </c>
      <c r="N300" t="s">
        <v>23</v>
      </c>
      <c r="O300">
        <v>486</v>
      </c>
      <c r="P300">
        <v>9</v>
      </c>
      <c r="Q300">
        <v>15</v>
      </c>
      <c r="R300" t="str">
        <f>IF(AllDataCorrected[[#This Row],[Nitrate (PPM)]]&gt;2, "4. Very high (&gt;2ppm)", IF(AllDataCorrected[[#This Row],[Nitrate (PPM)]]&gt;1, "3. High (1-2ppm)", IF(AllDataCorrected[[#This Row],[Nitrate (PPM)]]&gt;0.5, "2. Some evidence (0.5-1ppm)", IF(AllDataCorrected[[#This Row],[Nitrate (PPM)]]&gt;=0, "1. No evidence (&lt;0.5ppm)"))))</f>
        <v>4. Very high (&gt;2ppm)</v>
      </c>
      <c r="S300">
        <v>0.51</v>
      </c>
      <c r="T3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0">
        <v>0</v>
      </c>
    </row>
    <row r="301" spans="1:22" x14ac:dyDescent="0.25">
      <c r="A301" t="s">
        <v>488</v>
      </c>
      <c r="B301" s="2">
        <v>45295</v>
      </c>
      <c r="C301" t="str" cm="1">
        <f t="array" ref="C3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1">
        <v>2023</v>
      </c>
      <c r="E301" s="1">
        <v>0.58611111111111114</v>
      </c>
      <c r="F3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1" t="str">
        <f>_xlfn.XLOOKUP(AllDataCorrected[[#This Row],[Location Name]], Locations[Location Name],Locations[Group As])</f>
        <v>Preston-on-Stour River Bridge</v>
      </c>
      <c r="H301" t="e" vm="2">
        <f>_xlfn.XLOOKUP(AllDataCorrected[[#This Row],[Site Name]],LocationsKey[Site Name],LocationsKey[District])</f>
        <v>#VALUE!</v>
      </c>
      <c r="I301" t="e" vm="9">
        <f>_xlfn.XLOOKUP(AllDataCorrected[[#This Row],[Site Name]],LocationsKey[Site Name],LocationsKey[Town])</f>
        <v>#VALUE!</v>
      </c>
      <c r="J301" t="str">
        <f>_xlfn.XLOOKUP(AllDataCorrected[[#This Row],[Site Name]],LocationsKey[Site Name], LocationsKey[Waterway])</f>
        <v>Stour</v>
      </c>
      <c r="K301" t="s">
        <v>163</v>
      </c>
      <c r="L301">
        <f>_xlfn.XLOOKUP(AllDataCorrected[[#This Row],[Site Name]],Tables!$B$12:$B$78, Tables!C$12:C$78)</f>
        <v>52.146529500000007</v>
      </c>
      <c r="M301">
        <f>_xlfn.XLOOKUP(AllDataCorrected[[#This Row],[Site Name]],Tables!$B$12:$B$78, Tables!D$12:D$78)</f>
        <v>-1.6996899999999999</v>
      </c>
      <c r="N301" t="s">
        <v>29</v>
      </c>
      <c r="O301">
        <v>578</v>
      </c>
      <c r="P301">
        <v>8.3000000000000007</v>
      </c>
      <c r="Q301">
        <v>5</v>
      </c>
      <c r="R301" t="str">
        <f>IF(AllDataCorrected[[#This Row],[Nitrate (PPM)]]&gt;2, "4. Very high (&gt;2ppm)", IF(AllDataCorrected[[#This Row],[Nitrate (PPM)]]&gt;1, "3. High (1-2ppm)", IF(AllDataCorrected[[#This Row],[Nitrate (PPM)]]&gt;0.5, "2. Some evidence (0.5-1ppm)", IF(AllDataCorrected[[#This Row],[Nitrate (PPM)]]&gt;=0, "1. No evidence (&lt;0.5ppm)"))))</f>
        <v>4. Very high (&gt;2ppm)</v>
      </c>
      <c r="S301">
        <v>0.25</v>
      </c>
      <c r="T3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1">
        <v>2.5</v>
      </c>
      <c r="V301" t="s">
        <v>489</v>
      </c>
    </row>
    <row r="302" spans="1:22" x14ac:dyDescent="0.25">
      <c r="A302" t="s">
        <v>490</v>
      </c>
      <c r="B302" s="2">
        <v>45295</v>
      </c>
      <c r="C302" t="str" cm="1">
        <f t="array" ref="C3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2">
        <v>2023</v>
      </c>
      <c r="E302" s="1">
        <v>0.63888888888888884</v>
      </c>
      <c r="F3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2" t="str">
        <f>_xlfn.XLOOKUP(AllDataCorrected[[#This Row],[Location Name]], Locations[Location Name],Locations[Group As])</f>
        <v>Swiffen Bank</v>
      </c>
      <c r="H302" t="e" vm="2">
        <f>_xlfn.XLOOKUP(AllDataCorrected[[#This Row],[Site Name]],LocationsKey[Site Name],LocationsKey[District])</f>
        <v>#VALUE!</v>
      </c>
      <c r="I302" t="e" vm="13">
        <f>_xlfn.XLOOKUP(AllDataCorrected[[#This Row],[Site Name]],LocationsKey[Site Name],LocationsKey[Town])</f>
        <v>#VALUE!</v>
      </c>
      <c r="J302" t="str">
        <f>_xlfn.XLOOKUP(AllDataCorrected[[#This Row],[Site Name]],LocationsKey[Site Name], LocationsKey[Waterway])</f>
        <v>Avon</v>
      </c>
      <c r="K302" t="s">
        <v>284</v>
      </c>
      <c r="L302">
        <f>_xlfn.XLOOKUP(AllDataCorrected[[#This Row],[Site Name]],Tables!$B$12:$B$78, Tables!C$12:C$78)</f>
        <v>52.206446825000015</v>
      </c>
      <c r="M302">
        <f>_xlfn.XLOOKUP(AllDataCorrected[[#This Row],[Site Name]],Tables!$B$12:$B$78, Tables!D$12:D$78)</f>
        <v>-1.6541684000000003</v>
      </c>
      <c r="N302" t="s">
        <v>29</v>
      </c>
      <c r="O302">
        <v>370</v>
      </c>
      <c r="P302">
        <v>9.6</v>
      </c>
      <c r="Q302">
        <v>2</v>
      </c>
      <c r="R302" t="str">
        <f>IF(AllDataCorrected[[#This Row],[Nitrate (PPM)]]&gt;2, "4. Very high (&gt;2ppm)", IF(AllDataCorrected[[#This Row],[Nitrate (PPM)]]&gt;1, "3. High (1-2ppm)", IF(AllDataCorrected[[#This Row],[Nitrate (PPM)]]&gt;0.5, "2. Some evidence (0.5-1ppm)", IF(AllDataCorrected[[#This Row],[Nitrate (PPM)]]&gt;=0, "1. No evidence (&lt;0.5ppm)"))))</f>
        <v>3. High (1-2ppm)</v>
      </c>
      <c r="S302">
        <v>0.62</v>
      </c>
      <c r="T3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2">
        <v>4</v>
      </c>
      <c r="V302" t="s">
        <v>491</v>
      </c>
    </row>
    <row r="303" spans="1:22" x14ac:dyDescent="0.25">
      <c r="A303" t="s">
        <v>492</v>
      </c>
      <c r="B303" s="2">
        <v>45295</v>
      </c>
      <c r="C303" t="str" cm="1">
        <f t="array" ref="C3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3">
        <v>2023</v>
      </c>
      <c r="E303" s="1">
        <v>0.67083333333333328</v>
      </c>
      <c r="F3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3" t="str">
        <f>_xlfn.XLOOKUP(AllDataCorrected[[#This Row],[Location Name]], Locations[Location Name],Locations[Group As])</f>
        <v>Alveston Weir</v>
      </c>
      <c r="H303" t="e" vm="2">
        <f>_xlfn.XLOOKUP(AllDataCorrected[[#This Row],[Site Name]],LocationsKey[Site Name],LocationsKey[District])</f>
        <v>#VALUE!</v>
      </c>
      <c r="I303" t="e" vm="13">
        <f>_xlfn.XLOOKUP(AllDataCorrected[[#This Row],[Site Name]],LocationsKey[Site Name],LocationsKey[Town])</f>
        <v>#VALUE!</v>
      </c>
      <c r="J303" t="str">
        <f>_xlfn.XLOOKUP(AllDataCorrected[[#This Row],[Site Name]],LocationsKey[Site Name], LocationsKey[Waterway])</f>
        <v>Avon</v>
      </c>
      <c r="K303" t="s">
        <v>286</v>
      </c>
      <c r="L303">
        <f>_xlfn.XLOOKUP(AllDataCorrected[[#This Row],[Site Name]],Tables!$B$12:$B$78, Tables!C$12:C$78)</f>
        <v>52.212366690476216</v>
      </c>
      <c r="M303">
        <f>_xlfn.XLOOKUP(AllDataCorrected[[#This Row],[Site Name]],Tables!$B$12:$B$78, Tables!D$12:D$78)</f>
        <v>-1.6602567619047619</v>
      </c>
      <c r="N303" t="s">
        <v>29</v>
      </c>
      <c r="O303">
        <v>393</v>
      </c>
      <c r="P303">
        <v>10</v>
      </c>
      <c r="Q303">
        <v>2</v>
      </c>
      <c r="R303" t="str">
        <f>IF(AllDataCorrected[[#This Row],[Nitrate (PPM)]]&gt;2, "4. Very high (&gt;2ppm)", IF(AllDataCorrected[[#This Row],[Nitrate (PPM)]]&gt;1, "3. High (1-2ppm)", IF(AllDataCorrected[[#This Row],[Nitrate (PPM)]]&gt;0.5, "2. Some evidence (0.5-1ppm)", IF(AllDataCorrected[[#This Row],[Nitrate (PPM)]]&gt;=0, "1. No evidence (&lt;0.5ppm)"))))</f>
        <v>3. High (1-2ppm)</v>
      </c>
      <c r="S303">
        <v>1.92</v>
      </c>
      <c r="T3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3">
        <v>6</v>
      </c>
      <c r="V303" t="s">
        <v>493</v>
      </c>
    </row>
    <row r="304" spans="1:22" x14ac:dyDescent="0.25">
      <c r="A304" t="s">
        <v>494</v>
      </c>
      <c r="B304" s="2">
        <v>45297</v>
      </c>
      <c r="C304" t="str" cm="1">
        <f t="array" ref="C3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4">
        <v>2023</v>
      </c>
      <c r="E304" s="1">
        <v>0.59652777777777777</v>
      </c>
      <c r="F3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4" t="str">
        <f>_xlfn.XLOOKUP(AllDataCorrected[[#This Row],[Location Name]], Locations[Location Name],Locations[Group As])</f>
        <v>Stour Shipston Mill Bridge</v>
      </c>
      <c r="H304" t="e" vm="2">
        <f>_xlfn.XLOOKUP(AllDataCorrected[[#This Row],[Site Name]],LocationsKey[Site Name],LocationsKey[District])</f>
        <v>#VALUE!</v>
      </c>
      <c r="I304" t="e" vm="10">
        <f>_xlfn.XLOOKUP(AllDataCorrected[[#This Row],[Site Name]],LocationsKey[Site Name],LocationsKey[Town])</f>
        <v>#VALUE!</v>
      </c>
      <c r="J304" t="str">
        <f>_xlfn.XLOOKUP(AllDataCorrected[[#This Row],[Site Name]],LocationsKey[Site Name], LocationsKey[Waterway])</f>
        <v>Stour</v>
      </c>
      <c r="K304" t="s">
        <v>432</v>
      </c>
      <c r="L304">
        <f>_xlfn.XLOOKUP(AllDataCorrected[[#This Row],[Site Name]],Tables!$B$12:$B$78, Tables!C$12:C$78)</f>
        <v>52.06201572727273</v>
      </c>
      <c r="M304">
        <f>_xlfn.XLOOKUP(AllDataCorrected[[#This Row],[Site Name]],Tables!$B$12:$B$78, Tables!D$12:D$78)</f>
        <v>-1.6218167272727273</v>
      </c>
      <c r="N304" t="s">
        <v>23</v>
      </c>
      <c r="O304">
        <v>548</v>
      </c>
      <c r="P304">
        <v>8.8000000000000007</v>
      </c>
      <c r="Q304">
        <v>5</v>
      </c>
      <c r="R304" t="str">
        <f>IF(AllDataCorrected[[#This Row],[Nitrate (PPM)]]&gt;2, "4. Very high (&gt;2ppm)", IF(AllDataCorrected[[#This Row],[Nitrate (PPM)]]&gt;1, "3. High (1-2ppm)", IF(AllDataCorrected[[#This Row],[Nitrate (PPM)]]&gt;0.5, "2. Some evidence (0.5-1ppm)", IF(AllDataCorrected[[#This Row],[Nitrate (PPM)]]&gt;=0, "1. No evidence (&lt;0.5ppm)"))))</f>
        <v>4. Very high (&gt;2ppm)</v>
      </c>
      <c r="S304">
        <v>0.14000000000000001</v>
      </c>
      <c r="T3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4">
        <v>1.5</v>
      </c>
    </row>
    <row r="305" spans="1:22" x14ac:dyDescent="0.25">
      <c r="A305" t="s">
        <v>495</v>
      </c>
      <c r="B305" s="2">
        <v>45297</v>
      </c>
      <c r="C305" t="str" cm="1">
        <f t="array" ref="C3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5">
        <v>2023</v>
      </c>
      <c r="E305" s="1">
        <v>0.63194444444444442</v>
      </c>
      <c r="F3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5" t="str">
        <f>_xlfn.XLOOKUP(AllDataCorrected[[#This Row],[Location Name]], Locations[Location Name],Locations[Group As])</f>
        <v>Fell Mill Footbridge</v>
      </c>
      <c r="H305" t="e" vm="2">
        <f>_xlfn.XLOOKUP(AllDataCorrected[[#This Row],[Site Name]],LocationsKey[Site Name],LocationsKey[District])</f>
        <v>#VALUE!</v>
      </c>
      <c r="I305" t="e" vm="10">
        <f>_xlfn.XLOOKUP(AllDataCorrected[[#This Row],[Site Name]],LocationsKey[Site Name],LocationsKey[Town])</f>
        <v>#VALUE!</v>
      </c>
      <c r="J305" t="str">
        <f>_xlfn.XLOOKUP(AllDataCorrected[[#This Row],[Site Name]],LocationsKey[Site Name], LocationsKey[Waterway])</f>
        <v>Stour</v>
      </c>
      <c r="K305" t="s">
        <v>496</v>
      </c>
      <c r="L305">
        <f>_xlfn.XLOOKUP(AllDataCorrected[[#This Row],[Site Name]],Tables!$B$12:$B$78, Tables!C$12:C$78)</f>
        <v>52.067966827586183</v>
      </c>
      <c r="M305">
        <f>_xlfn.XLOOKUP(AllDataCorrected[[#This Row],[Site Name]],Tables!$B$12:$B$78, Tables!D$12:D$78)</f>
        <v>-1.6118101379310343</v>
      </c>
      <c r="N305" t="s">
        <v>29</v>
      </c>
      <c r="O305">
        <v>554</v>
      </c>
      <c r="P305">
        <v>8.5</v>
      </c>
      <c r="Q305">
        <v>10</v>
      </c>
      <c r="R305" t="str">
        <f>IF(AllDataCorrected[[#This Row],[Nitrate (PPM)]]&gt;2, "4. Very high (&gt;2ppm)", IF(AllDataCorrected[[#This Row],[Nitrate (PPM)]]&gt;1, "3. High (1-2ppm)", IF(AllDataCorrected[[#This Row],[Nitrate (PPM)]]&gt;0.5, "2. Some evidence (0.5-1ppm)", IF(AllDataCorrected[[#This Row],[Nitrate (PPM)]]&gt;=0, "1. No evidence (&lt;0.5ppm)"))))</f>
        <v>4. Very high (&gt;2ppm)</v>
      </c>
      <c r="S305">
        <v>0.26</v>
      </c>
      <c r="T3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5">
        <v>1.5</v>
      </c>
    </row>
    <row r="306" spans="1:22" x14ac:dyDescent="0.25">
      <c r="A306" t="s">
        <v>497</v>
      </c>
      <c r="B306" s="2">
        <v>45297</v>
      </c>
      <c r="C306" t="str" cm="1">
        <f t="array" ref="C3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6">
        <v>2023</v>
      </c>
      <c r="E306" s="1">
        <v>0.63541666666666663</v>
      </c>
      <c r="F3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6" t="str">
        <f>_xlfn.XLOOKUP(AllDataCorrected[[#This Row],[Location Name]], Locations[Location Name],Locations[Group As])</f>
        <v>Clifford Chambers Mill Bridge</v>
      </c>
      <c r="H306" t="e" vm="2">
        <f>_xlfn.XLOOKUP(AllDataCorrected[[#This Row],[Site Name]],LocationsKey[Site Name],LocationsKey[District])</f>
        <v>#VALUE!</v>
      </c>
      <c r="I306" t="e" vm="12">
        <f>_xlfn.XLOOKUP(AllDataCorrected[[#This Row],[Site Name]],LocationsKey[Site Name],LocationsKey[Town])</f>
        <v>#VALUE!</v>
      </c>
      <c r="J306" t="str">
        <f>_xlfn.XLOOKUP(AllDataCorrected[[#This Row],[Site Name]],LocationsKey[Site Name], LocationsKey[Waterway])</f>
        <v>Stour</v>
      </c>
      <c r="K306" t="s">
        <v>263</v>
      </c>
      <c r="L306">
        <f>_xlfn.XLOOKUP(AllDataCorrected[[#This Row],[Site Name]],Tables!$B$12:$B$78, Tables!C$12:C$78)</f>
        <v>52.166358517241363</v>
      </c>
      <c r="M306">
        <f>_xlfn.XLOOKUP(AllDataCorrected[[#This Row],[Site Name]],Tables!$B$12:$B$78, Tables!D$12:D$78)</f>
        <v>-1.7080419310344837</v>
      </c>
      <c r="N306" t="s">
        <v>66</v>
      </c>
      <c r="O306">
        <v>550</v>
      </c>
      <c r="P306">
        <v>11.3</v>
      </c>
      <c r="Q306">
        <v>5</v>
      </c>
      <c r="R306" t="str">
        <f>IF(AllDataCorrected[[#This Row],[Nitrate (PPM)]]&gt;2, "4. Very high (&gt;2ppm)", IF(AllDataCorrected[[#This Row],[Nitrate (PPM)]]&gt;1, "3. High (1-2ppm)", IF(AllDataCorrected[[#This Row],[Nitrate (PPM)]]&gt;0.5, "2. Some evidence (0.5-1ppm)", IF(AllDataCorrected[[#This Row],[Nitrate (PPM)]]&gt;=0, "1. No evidence (&lt;0.5ppm)"))))</f>
        <v>4. Very high (&gt;2ppm)</v>
      </c>
      <c r="S306">
        <v>0.34</v>
      </c>
      <c r="T3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6">
        <v>1.4</v>
      </c>
      <c r="V306" t="s">
        <v>498</v>
      </c>
    </row>
    <row r="307" spans="1:22" x14ac:dyDescent="0.25">
      <c r="A307" t="s">
        <v>499</v>
      </c>
      <c r="B307" s="2">
        <v>45297</v>
      </c>
      <c r="C307" t="str" cm="1">
        <f t="array" ref="C3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7">
        <v>2023</v>
      </c>
      <c r="E307" s="1">
        <v>0.64236111111111116</v>
      </c>
      <c r="F3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7" t="str">
        <f>_xlfn.XLOOKUP(AllDataCorrected[[#This Row],[Location Name]], Locations[Location Name],Locations[Group As])</f>
        <v>Clifford Chambers Road Bridge</v>
      </c>
      <c r="H307" t="e" vm="2">
        <f>_xlfn.XLOOKUP(AllDataCorrected[[#This Row],[Site Name]],LocationsKey[Site Name],LocationsKey[District])</f>
        <v>#VALUE!</v>
      </c>
      <c r="I307" t="e" vm="12">
        <f>_xlfn.XLOOKUP(AllDataCorrected[[#This Row],[Site Name]],LocationsKey[Site Name],LocationsKey[Town])</f>
        <v>#VALUE!</v>
      </c>
      <c r="J307" t="str">
        <f>_xlfn.XLOOKUP(AllDataCorrected[[#This Row],[Site Name]],LocationsKey[Site Name], LocationsKey[Waterway])</f>
        <v>Stour</v>
      </c>
      <c r="K307" t="s">
        <v>427</v>
      </c>
      <c r="L307">
        <f>_xlfn.XLOOKUP(AllDataCorrected[[#This Row],[Site Name]],Tables!$B$12:$B$78, Tables!C$12:C$78)</f>
        <v>52.172840000000001</v>
      </c>
      <c r="M307">
        <f>_xlfn.XLOOKUP(AllDataCorrected[[#This Row],[Site Name]],Tables!$B$12:$B$78, Tables!D$12:D$78)</f>
        <v>-1.71377</v>
      </c>
      <c r="N307" t="s">
        <v>80</v>
      </c>
      <c r="O307">
        <v>557</v>
      </c>
      <c r="P307">
        <v>11.5</v>
      </c>
      <c r="Q307">
        <v>6</v>
      </c>
      <c r="R307" t="str">
        <f>IF(AllDataCorrected[[#This Row],[Nitrate (PPM)]]&gt;2, "4. Very high (&gt;2ppm)", IF(AllDataCorrected[[#This Row],[Nitrate (PPM)]]&gt;1, "3. High (1-2ppm)", IF(AllDataCorrected[[#This Row],[Nitrate (PPM)]]&gt;0.5, "2. Some evidence (0.5-1ppm)", IF(AllDataCorrected[[#This Row],[Nitrate (PPM)]]&gt;=0, "1. No evidence (&lt;0.5ppm)"))))</f>
        <v>4. Very high (&gt;2ppm)</v>
      </c>
      <c r="S307">
        <v>0.31</v>
      </c>
      <c r="T3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7">
        <v>0.6</v>
      </c>
    </row>
    <row r="308" spans="1:22" x14ac:dyDescent="0.25">
      <c r="A308" t="s">
        <v>500</v>
      </c>
      <c r="B308" s="2">
        <v>45298</v>
      </c>
      <c r="C308" t="str" cm="1">
        <f t="array" ref="C3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8">
        <v>2023</v>
      </c>
      <c r="E308" s="1">
        <v>0.46319444444444446</v>
      </c>
      <c r="F3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08" t="str">
        <f>_xlfn.XLOOKUP(AllDataCorrected[[#This Row],[Location Name]], Locations[Location Name],Locations[Group As])</f>
        <v>Avonbank Drive</v>
      </c>
      <c r="H308" t="e" vm="2">
        <f>_xlfn.XLOOKUP(AllDataCorrected[[#This Row],[Site Name]],LocationsKey[Site Name],LocationsKey[District])</f>
        <v>#VALUE!</v>
      </c>
      <c r="I308" t="e" vm="7">
        <f>_xlfn.XLOOKUP(AllDataCorrected[[#This Row],[Site Name]],LocationsKey[Site Name],LocationsKey[Town])</f>
        <v>#VALUE!</v>
      </c>
      <c r="J308" t="str">
        <f>_xlfn.XLOOKUP(AllDataCorrected[[#This Row],[Site Name]],LocationsKey[Site Name], LocationsKey[Waterway])</f>
        <v>Avon</v>
      </c>
      <c r="K308" t="s">
        <v>65</v>
      </c>
      <c r="L308">
        <f>_xlfn.XLOOKUP(AllDataCorrected[[#This Row],[Site Name]],Tables!$B$12:$B$78, Tables!C$12:C$78)</f>
        <v>52.177054657142854</v>
      </c>
      <c r="M308">
        <f>_xlfn.XLOOKUP(AllDataCorrected[[#This Row],[Site Name]],Tables!$B$12:$B$78, Tables!D$12:D$78)</f>
        <v>-1.7358669999999996</v>
      </c>
      <c r="N308" t="s">
        <v>66</v>
      </c>
      <c r="O308">
        <v>658</v>
      </c>
      <c r="P308">
        <v>8.1</v>
      </c>
      <c r="Q308">
        <v>2</v>
      </c>
      <c r="R308" t="str">
        <f>IF(AllDataCorrected[[#This Row],[Nitrate (PPM)]]&gt;2, "4. Very high (&gt;2ppm)", IF(AllDataCorrected[[#This Row],[Nitrate (PPM)]]&gt;1, "3. High (1-2ppm)", IF(AllDataCorrected[[#This Row],[Nitrate (PPM)]]&gt;0.5, "2. Some evidence (0.5-1ppm)", IF(AllDataCorrected[[#This Row],[Nitrate (PPM)]]&gt;=0, "1. No evidence (&lt;0.5ppm)"))))</f>
        <v>3. High (1-2ppm)</v>
      </c>
      <c r="S308">
        <v>0.36</v>
      </c>
      <c r="T3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8">
        <v>1</v>
      </c>
      <c r="V308" t="s">
        <v>501</v>
      </c>
    </row>
    <row r="309" spans="1:22" x14ac:dyDescent="0.25">
      <c r="A309" t="s">
        <v>502</v>
      </c>
      <c r="B309" s="2">
        <v>45298</v>
      </c>
      <c r="C309" t="str" cm="1">
        <f t="array" ref="C3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9">
        <v>2023</v>
      </c>
      <c r="E309" s="1">
        <v>0.47708333333333336</v>
      </c>
      <c r="F3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09" t="str">
        <f>_xlfn.XLOOKUP(AllDataCorrected[[#This Row],[Location Name]], Locations[Location Name],Locations[Group As])</f>
        <v>Pitch 16</v>
      </c>
      <c r="H309" t="e" vm="2">
        <f>_xlfn.XLOOKUP(AllDataCorrected[[#This Row],[Site Name]],LocationsKey[Site Name],LocationsKey[District])</f>
        <v>#VALUE!</v>
      </c>
      <c r="I309" t="e" vm="7">
        <f>_xlfn.XLOOKUP(AllDataCorrected[[#This Row],[Site Name]],LocationsKey[Site Name],LocationsKey[Town])</f>
        <v>#VALUE!</v>
      </c>
      <c r="J309" t="str">
        <f>_xlfn.XLOOKUP(AllDataCorrected[[#This Row],[Site Name]],LocationsKey[Site Name], LocationsKey[Waterway])</f>
        <v>Avon</v>
      </c>
      <c r="K309" t="s">
        <v>69</v>
      </c>
      <c r="L309">
        <f>_xlfn.XLOOKUP(AllDataCorrected[[#This Row],[Site Name]],Tables!$B$12:$B$78, Tables!C$12:C$78)</f>
        <v>52.17355294117646</v>
      </c>
      <c r="M309">
        <f>_xlfn.XLOOKUP(AllDataCorrected[[#This Row],[Site Name]],Tables!$B$12:$B$78, Tables!D$12:D$78)</f>
        <v>-1.7433199411764708</v>
      </c>
      <c r="N309" t="s">
        <v>29</v>
      </c>
      <c r="O309">
        <v>655</v>
      </c>
      <c r="P309">
        <v>6.2</v>
      </c>
      <c r="Q309">
        <v>3</v>
      </c>
      <c r="R309" t="str">
        <f>IF(AllDataCorrected[[#This Row],[Nitrate (PPM)]]&gt;2, "4. Very high (&gt;2ppm)", IF(AllDataCorrected[[#This Row],[Nitrate (PPM)]]&gt;1, "3. High (1-2ppm)", IF(AllDataCorrected[[#This Row],[Nitrate (PPM)]]&gt;0.5, "2. Some evidence (0.5-1ppm)", IF(AllDataCorrected[[#This Row],[Nitrate (PPM)]]&gt;=0, "1. No evidence (&lt;0.5ppm)"))))</f>
        <v>4. Very high (&gt;2ppm)</v>
      </c>
      <c r="S309">
        <v>0.39</v>
      </c>
      <c r="T3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9">
        <v>1</v>
      </c>
      <c r="V309" t="s">
        <v>503</v>
      </c>
    </row>
    <row r="310" spans="1:22" x14ac:dyDescent="0.25">
      <c r="A310" t="s">
        <v>504</v>
      </c>
      <c r="B310" s="2">
        <v>45298</v>
      </c>
      <c r="C310" t="str" cm="1">
        <f t="array" ref="C3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0">
        <v>2023</v>
      </c>
      <c r="E310" s="1">
        <v>0.52083333333333337</v>
      </c>
      <c r="F3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0" t="str">
        <f>_xlfn.XLOOKUP(AllDataCorrected[[#This Row],[Location Name]], Locations[Location Name],Locations[Group As])</f>
        <v>Hampton Wood</v>
      </c>
      <c r="H310" t="e" vm="2">
        <f>_xlfn.XLOOKUP(AllDataCorrected[[#This Row],[Site Name]],LocationsKey[Site Name],LocationsKey[District])</f>
        <v>#VALUE!</v>
      </c>
      <c r="I310" t="e" vm="3">
        <f>_xlfn.XLOOKUP(AllDataCorrected[[#This Row],[Site Name]],LocationsKey[Site Name],LocationsKey[Town])</f>
        <v>#VALUE!</v>
      </c>
      <c r="J310" t="str">
        <f>_xlfn.XLOOKUP(AllDataCorrected[[#This Row],[Site Name]],LocationsKey[Site Name], LocationsKey[Waterway])</f>
        <v>Avon</v>
      </c>
      <c r="K310" t="s">
        <v>34</v>
      </c>
      <c r="L310">
        <f>_xlfn.XLOOKUP(AllDataCorrected[[#This Row],[Site Name]],Tables!$B$12:$B$78, Tables!C$12:C$78)</f>
        <v>52.23814999999999</v>
      </c>
      <c r="M310">
        <f>_xlfn.XLOOKUP(AllDataCorrected[[#This Row],[Site Name]],Tables!$B$12:$B$78, Tables!D$12:D$78)</f>
        <v>-1.6245800000000008</v>
      </c>
      <c r="N310" t="s">
        <v>29</v>
      </c>
      <c r="O310">
        <v>630</v>
      </c>
      <c r="P310">
        <v>6.7</v>
      </c>
      <c r="Q310">
        <v>10</v>
      </c>
      <c r="R310" t="str">
        <f>IF(AllDataCorrected[[#This Row],[Nitrate (PPM)]]&gt;2, "4. Very high (&gt;2ppm)", IF(AllDataCorrected[[#This Row],[Nitrate (PPM)]]&gt;1, "3. High (1-2ppm)", IF(AllDataCorrected[[#This Row],[Nitrate (PPM)]]&gt;0.5, "2. Some evidence (0.5-1ppm)", IF(AllDataCorrected[[#This Row],[Nitrate (PPM)]]&gt;=0, "1. No evidence (&lt;0.5ppm)"))))</f>
        <v>4. Very high (&gt;2ppm)</v>
      </c>
      <c r="S310">
        <v>0.4</v>
      </c>
      <c r="T3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0">
        <v>0</v>
      </c>
    </row>
    <row r="311" spans="1:22" x14ac:dyDescent="0.25">
      <c r="A311" t="s">
        <v>505</v>
      </c>
      <c r="B311" s="2">
        <v>45298</v>
      </c>
      <c r="C311" t="str" cm="1">
        <f t="array" ref="C3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1">
        <v>2023</v>
      </c>
      <c r="E311" s="1">
        <v>0.55208333333333337</v>
      </c>
      <c r="F3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1" t="str">
        <f>_xlfn.XLOOKUP(AllDataCorrected[[#This Row],[Location Name]], Locations[Location Name],Locations[Group As])</f>
        <v>Hampton Lucy</v>
      </c>
      <c r="H311" t="e" vm="2">
        <f>_xlfn.XLOOKUP(AllDataCorrected[[#This Row],[Site Name]],LocationsKey[Site Name],LocationsKey[District])</f>
        <v>#VALUE!</v>
      </c>
      <c r="I311" t="e" vm="4">
        <f>_xlfn.XLOOKUP(AllDataCorrected[[#This Row],[Site Name]],LocationsKey[Site Name],LocationsKey[Town])</f>
        <v>#VALUE!</v>
      </c>
      <c r="J311" t="str">
        <f>_xlfn.XLOOKUP(AllDataCorrected[[#This Row],[Site Name]],LocationsKey[Site Name], LocationsKey[Waterway])</f>
        <v>Avon</v>
      </c>
      <c r="K311" t="s">
        <v>37</v>
      </c>
      <c r="L311">
        <f>_xlfn.XLOOKUP(AllDataCorrected[[#This Row],[Site Name]],Tables!$B$12:$B$78, Tables!C$12:C$78)</f>
        <v>52.211679999999973</v>
      </c>
      <c r="M311">
        <f>_xlfn.XLOOKUP(AllDataCorrected[[#This Row],[Site Name]],Tables!$B$12:$B$78, Tables!D$12:D$78)</f>
        <v>-1.6244400000000001</v>
      </c>
      <c r="N311" t="s">
        <v>23</v>
      </c>
      <c r="O311">
        <v>618</v>
      </c>
      <c r="P311">
        <v>7.1</v>
      </c>
      <c r="Q311">
        <v>5</v>
      </c>
      <c r="R311" t="str">
        <f>IF(AllDataCorrected[[#This Row],[Nitrate (PPM)]]&gt;2, "4. Very high (&gt;2ppm)", IF(AllDataCorrected[[#This Row],[Nitrate (PPM)]]&gt;1, "3. High (1-2ppm)", IF(AllDataCorrected[[#This Row],[Nitrate (PPM)]]&gt;0.5, "2. Some evidence (0.5-1ppm)", IF(AllDataCorrected[[#This Row],[Nitrate (PPM)]]&gt;=0, "1. No evidence (&lt;0.5ppm)"))))</f>
        <v>4. Very high (&gt;2ppm)</v>
      </c>
      <c r="S311">
        <v>0.69</v>
      </c>
      <c r="T3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1">
        <v>0</v>
      </c>
    </row>
    <row r="312" spans="1:22" x14ac:dyDescent="0.25">
      <c r="A312" t="s">
        <v>506</v>
      </c>
      <c r="B312" s="2">
        <v>45298</v>
      </c>
      <c r="C312" t="str" cm="1">
        <f t="array" ref="C3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2">
        <v>2023</v>
      </c>
      <c r="E312" s="1">
        <v>0.58333333333333337</v>
      </c>
      <c r="F3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2" t="str">
        <f>_xlfn.XLOOKUP(AllDataCorrected[[#This Row],[Location Name]], Locations[Location Name],Locations[Group As])</f>
        <v>Carrant Bredon Rd</v>
      </c>
      <c r="H312" t="e" vm="1">
        <f>_xlfn.XLOOKUP(AllDataCorrected[[#This Row],[Site Name]],LocationsKey[Site Name],LocationsKey[District])</f>
        <v>#VALUE!</v>
      </c>
      <c r="I312" t="e" vm="1">
        <f>_xlfn.XLOOKUP(AllDataCorrected[[#This Row],[Site Name]],LocationsKey[Site Name],LocationsKey[Town])</f>
        <v>#VALUE!</v>
      </c>
      <c r="J312" t="str">
        <f>_xlfn.XLOOKUP(AllDataCorrected[[#This Row],[Site Name]],LocationsKey[Site Name], LocationsKey[Waterway])</f>
        <v>Carrant</v>
      </c>
      <c r="K312" t="s">
        <v>90</v>
      </c>
      <c r="L312">
        <f>_xlfn.XLOOKUP(AllDataCorrected[[#This Row],[Site Name]],Tables!$B$12:$B$78, Tables!C$12:C$78)</f>
        <v>51.996416567567572</v>
      </c>
      <c r="M312">
        <f>_xlfn.XLOOKUP(AllDataCorrected[[#This Row],[Site Name]],Tables!$B$12:$B$78, Tables!D$12:D$78)</f>
        <v>-2.1556626756756749</v>
      </c>
      <c r="N312" t="s">
        <v>23</v>
      </c>
      <c r="O312">
        <v>449</v>
      </c>
      <c r="P312">
        <v>7</v>
      </c>
      <c r="Q312">
        <v>4</v>
      </c>
      <c r="R312" t="str">
        <f>IF(AllDataCorrected[[#This Row],[Nitrate (PPM)]]&gt;2, "4. Very high (&gt;2ppm)", IF(AllDataCorrected[[#This Row],[Nitrate (PPM)]]&gt;1, "3. High (1-2ppm)", IF(AllDataCorrected[[#This Row],[Nitrate (PPM)]]&gt;0.5, "2. Some evidence (0.5-1ppm)", IF(AllDataCorrected[[#This Row],[Nitrate (PPM)]]&gt;=0, "1. No evidence (&lt;0.5ppm)"))))</f>
        <v>4. Very high (&gt;2ppm)</v>
      </c>
      <c r="S312">
        <v>0.5</v>
      </c>
      <c r="T3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2">
        <v>2.17</v>
      </c>
      <c r="V312" t="s">
        <v>507</v>
      </c>
    </row>
    <row r="313" spans="1:22" x14ac:dyDescent="0.25">
      <c r="A313" t="s">
        <v>508</v>
      </c>
      <c r="B313" s="2">
        <v>45299</v>
      </c>
      <c r="C313" t="str" cm="1">
        <f t="array" ref="C3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3">
        <v>2023</v>
      </c>
      <c r="E313" s="1">
        <v>0.4</v>
      </c>
      <c r="F3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3" t="str">
        <f>_xlfn.XLOOKUP(AllDataCorrected[[#This Row],[Location Name]], Locations[Location Name],Locations[Group As])</f>
        <v>Stour Stretton-on-Fosse Village</v>
      </c>
      <c r="H313" t="e" vm="2">
        <f>_xlfn.XLOOKUP(AllDataCorrected[[#This Row],[Site Name]],LocationsKey[Site Name],LocationsKey[District])</f>
        <v>#VALUE!</v>
      </c>
      <c r="I313" t="e" vm="14">
        <f>_xlfn.XLOOKUP(AllDataCorrected[[#This Row],[Site Name]],LocationsKey[Site Name],LocationsKey[Town])</f>
        <v>#VALUE!</v>
      </c>
      <c r="J313" t="str">
        <f>_xlfn.XLOOKUP(AllDataCorrected[[#This Row],[Site Name]],LocationsKey[Site Name], LocationsKey[Waterway])</f>
        <v>Stour</v>
      </c>
      <c r="K313" t="s">
        <v>383</v>
      </c>
      <c r="L313">
        <f>_xlfn.XLOOKUP(AllDataCorrected[[#This Row],[Site Name]],Tables!$B$12:$B$78, Tables!C$12:C$78)</f>
        <v>52.046517558823524</v>
      </c>
      <c r="M313">
        <f>_xlfn.XLOOKUP(AllDataCorrected[[#This Row],[Site Name]],Tables!$B$12:$B$78, Tables!D$12:D$78)</f>
        <v>-1.6734143529411767</v>
      </c>
      <c r="N313" t="s">
        <v>66</v>
      </c>
      <c r="O313">
        <v>573</v>
      </c>
      <c r="P313">
        <v>5.8</v>
      </c>
      <c r="Q313">
        <v>2</v>
      </c>
      <c r="R313" t="str">
        <f>IF(AllDataCorrected[[#This Row],[Nitrate (PPM)]]&gt;2, "4. Very high (&gt;2ppm)", IF(AllDataCorrected[[#This Row],[Nitrate (PPM)]]&gt;1, "3. High (1-2ppm)", IF(AllDataCorrected[[#This Row],[Nitrate (PPM)]]&gt;0.5, "2. Some evidence (0.5-1ppm)", IF(AllDataCorrected[[#This Row],[Nitrate (PPM)]]&gt;=0, "1. No evidence (&lt;0.5ppm)"))))</f>
        <v>3. High (1-2ppm)</v>
      </c>
      <c r="S313">
        <v>1.07</v>
      </c>
      <c r="T3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3">
        <v>0.2</v>
      </c>
    </row>
    <row r="314" spans="1:22" x14ac:dyDescent="0.25">
      <c r="A314" t="s">
        <v>509</v>
      </c>
      <c r="B314" s="2">
        <v>45299</v>
      </c>
      <c r="C314" t="str" cm="1">
        <f t="array" ref="C3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4">
        <v>2023</v>
      </c>
      <c r="E314" s="1">
        <v>0.40972222222222221</v>
      </c>
      <c r="F3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4" t="str">
        <f>_xlfn.XLOOKUP(AllDataCorrected[[#This Row],[Location Name]], Locations[Location Name],Locations[Group As])</f>
        <v>Stour Stretton-on-Fosse Sewage Works</v>
      </c>
      <c r="H314" t="e" vm="2">
        <f>_xlfn.XLOOKUP(AllDataCorrected[[#This Row],[Site Name]],LocationsKey[Site Name],LocationsKey[District])</f>
        <v>#VALUE!</v>
      </c>
      <c r="I314" t="e" vm="14">
        <f>_xlfn.XLOOKUP(AllDataCorrected[[#This Row],[Site Name]],LocationsKey[Site Name],LocationsKey[Town])</f>
        <v>#VALUE!</v>
      </c>
      <c r="J314" t="str">
        <f>_xlfn.XLOOKUP(AllDataCorrected[[#This Row],[Site Name]],LocationsKey[Site Name], LocationsKey[Waterway])</f>
        <v>Stour</v>
      </c>
      <c r="K314" t="s">
        <v>335</v>
      </c>
      <c r="L314">
        <f>_xlfn.XLOOKUP(AllDataCorrected[[#This Row],[Site Name]],Tables!$B$12:$B$78, Tables!C$12:C$78)</f>
        <v>52.045653647058806</v>
      </c>
      <c r="M314">
        <f>_xlfn.XLOOKUP(AllDataCorrected[[#This Row],[Site Name]],Tables!$B$12:$B$78, Tables!D$12:D$78)</f>
        <v>-1.6719221470588235</v>
      </c>
      <c r="N314" t="s">
        <v>29</v>
      </c>
      <c r="O314">
        <v>628</v>
      </c>
      <c r="P314">
        <v>5.3</v>
      </c>
      <c r="Q314">
        <v>2</v>
      </c>
      <c r="R314" t="str">
        <f>IF(AllDataCorrected[[#This Row],[Nitrate (PPM)]]&gt;2, "4. Very high (&gt;2ppm)", IF(AllDataCorrected[[#This Row],[Nitrate (PPM)]]&gt;1, "3. High (1-2ppm)", IF(AllDataCorrected[[#This Row],[Nitrate (PPM)]]&gt;0.5, "2. Some evidence (0.5-1ppm)", IF(AllDataCorrected[[#This Row],[Nitrate (PPM)]]&gt;=0, "1. No evidence (&lt;0.5ppm)"))))</f>
        <v>3. High (1-2ppm)</v>
      </c>
      <c r="S314">
        <v>1.91</v>
      </c>
      <c r="T3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4">
        <v>0.3</v>
      </c>
    </row>
    <row r="315" spans="1:22" x14ac:dyDescent="0.25">
      <c r="A315" t="s">
        <v>510</v>
      </c>
      <c r="B315" s="2">
        <v>45299</v>
      </c>
      <c r="C315" t="str" cm="1">
        <f t="array" ref="C3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5">
        <v>2023</v>
      </c>
      <c r="E315" s="1">
        <v>0.625</v>
      </c>
      <c r="F3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5" t="str">
        <f>_xlfn.XLOOKUP(AllDataCorrected[[#This Row],[Location Name]], Locations[Location Name],Locations[Group As])</f>
        <v>Swilgate</v>
      </c>
      <c r="H315" t="e" vm="1">
        <f>_xlfn.XLOOKUP(AllDataCorrected[[#This Row],[Site Name]],LocationsKey[Site Name],LocationsKey[District])</f>
        <v>#VALUE!</v>
      </c>
      <c r="I315" t="e" vm="1">
        <f>_xlfn.XLOOKUP(AllDataCorrected[[#This Row],[Site Name]],LocationsKey[Site Name],LocationsKey[Town])</f>
        <v>#VALUE!</v>
      </c>
      <c r="J315" t="str">
        <f>_xlfn.XLOOKUP(AllDataCorrected[[#This Row],[Site Name]],LocationsKey[Site Name], LocationsKey[Waterway])</f>
        <v>Swilgate</v>
      </c>
      <c r="K315" t="s">
        <v>84</v>
      </c>
      <c r="L315">
        <f>_xlfn.XLOOKUP(AllDataCorrected[[#This Row],[Site Name]],Tables!$B$12:$B$78, Tables!C$12:C$78)</f>
        <v>51.9885442</v>
      </c>
      <c r="M315">
        <f>_xlfn.XLOOKUP(AllDataCorrected[[#This Row],[Site Name]],Tables!$B$12:$B$78, Tables!D$12:D$78)</f>
        <v>-2.1639010000000001</v>
      </c>
      <c r="N315" t="s">
        <v>23</v>
      </c>
      <c r="O315">
        <v>703</v>
      </c>
      <c r="P315">
        <v>7</v>
      </c>
      <c r="Q315">
        <v>5</v>
      </c>
      <c r="R315" t="str">
        <f>IF(AllDataCorrected[[#This Row],[Nitrate (PPM)]]&gt;2, "4. Very high (&gt;2ppm)", IF(AllDataCorrected[[#This Row],[Nitrate (PPM)]]&gt;1, "3. High (1-2ppm)", IF(AllDataCorrected[[#This Row],[Nitrate (PPM)]]&gt;0.5, "2. Some evidence (0.5-1ppm)", IF(AllDataCorrected[[#This Row],[Nitrate (PPM)]]&gt;=0, "1. No evidence (&lt;0.5ppm)"))))</f>
        <v>4. Very high (&gt;2ppm)</v>
      </c>
      <c r="S315">
        <v>0.46</v>
      </c>
      <c r="T3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5">
        <v>2</v>
      </c>
      <c r="V315" t="s">
        <v>511</v>
      </c>
    </row>
    <row r="316" spans="1:22" x14ac:dyDescent="0.25">
      <c r="A316" t="s">
        <v>512</v>
      </c>
      <c r="B316" s="2">
        <v>45300</v>
      </c>
      <c r="C316" t="str" cm="1">
        <f t="array" ref="C3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6">
        <v>2023</v>
      </c>
      <c r="E316" s="1">
        <v>0.5</v>
      </c>
      <c r="F3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6" t="str">
        <f>_xlfn.XLOOKUP(AllDataCorrected[[#This Row],[Location Name]], Locations[Location Name],Locations[Group As])</f>
        <v>Barton</v>
      </c>
      <c r="H316" t="e" vm="2">
        <f>_xlfn.XLOOKUP(AllDataCorrected[[#This Row],[Site Name]],LocationsKey[Site Name],LocationsKey[District])</f>
        <v>#VALUE!</v>
      </c>
      <c r="I316" t="str">
        <f>_xlfn.XLOOKUP(AllDataCorrected[[#This Row],[Site Name]],LocationsKey[Site Name],LocationsKey[Town])</f>
        <v>Barton</v>
      </c>
      <c r="J316" t="str">
        <f>_xlfn.XLOOKUP(AllDataCorrected[[#This Row],[Site Name]],LocationsKey[Site Name], LocationsKey[Waterway])</f>
        <v>Avon</v>
      </c>
      <c r="K316" t="s">
        <v>49</v>
      </c>
      <c r="L316">
        <f>_xlfn.XLOOKUP(AllDataCorrected[[#This Row],[Site Name]],Tables!$B$12:$B$78, Tables!C$12:C$78)</f>
        <v>52.16120999999999</v>
      </c>
      <c r="M316">
        <f>_xlfn.XLOOKUP(AllDataCorrected[[#This Row],[Site Name]],Tables!$B$12:$B$78, Tables!D$12:D$78)</f>
        <v>-1.8301499999999999</v>
      </c>
      <c r="N316" t="s">
        <v>29</v>
      </c>
      <c r="O316">
        <v>728</v>
      </c>
      <c r="P316">
        <v>8.1</v>
      </c>
      <c r="Q316">
        <v>20</v>
      </c>
      <c r="R316" t="str">
        <f>IF(AllDataCorrected[[#This Row],[Nitrate (PPM)]]&gt;2, "4. Very high (&gt;2ppm)", IF(AllDataCorrected[[#This Row],[Nitrate (PPM)]]&gt;1, "3. High (1-2ppm)", IF(AllDataCorrected[[#This Row],[Nitrate (PPM)]]&gt;0.5, "2. Some evidence (0.5-1ppm)", IF(AllDataCorrected[[#This Row],[Nitrate (PPM)]]&gt;=0, "1. No evidence (&lt;0.5ppm)"))))</f>
        <v>4. Very high (&gt;2ppm)</v>
      </c>
      <c r="S316">
        <v>0.42</v>
      </c>
      <c r="T3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6">
        <v>0</v>
      </c>
    </row>
    <row r="317" spans="1:22" x14ac:dyDescent="0.25">
      <c r="A317" t="s">
        <v>513</v>
      </c>
      <c r="B317" s="2">
        <v>45300</v>
      </c>
      <c r="C317" t="str" cm="1">
        <f t="array" ref="C3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7">
        <v>2023</v>
      </c>
      <c r="E317" s="1">
        <v>0.68055555555555558</v>
      </c>
      <c r="F3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7" t="str">
        <f>_xlfn.XLOOKUP(AllDataCorrected[[#This Row],[Location Name]], Locations[Location Name],Locations[Group As])</f>
        <v>Abbey Mill</v>
      </c>
      <c r="H317" t="e" vm="1">
        <f>_xlfn.XLOOKUP(AllDataCorrected[[#This Row],[Site Name]],LocationsKey[Site Name],LocationsKey[District])</f>
        <v>#VALUE!</v>
      </c>
      <c r="I317" t="e" vm="1">
        <f>_xlfn.XLOOKUP(AllDataCorrected[[#This Row],[Site Name]],LocationsKey[Site Name],LocationsKey[Town])</f>
        <v>#VALUE!</v>
      </c>
      <c r="J317" t="str">
        <f>_xlfn.XLOOKUP(AllDataCorrected[[#This Row],[Site Name]],LocationsKey[Site Name], LocationsKey[Waterway])</f>
        <v>Avon</v>
      </c>
      <c r="K317" t="s">
        <v>22</v>
      </c>
      <c r="L317">
        <f>_xlfn.XLOOKUP(AllDataCorrected[[#This Row],[Site Name]],Tables!$B$12:$B$78, Tables!C$12:C$78)</f>
        <v>51.991389555555564</v>
      </c>
      <c r="M317">
        <f>_xlfn.XLOOKUP(AllDataCorrected[[#This Row],[Site Name]],Tables!$B$12:$B$78, Tables!D$12:D$78)</f>
        <v>-2.1620794000000005</v>
      </c>
      <c r="N317" t="s">
        <v>23</v>
      </c>
      <c r="O317">
        <v>623</v>
      </c>
      <c r="P317">
        <v>7.4</v>
      </c>
      <c r="Q317">
        <v>8</v>
      </c>
      <c r="R317" t="str">
        <f>IF(AllDataCorrected[[#This Row],[Nitrate (PPM)]]&gt;2, "4. Very high (&gt;2ppm)", IF(AllDataCorrected[[#This Row],[Nitrate (PPM)]]&gt;1, "3. High (1-2ppm)", IF(AllDataCorrected[[#This Row],[Nitrate (PPM)]]&gt;0.5, "2. Some evidence (0.5-1ppm)", IF(AllDataCorrected[[#This Row],[Nitrate (PPM)]]&gt;=0, "1. No evidence (&lt;0.5ppm)"))))</f>
        <v>4. Very high (&gt;2ppm)</v>
      </c>
      <c r="S317">
        <v>0.91</v>
      </c>
      <c r="T3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7">
        <v>2</v>
      </c>
      <c r="V317" t="s">
        <v>270</v>
      </c>
    </row>
    <row r="318" spans="1:22" x14ac:dyDescent="0.25">
      <c r="A318" t="s">
        <v>514</v>
      </c>
      <c r="B318" s="2">
        <v>45301</v>
      </c>
      <c r="C318" t="str" cm="1">
        <f t="array" ref="C3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8">
        <v>2023</v>
      </c>
      <c r="E318" s="1">
        <v>0.64583333333333337</v>
      </c>
      <c r="F3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8" t="str">
        <f>_xlfn.XLOOKUP(AllDataCorrected[[#This Row],[Location Name]], Locations[Location Name],Locations[Group As])</f>
        <v>Stour Newbold Mill</v>
      </c>
      <c r="H318" t="e" vm="2">
        <f>_xlfn.XLOOKUP(AllDataCorrected[[#This Row],[Site Name]],LocationsKey[Site Name],LocationsKey[District])</f>
        <v>#VALUE!</v>
      </c>
      <c r="I318" t="e" vm="8">
        <f>_xlfn.XLOOKUP(AllDataCorrected[[#This Row],[Site Name]],LocationsKey[Site Name],LocationsKey[Town])</f>
        <v>#VALUE!</v>
      </c>
      <c r="J318" t="str">
        <f>_xlfn.XLOOKUP(AllDataCorrected[[#This Row],[Site Name]],LocationsKey[Site Name], LocationsKey[Waterway])</f>
        <v>Stour</v>
      </c>
      <c r="K318" t="s">
        <v>140</v>
      </c>
      <c r="L318">
        <f>_xlfn.XLOOKUP(AllDataCorrected[[#This Row],[Site Name]],Tables!$B$12:$B$78, Tables!C$12:C$78)</f>
        <v>52.113052370370362</v>
      </c>
      <c r="M318">
        <f>_xlfn.XLOOKUP(AllDataCorrected[[#This Row],[Site Name]],Tables!$B$12:$B$78, Tables!D$12:D$78)</f>
        <v>-1.6333685185185185</v>
      </c>
      <c r="N318" t="s">
        <v>29</v>
      </c>
      <c r="O318">
        <v>640</v>
      </c>
      <c r="P318">
        <v>8.1999999999999993</v>
      </c>
      <c r="Q318">
        <v>5</v>
      </c>
      <c r="R318" t="str">
        <f>IF(AllDataCorrected[[#This Row],[Nitrate (PPM)]]&gt;2, "4. Very high (&gt;2ppm)", IF(AllDataCorrected[[#This Row],[Nitrate (PPM)]]&gt;1, "3. High (1-2ppm)", IF(AllDataCorrected[[#This Row],[Nitrate (PPM)]]&gt;0.5, "2. Some evidence (0.5-1ppm)", IF(AllDataCorrected[[#This Row],[Nitrate (PPM)]]&gt;=0, "1. No evidence (&lt;0.5ppm)"))))</f>
        <v>4. Very high (&gt;2ppm)</v>
      </c>
      <c r="S318">
        <v>0.22</v>
      </c>
      <c r="T3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8">
        <v>2.5</v>
      </c>
      <c r="V318" t="s">
        <v>515</v>
      </c>
    </row>
    <row r="319" spans="1:22" x14ac:dyDescent="0.25">
      <c r="A319" t="s">
        <v>516</v>
      </c>
      <c r="B319" s="2">
        <v>45302</v>
      </c>
      <c r="C319" t="str" cm="1">
        <f t="array" ref="C3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9">
        <v>2023</v>
      </c>
      <c r="E319" s="1">
        <v>0.43333333333333335</v>
      </c>
      <c r="F3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9" t="str">
        <f>_xlfn.XLOOKUP(AllDataCorrected[[#This Row],[Location Name]], Locations[Location Name],Locations[Group As])</f>
        <v>Stour Willington</v>
      </c>
      <c r="H319" t="e" vm="2">
        <f>_xlfn.XLOOKUP(AllDataCorrected[[#This Row],[Site Name]],LocationsKey[Site Name],LocationsKey[District])</f>
        <v>#VALUE!</v>
      </c>
      <c r="I319" t="str">
        <f>_xlfn.XLOOKUP(AllDataCorrected[[#This Row],[Site Name]],LocationsKey[Site Name],LocationsKey[Town])</f>
        <v>Willington</v>
      </c>
      <c r="J319" t="str">
        <f>_xlfn.XLOOKUP(AllDataCorrected[[#This Row],[Site Name]],LocationsKey[Site Name], LocationsKey[Waterway])</f>
        <v>Stour</v>
      </c>
      <c r="K319" t="s">
        <v>517</v>
      </c>
      <c r="L319">
        <f>_xlfn.XLOOKUP(AllDataCorrected[[#This Row],[Site Name]],Tables!$B$12:$B$78, Tables!C$12:C$78)</f>
        <v>52.053154375000005</v>
      </c>
      <c r="M319">
        <f>_xlfn.XLOOKUP(AllDataCorrected[[#This Row],[Site Name]],Tables!$B$12:$B$78, Tables!D$12:D$78)</f>
        <v>-1.6191991562500001</v>
      </c>
      <c r="N319" t="s">
        <v>23</v>
      </c>
      <c r="O319">
        <v>602</v>
      </c>
      <c r="P319">
        <v>6.9</v>
      </c>
      <c r="Q319">
        <v>2</v>
      </c>
      <c r="R319" t="str">
        <f>IF(AllDataCorrected[[#This Row],[Nitrate (PPM)]]&gt;2, "4. Very high (&gt;2ppm)", IF(AllDataCorrected[[#This Row],[Nitrate (PPM)]]&gt;1, "3. High (1-2ppm)", IF(AllDataCorrected[[#This Row],[Nitrate (PPM)]]&gt;0.5, "2. Some evidence (0.5-1ppm)", IF(AllDataCorrected[[#This Row],[Nitrate (PPM)]]&gt;=0, "1. No evidence (&lt;0.5ppm)"))))</f>
        <v>3. High (1-2ppm)</v>
      </c>
      <c r="S319">
        <v>0.18</v>
      </c>
      <c r="T3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9">
        <v>1</v>
      </c>
    </row>
    <row r="320" spans="1:22" x14ac:dyDescent="0.25">
      <c r="A320" t="s">
        <v>518</v>
      </c>
      <c r="B320" s="2">
        <v>45302</v>
      </c>
      <c r="C320" t="str" cm="1">
        <f t="array" ref="C3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0">
        <v>2023</v>
      </c>
      <c r="E320" s="1">
        <v>0.4375</v>
      </c>
      <c r="F3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0" t="str">
        <f>_xlfn.XLOOKUP(AllDataCorrected[[#This Row],[Location Name]], Locations[Location Name],Locations[Group As])</f>
        <v>Swilgate</v>
      </c>
      <c r="H320" t="e" vm="1">
        <f>_xlfn.XLOOKUP(AllDataCorrected[[#This Row],[Site Name]],LocationsKey[Site Name],LocationsKey[District])</f>
        <v>#VALUE!</v>
      </c>
      <c r="I320" t="e" vm="1">
        <f>_xlfn.XLOOKUP(AllDataCorrected[[#This Row],[Site Name]],LocationsKey[Site Name],LocationsKey[Town])</f>
        <v>#VALUE!</v>
      </c>
      <c r="J320" t="str">
        <f>_xlfn.XLOOKUP(AllDataCorrected[[#This Row],[Site Name]],LocationsKey[Site Name], LocationsKey[Waterway])</f>
        <v>Swilgate</v>
      </c>
      <c r="K320" t="s">
        <v>84</v>
      </c>
      <c r="L320">
        <f>_xlfn.XLOOKUP(AllDataCorrected[[#This Row],[Site Name]],Tables!$B$12:$B$78, Tables!C$12:C$78)</f>
        <v>51.9885442</v>
      </c>
      <c r="M320">
        <f>_xlfn.XLOOKUP(AllDataCorrected[[#This Row],[Site Name]],Tables!$B$12:$B$78, Tables!D$12:D$78)</f>
        <v>-2.1639010000000001</v>
      </c>
      <c r="N320" t="s">
        <v>23</v>
      </c>
      <c r="O320">
        <v>846</v>
      </c>
      <c r="P320">
        <v>5.0999999999999996</v>
      </c>
      <c r="Q320">
        <v>4</v>
      </c>
      <c r="R320" t="str">
        <f>IF(AllDataCorrected[[#This Row],[Nitrate (PPM)]]&gt;2, "4. Very high (&gt;2ppm)", IF(AllDataCorrected[[#This Row],[Nitrate (PPM)]]&gt;1, "3. High (1-2ppm)", IF(AllDataCorrected[[#This Row],[Nitrate (PPM)]]&gt;0.5, "2. Some evidence (0.5-1ppm)", IF(AllDataCorrected[[#This Row],[Nitrate (PPM)]]&gt;=0, "1. No evidence (&lt;0.5ppm)"))))</f>
        <v>4. Very high (&gt;2ppm)</v>
      </c>
      <c r="S320">
        <v>0.47</v>
      </c>
      <c r="T3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0">
        <v>1</v>
      </c>
    </row>
    <row r="321" spans="1:22" x14ac:dyDescent="0.25">
      <c r="A321" t="s">
        <v>519</v>
      </c>
      <c r="B321" s="2">
        <v>45302</v>
      </c>
      <c r="C321" t="str" cm="1">
        <f t="array" ref="C3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1">
        <v>2023</v>
      </c>
      <c r="E321" s="1">
        <v>0.64583333333333337</v>
      </c>
      <c r="F3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1" t="str">
        <f>_xlfn.XLOOKUP(AllDataCorrected[[#This Row],[Location Name]], Locations[Location Name],Locations[Group As])</f>
        <v>Alveston Weir</v>
      </c>
      <c r="H321" t="e" vm="2">
        <f>_xlfn.XLOOKUP(AllDataCorrected[[#This Row],[Site Name]],LocationsKey[Site Name],LocationsKey[District])</f>
        <v>#VALUE!</v>
      </c>
      <c r="I321" t="e" vm="13">
        <f>_xlfn.XLOOKUP(AllDataCorrected[[#This Row],[Site Name]],LocationsKey[Site Name],LocationsKey[Town])</f>
        <v>#VALUE!</v>
      </c>
      <c r="J321" t="str">
        <f>_xlfn.XLOOKUP(AllDataCorrected[[#This Row],[Site Name]],LocationsKey[Site Name], LocationsKey[Waterway])</f>
        <v>Avon</v>
      </c>
      <c r="K321" t="s">
        <v>286</v>
      </c>
      <c r="L321">
        <f>_xlfn.XLOOKUP(AllDataCorrected[[#This Row],[Site Name]],Tables!$B$12:$B$78, Tables!C$12:C$78)</f>
        <v>52.212366690476216</v>
      </c>
      <c r="M321">
        <f>_xlfn.XLOOKUP(AllDataCorrected[[#This Row],[Site Name]],Tables!$B$12:$B$78, Tables!D$12:D$78)</f>
        <v>-1.6602567619047619</v>
      </c>
      <c r="N321" t="s">
        <v>29</v>
      </c>
      <c r="O321">
        <v>719</v>
      </c>
      <c r="P321">
        <v>5.7</v>
      </c>
      <c r="Q321">
        <v>10</v>
      </c>
      <c r="R321" t="str">
        <f>IF(AllDataCorrected[[#This Row],[Nitrate (PPM)]]&gt;2, "4. Very high (&gt;2ppm)", IF(AllDataCorrected[[#This Row],[Nitrate (PPM)]]&gt;1, "3. High (1-2ppm)", IF(AllDataCorrected[[#This Row],[Nitrate (PPM)]]&gt;0.5, "2. Some evidence (0.5-1ppm)", IF(AllDataCorrected[[#This Row],[Nitrate (PPM)]]&gt;=0, "1. No evidence (&lt;0.5ppm)"))))</f>
        <v>4. Very high (&gt;2ppm)</v>
      </c>
      <c r="S321">
        <v>0.51</v>
      </c>
      <c r="T3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1">
        <v>1</v>
      </c>
      <c r="V321" t="s">
        <v>520</v>
      </c>
    </row>
    <row r="322" spans="1:22" x14ac:dyDescent="0.25">
      <c r="A322" t="s">
        <v>521</v>
      </c>
      <c r="B322" s="2">
        <v>45302</v>
      </c>
      <c r="C322" t="str" cm="1">
        <f t="array" ref="C3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2">
        <v>2023</v>
      </c>
      <c r="E322" s="1">
        <v>0.64583333333333337</v>
      </c>
      <c r="F3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2" t="str">
        <f>_xlfn.XLOOKUP(AllDataCorrected[[#This Row],[Location Name]], Locations[Location Name],Locations[Group As])</f>
        <v>Swiffen Bank</v>
      </c>
      <c r="H322" t="e" vm="2">
        <f>_xlfn.XLOOKUP(AllDataCorrected[[#This Row],[Site Name]],LocationsKey[Site Name],LocationsKey[District])</f>
        <v>#VALUE!</v>
      </c>
      <c r="I322" t="e" vm="13">
        <f>_xlfn.XLOOKUP(AllDataCorrected[[#This Row],[Site Name]],LocationsKey[Site Name],LocationsKey[Town])</f>
        <v>#VALUE!</v>
      </c>
      <c r="J322" t="str">
        <f>_xlfn.XLOOKUP(AllDataCorrected[[#This Row],[Site Name]],LocationsKey[Site Name], LocationsKey[Waterway])</f>
        <v>Avon</v>
      </c>
      <c r="K322" t="s">
        <v>284</v>
      </c>
      <c r="L322">
        <f>_xlfn.XLOOKUP(AllDataCorrected[[#This Row],[Site Name]],Tables!$B$12:$B$78, Tables!C$12:C$78)</f>
        <v>52.206446825000015</v>
      </c>
      <c r="M322">
        <f>_xlfn.XLOOKUP(AllDataCorrected[[#This Row],[Site Name]],Tables!$B$12:$B$78, Tables!D$12:D$78)</f>
        <v>-1.6541684000000003</v>
      </c>
      <c r="N322" t="s">
        <v>29</v>
      </c>
      <c r="O322">
        <v>701</v>
      </c>
      <c r="P322">
        <v>6.5</v>
      </c>
      <c r="Q322">
        <v>5</v>
      </c>
      <c r="R322" t="str">
        <f>IF(AllDataCorrected[[#This Row],[Nitrate (PPM)]]&gt;2, "4. Very high (&gt;2ppm)", IF(AllDataCorrected[[#This Row],[Nitrate (PPM)]]&gt;1, "3. High (1-2ppm)", IF(AllDataCorrected[[#This Row],[Nitrate (PPM)]]&gt;0.5, "2. Some evidence (0.5-1ppm)", IF(AllDataCorrected[[#This Row],[Nitrate (PPM)]]&gt;=0, "1. No evidence (&lt;0.5ppm)"))))</f>
        <v>4. Very high (&gt;2ppm)</v>
      </c>
      <c r="S322">
        <v>0.46</v>
      </c>
      <c r="T3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2">
        <v>0</v>
      </c>
      <c r="V322" t="s">
        <v>522</v>
      </c>
    </row>
    <row r="323" spans="1:22" x14ac:dyDescent="0.25">
      <c r="A323" t="s">
        <v>523</v>
      </c>
      <c r="B323" s="2">
        <v>45303</v>
      </c>
      <c r="C323" t="str" cm="1">
        <f t="array" ref="C3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3">
        <v>2023</v>
      </c>
      <c r="E323" s="1">
        <v>0.49722222222222223</v>
      </c>
      <c r="F3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3" t="str">
        <f>_xlfn.XLOOKUP(AllDataCorrected[[#This Row],[Location Name]], Locations[Location Name],Locations[Group As])</f>
        <v>Preston-on-Stour River Bridge</v>
      </c>
      <c r="H323" t="e" vm="2">
        <f>_xlfn.XLOOKUP(AllDataCorrected[[#This Row],[Site Name]],LocationsKey[Site Name],LocationsKey[District])</f>
        <v>#VALUE!</v>
      </c>
      <c r="I323" t="e" vm="9">
        <f>_xlfn.XLOOKUP(AllDataCorrected[[#This Row],[Site Name]],LocationsKey[Site Name],LocationsKey[Town])</f>
        <v>#VALUE!</v>
      </c>
      <c r="J323" t="str">
        <f>_xlfn.XLOOKUP(AllDataCorrected[[#This Row],[Site Name]],LocationsKey[Site Name], LocationsKey[Waterway])</f>
        <v>Stour</v>
      </c>
      <c r="K323" t="s">
        <v>163</v>
      </c>
      <c r="L323">
        <f>_xlfn.XLOOKUP(AllDataCorrected[[#This Row],[Site Name]],Tables!$B$12:$B$78, Tables!C$12:C$78)</f>
        <v>52.146529500000007</v>
      </c>
      <c r="M323">
        <f>_xlfn.XLOOKUP(AllDataCorrected[[#This Row],[Site Name]],Tables!$B$12:$B$78, Tables!D$12:D$78)</f>
        <v>-1.6996899999999999</v>
      </c>
      <c r="N323" t="s">
        <v>29</v>
      </c>
      <c r="O323">
        <v>651</v>
      </c>
      <c r="P323">
        <v>5.9</v>
      </c>
      <c r="Q323">
        <v>5</v>
      </c>
      <c r="R323" t="str">
        <f>IF(AllDataCorrected[[#This Row],[Nitrate (PPM)]]&gt;2, "4. Very high (&gt;2ppm)", IF(AllDataCorrected[[#This Row],[Nitrate (PPM)]]&gt;1, "3. High (1-2ppm)", IF(AllDataCorrected[[#This Row],[Nitrate (PPM)]]&gt;0.5, "2. Some evidence (0.5-1ppm)", IF(AllDataCorrected[[#This Row],[Nitrate (PPM)]]&gt;=0, "1. No evidence (&lt;0.5ppm)"))))</f>
        <v>4. Very high (&gt;2ppm)</v>
      </c>
      <c r="S323">
        <v>0.15</v>
      </c>
      <c r="T3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3">
        <v>1.5</v>
      </c>
      <c r="V323" t="s">
        <v>524</v>
      </c>
    </row>
    <row r="324" spans="1:22" x14ac:dyDescent="0.25">
      <c r="A324" t="s">
        <v>525</v>
      </c>
      <c r="B324" s="2">
        <v>45304</v>
      </c>
      <c r="C324" t="str" cm="1">
        <f t="array" ref="C3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4">
        <v>2023</v>
      </c>
      <c r="E324" s="1">
        <v>0.41736111111111113</v>
      </c>
      <c r="F3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4" t="str">
        <f>_xlfn.XLOOKUP(AllDataCorrected[[#This Row],[Location Name]], Locations[Location Name],Locations[Group As])</f>
        <v>The Ford, Langley</v>
      </c>
      <c r="H324" t="e" vm="2">
        <f>_xlfn.XLOOKUP(AllDataCorrected[[#This Row],[Site Name]],LocationsKey[Site Name],LocationsKey[District])</f>
        <v>#VALUE!</v>
      </c>
      <c r="I324" t="str">
        <f>_xlfn.XLOOKUP(AllDataCorrected[[#This Row],[Site Name]],LocationsKey[Site Name],LocationsKey[Town])</f>
        <v>Langley</v>
      </c>
      <c r="J324" t="str">
        <f>_xlfn.XLOOKUP(AllDataCorrected[[#This Row],[Site Name]],LocationsKey[Site Name], LocationsKey[Waterway])</f>
        <v>Langley Ford</v>
      </c>
      <c r="K324" t="s">
        <v>526</v>
      </c>
      <c r="L324">
        <f>_xlfn.XLOOKUP(AllDataCorrected[[#This Row],[Site Name]],Tables!$B$12:$B$78, Tables!C$12:C$78)</f>
        <v>52.261724821428579</v>
      </c>
      <c r="M324">
        <f>_xlfn.XLOOKUP(AllDataCorrected[[#This Row],[Site Name]],Tables!$B$12:$B$78, Tables!D$12:D$78)</f>
        <v>-1.719408857142857</v>
      </c>
      <c r="N324" t="s">
        <v>29</v>
      </c>
      <c r="O324">
        <v>687</v>
      </c>
      <c r="P324">
        <v>6</v>
      </c>
      <c r="Q324">
        <v>10</v>
      </c>
      <c r="R324" t="str">
        <f>IF(AllDataCorrected[[#This Row],[Nitrate (PPM)]]&gt;2, "4. Very high (&gt;2ppm)", IF(AllDataCorrected[[#This Row],[Nitrate (PPM)]]&gt;1, "3. High (1-2ppm)", IF(AllDataCorrected[[#This Row],[Nitrate (PPM)]]&gt;0.5, "2. Some evidence (0.5-1ppm)", IF(AllDataCorrected[[#This Row],[Nitrate (PPM)]]&gt;=0, "1. No evidence (&lt;0.5ppm)"))))</f>
        <v>4. Very high (&gt;2ppm)</v>
      </c>
      <c r="S324">
        <v>0.15</v>
      </c>
      <c r="T3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4">
        <v>0.3</v>
      </c>
      <c r="V324" t="s">
        <v>527</v>
      </c>
    </row>
    <row r="325" spans="1:22" x14ac:dyDescent="0.25">
      <c r="A325" t="s">
        <v>528</v>
      </c>
      <c r="B325" s="2">
        <v>45304</v>
      </c>
      <c r="C325" t="str" cm="1">
        <f t="array" ref="C3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5">
        <v>2023</v>
      </c>
      <c r="E325" s="1">
        <v>0.47916666666666669</v>
      </c>
      <c r="F3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5" t="str">
        <f>_xlfn.XLOOKUP(AllDataCorrected[[#This Row],[Location Name]], Locations[Location Name],Locations[Group As])</f>
        <v>Clifford Chambers Mill Bridge</v>
      </c>
      <c r="H325" t="e" vm="2">
        <f>_xlfn.XLOOKUP(AllDataCorrected[[#This Row],[Site Name]],LocationsKey[Site Name],LocationsKey[District])</f>
        <v>#VALUE!</v>
      </c>
      <c r="I325" t="e" vm="12">
        <f>_xlfn.XLOOKUP(AllDataCorrected[[#This Row],[Site Name]],LocationsKey[Site Name],LocationsKey[Town])</f>
        <v>#VALUE!</v>
      </c>
      <c r="J325" t="str">
        <f>_xlfn.XLOOKUP(AllDataCorrected[[#This Row],[Site Name]],LocationsKey[Site Name], LocationsKey[Waterway])</f>
        <v>Stour</v>
      </c>
      <c r="K325" t="s">
        <v>263</v>
      </c>
      <c r="L325">
        <f>_xlfn.XLOOKUP(AllDataCorrected[[#This Row],[Site Name]],Tables!$B$12:$B$78, Tables!C$12:C$78)</f>
        <v>52.166358517241363</v>
      </c>
      <c r="M325">
        <f>_xlfn.XLOOKUP(AllDataCorrected[[#This Row],[Site Name]],Tables!$B$12:$B$78, Tables!D$12:D$78)</f>
        <v>-1.7080419310344837</v>
      </c>
      <c r="N325" t="s">
        <v>66</v>
      </c>
      <c r="O325">
        <v>668</v>
      </c>
      <c r="P325">
        <v>13.2</v>
      </c>
      <c r="Q325">
        <v>4</v>
      </c>
      <c r="R325" t="str">
        <f>IF(AllDataCorrected[[#This Row],[Nitrate (PPM)]]&gt;2, "4. Very high (&gt;2ppm)", IF(AllDataCorrected[[#This Row],[Nitrate (PPM)]]&gt;1, "3. High (1-2ppm)", IF(AllDataCorrected[[#This Row],[Nitrate (PPM)]]&gt;0.5, "2. Some evidence (0.5-1ppm)", IF(AllDataCorrected[[#This Row],[Nitrate (PPM)]]&gt;=0, "1. No evidence (&lt;0.5ppm)"))))</f>
        <v>4. Very high (&gt;2ppm)</v>
      </c>
      <c r="S325">
        <v>0.27</v>
      </c>
      <c r="T3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5">
        <v>1.1000000000000001</v>
      </c>
      <c r="V325" t="s">
        <v>529</v>
      </c>
    </row>
    <row r="326" spans="1:22" x14ac:dyDescent="0.25">
      <c r="A326" t="s">
        <v>530</v>
      </c>
      <c r="B326" s="2">
        <v>45304</v>
      </c>
      <c r="C326" t="str" cm="1">
        <f t="array" ref="C3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6">
        <v>2023</v>
      </c>
      <c r="E326" s="1">
        <v>0.48958333333333331</v>
      </c>
      <c r="F3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6" t="str">
        <f>_xlfn.XLOOKUP(AllDataCorrected[[#This Row],[Location Name]], Locations[Location Name],Locations[Group As])</f>
        <v>Clifford Chambers Road Bridge</v>
      </c>
      <c r="H326" t="e" vm="2">
        <f>_xlfn.XLOOKUP(AllDataCorrected[[#This Row],[Site Name]],LocationsKey[Site Name],LocationsKey[District])</f>
        <v>#VALUE!</v>
      </c>
      <c r="I326" t="e" vm="12">
        <f>_xlfn.XLOOKUP(AllDataCorrected[[#This Row],[Site Name]],LocationsKey[Site Name],LocationsKey[Town])</f>
        <v>#VALUE!</v>
      </c>
      <c r="J326" t="str">
        <f>_xlfn.XLOOKUP(AllDataCorrected[[#This Row],[Site Name]],LocationsKey[Site Name], LocationsKey[Waterway])</f>
        <v>Stour</v>
      </c>
      <c r="K326" t="s">
        <v>427</v>
      </c>
      <c r="L326">
        <f>_xlfn.XLOOKUP(AllDataCorrected[[#This Row],[Site Name]],Tables!$B$12:$B$78, Tables!C$12:C$78)</f>
        <v>52.172840000000001</v>
      </c>
      <c r="M326">
        <f>_xlfn.XLOOKUP(AllDataCorrected[[#This Row],[Site Name]],Tables!$B$12:$B$78, Tables!D$12:D$78)</f>
        <v>-1.71377</v>
      </c>
      <c r="N326" t="s">
        <v>80</v>
      </c>
      <c r="O326">
        <v>666</v>
      </c>
      <c r="P326">
        <v>13.4</v>
      </c>
      <c r="Q326">
        <v>5</v>
      </c>
      <c r="R326" t="str">
        <f>IF(AllDataCorrected[[#This Row],[Nitrate (PPM)]]&gt;2, "4. Very high (&gt;2ppm)", IF(AllDataCorrected[[#This Row],[Nitrate (PPM)]]&gt;1, "3. High (1-2ppm)", IF(AllDataCorrected[[#This Row],[Nitrate (PPM)]]&gt;0.5, "2. Some evidence (0.5-1ppm)", IF(AllDataCorrected[[#This Row],[Nitrate (PPM)]]&gt;=0, "1. No evidence (&lt;0.5ppm)"))))</f>
        <v>4. Very high (&gt;2ppm)</v>
      </c>
      <c r="S326">
        <v>0.3</v>
      </c>
      <c r="T3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6">
        <v>1</v>
      </c>
    </row>
    <row r="327" spans="1:22" x14ac:dyDescent="0.25">
      <c r="A327" t="s">
        <v>531</v>
      </c>
      <c r="B327" s="2">
        <v>45304</v>
      </c>
      <c r="C327" t="str" cm="1">
        <f t="array" ref="C3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7">
        <v>2023</v>
      </c>
      <c r="E327" s="1">
        <v>0.52083333333333337</v>
      </c>
      <c r="F3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7" t="str">
        <f>_xlfn.XLOOKUP(AllDataCorrected[[#This Row],[Location Name]], Locations[Location Name],Locations[Group As])</f>
        <v>Carrant Bredon Rd</v>
      </c>
      <c r="H327" t="e" vm="1">
        <f>_xlfn.XLOOKUP(AllDataCorrected[[#This Row],[Site Name]],LocationsKey[Site Name],LocationsKey[District])</f>
        <v>#VALUE!</v>
      </c>
      <c r="I327" t="e" vm="1">
        <f>_xlfn.XLOOKUP(AllDataCorrected[[#This Row],[Site Name]],LocationsKey[Site Name],LocationsKey[Town])</f>
        <v>#VALUE!</v>
      </c>
      <c r="J327" t="str">
        <f>_xlfn.XLOOKUP(AllDataCorrected[[#This Row],[Site Name]],LocationsKey[Site Name], LocationsKey[Waterway])</f>
        <v>Carrant</v>
      </c>
      <c r="K327" t="s">
        <v>90</v>
      </c>
      <c r="L327">
        <f>_xlfn.XLOOKUP(AllDataCorrected[[#This Row],[Site Name]],Tables!$B$12:$B$78, Tables!C$12:C$78)</f>
        <v>51.996416567567572</v>
      </c>
      <c r="M327">
        <f>_xlfn.XLOOKUP(AllDataCorrected[[#This Row],[Site Name]],Tables!$B$12:$B$78, Tables!D$12:D$78)</f>
        <v>-2.1556626756756749</v>
      </c>
      <c r="N327" t="s">
        <v>23</v>
      </c>
      <c r="O327">
        <v>761</v>
      </c>
      <c r="P327">
        <v>7.1</v>
      </c>
      <c r="Q327">
        <v>6</v>
      </c>
      <c r="R327" t="str">
        <f>IF(AllDataCorrected[[#This Row],[Nitrate (PPM)]]&gt;2, "4. Very high (&gt;2ppm)", IF(AllDataCorrected[[#This Row],[Nitrate (PPM)]]&gt;1, "3. High (1-2ppm)", IF(AllDataCorrected[[#This Row],[Nitrate (PPM)]]&gt;0.5, "2. Some evidence (0.5-1ppm)", IF(AllDataCorrected[[#This Row],[Nitrate (PPM)]]&gt;=0, "1. No evidence (&lt;0.5ppm)"))))</f>
        <v>4. Very high (&gt;2ppm)</v>
      </c>
      <c r="S327">
        <v>0.37</v>
      </c>
      <c r="T3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7">
        <v>0.3</v>
      </c>
      <c r="V327" t="s">
        <v>532</v>
      </c>
    </row>
    <row r="328" spans="1:22" x14ac:dyDescent="0.25">
      <c r="A328" t="s">
        <v>533</v>
      </c>
      <c r="B328" s="2">
        <v>45304</v>
      </c>
      <c r="C328" t="str" cm="1">
        <f t="array" ref="C3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8">
        <v>2023</v>
      </c>
      <c r="E328" s="1">
        <v>0.625</v>
      </c>
      <c r="F3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8" t="str">
        <f>_xlfn.XLOOKUP(AllDataCorrected[[#This Row],[Location Name]], Locations[Location Name],Locations[Group As])</f>
        <v>Bell Brook 1</v>
      </c>
      <c r="H328" t="e" vm="2">
        <f>_xlfn.XLOOKUP(AllDataCorrected[[#This Row],[Site Name]],LocationsKey[Site Name],LocationsKey[District])</f>
        <v>#VALUE!</v>
      </c>
      <c r="I328" t="e" vm="15">
        <f>_xlfn.XLOOKUP(AllDataCorrected[[#This Row],[Site Name]],LocationsKey[Site Name],LocationsKey[Town])</f>
        <v>#VALUE!</v>
      </c>
      <c r="J328" t="str">
        <f>_xlfn.XLOOKUP(AllDataCorrected[[#This Row],[Site Name]],LocationsKey[Site Name], LocationsKey[Waterway])</f>
        <v>Bell Brook</v>
      </c>
      <c r="K328" t="s">
        <v>534</v>
      </c>
      <c r="L328">
        <f>_xlfn.XLOOKUP(AllDataCorrected[[#This Row],[Site Name]],Tables!$B$12:$B$78, Tables!C$12:C$78)</f>
        <v>52.24489999999998</v>
      </c>
      <c r="M328">
        <f>_xlfn.XLOOKUP(AllDataCorrected[[#This Row],[Site Name]],Tables!$B$12:$B$78, Tables!D$12:D$78)</f>
        <v>-1.6617000000000013</v>
      </c>
      <c r="N328" t="s">
        <v>23</v>
      </c>
      <c r="O328">
        <v>722</v>
      </c>
      <c r="P328">
        <v>6.2</v>
      </c>
      <c r="Q328">
        <v>3</v>
      </c>
      <c r="R328" t="str">
        <f>IF(AllDataCorrected[[#This Row],[Nitrate (PPM)]]&gt;2, "4. Very high (&gt;2ppm)", IF(AllDataCorrected[[#This Row],[Nitrate (PPM)]]&gt;1, "3. High (1-2ppm)", IF(AllDataCorrected[[#This Row],[Nitrate (PPM)]]&gt;0.5, "2. Some evidence (0.5-1ppm)", IF(AllDataCorrected[[#This Row],[Nitrate (PPM)]]&gt;=0, "1. No evidence (&lt;0.5ppm)"))))</f>
        <v>4. Very high (&gt;2ppm)</v>
      </c>
      <c r="S328">
        <v>1.33</v>
      </c>
      <c r="T3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8">
        <v>0.5</v>
      </c>
      <c r="V328" t="s">
        <v>535</v>
      </c>
    </row>
    <row r="329" spans="1:22" x14ac:dyDescent="0.25">
      <c r="A329" t="s">
        <v>536</v>
      </c>
      <c r="B329" s="2">
        <v>45304</v>
      </c>
      <c r="C329" t="str" cm="1">
        <f t="array" ref="C3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9">
        <v>2023</v>
      </c>
      <c r="E329" s="1">
        <v>0.625</v>
      </c>
      <c r="F3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9" t="str">
        <f>_xlfn.XLOOKUP(AllDataCorrected[[#This Row],[Location Name]], Locations[Location Name],Locations[Group As])</f>
        <v>Sherbourne Brook 1</v>
      </c>
      <c r="H329" t="e" vm="2">
        <f>_xlfn.XLOOKUP(AllDataCorrected[[#This Row],[Site Name]],LocationsKey[Site Name],LocationsKey[District])</f>
        <v>#VALUE!</v>
      </c>
      <c r="I329" t="e" vm="16">
        <f>_xlfn.XLOOKUP(AllDataCorrected[[#This Row],[Site Name]],LocationsKey[Site Name],LocationsKey[Town])</f>
        <v>#VALUE!</v>
      </c>
      <c r="J329" t="str">
        <f>_xlfn.XLOOKUP(AllDataCorrected[[#This Row],[Site Name]],LocationsKey[Site Name], LocationsKey[Waterway])</f>
        <v>Sherbourne Brook</v>
      </c>
      <c r="K329" t="s">
        <v>570</v>
      </c>
      <c r="L329">
        <f>_xlfn.XLOOKUP(AllDataCorrected[[#This Row],[Site Name]],Tables!$B$12:$B$78, Tables!C$12:C$78)</f>
        <v>52.252500000000033</v>
      </c>
      <c r="M329">
        <f>_xlfn.XLOOKUP(AllDataCorrected[[#This Row],[Site Name]],Tables!$B$12:$B$78, Tables!D$12:D$78)</f>
        <v>-1.6685000000000012</v>
      </c>
      <c r="N329" t="s">
        <v>66</v>
      </c>
      <c r="O329">
        <v>102</v>
      </c>
      <c r="P329">
        <v>7.4</v>
      </c>
      <c r="Q329">
        <v>10</v>
      </c>
      <c r="R329" t="str">
        <f>IF(AllDataCorrected[[#This Row],[Nitrate (PPM)]]&gt;2, "4. Very high (&gt;2ppm)", IF(AllDataCorrected[[#This Row],[Nitrate (PPM)]]&gt;1, "3. High (1-2ppm)", IF(AllDataCorrected[[#This Row],[Nitrate (PPM)]]&gt;0.5, "2. Some evidence (0.5-1ppm)", IF(AllDataCorrected[[#This Row],[Nitrate (PPM)]]&gt;=0, "1. No evidence (&lt;0.5ppm)"))))</f>
        <v>4. Very high (&gt;2ppm)</v>
      </c>
      <c r="S329">
        <v>0.51</v>
      </c>
      <c r="T3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9">
        <v>0.5</v>
      </c>
      <c r="V329" t="s">
        <v>538</v>
      </c>
    </row>
    <row r="330" spans="1:22" x14ac:dyDescent="0.25">
      <c r="A330" t="s">
        <v>539</v>
      </c>
      <c r="B330" s="2">
        <v>45304</v>
      </c>
      <c r="C330" t="str" cm="1">
        <f t="array" ref="C3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0">
        <v>2023</v>
      </c>
      <c r="E330" s="1">
        <v>0.65347222222222223</v>
      </c>
      <c r="F3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0" t="str">
        <f>_xlfn.XLOOKUP(AllDataCorrected[[#This Row],[Location Name]], Locations[Location Name],Locations[Group As])</f>
        <v>Abbey Mill</v>
      </c>
      <c r="H330" t="e" vm="1">
        <f>_xlfn.XLOOKUP(AllDataCorrected[[#This Row],[Site Name]],LocationsKey[Site Name],LocationsKey[District])</f>
        <v>#VALUE!</v>
      </c>
      <c r="I330" t="e" vm="1">
        <f>_xlfn.XLOOKUP(AllDataCorrected[[#This Row],[Site Name]],LocationsKey[Site Name],LocationsKey[Town])</f>
        <v>#VALUE!</v>
      </c>
      <c r="J330" t="str">
        <f>_xlfn.XLOOKUP(AllDataCorrected[[#This Row],[Site Name]],LocationsKey[Site Name], LocationsKey[Waterway])</f>
        <v>Avon</v>
      </c>
      <c r="K330" t="s">
        <v>22</v>
      </c>
      <c r="L330">
        <f>_xlfn.XLOOKUP(AllDataCorrected[[#This Row],[Site Name]],Tables!$B$12:$B$78, Tables!C$12:C$78)</f>
        <v>51.991389555555564</v>
      </c>
      <c r="M330">
        <f>_xlfn.XLOOKUP(AllDataCorrected[[#This Row],[Site Name]],Tables!$B$12:$B$78, Tables!D$12:D$78)</f>
        <v>-2.1620794000000005</v>
      </c>
      <c r="N330" t="s">
        <v>23</v>
      </c>
      <c r="O330">
        <v>709</v>
      </c>
      <c r="P330">
        <v>6</v>
      </c>
      <c r="Q330">
        <v>4</v>
      </c>
      <c r="R330" t="str">
        <f>IF(AllDataCorrected[[#This Row],[Nitrate (PPM)]]&gt;2, "4. Very high (&gt;2ppm)", IF(AllDataCorrected[[#This Row],[Nitrate (PPM)]]&gt;1, "3. High (1-2ppm)", IF(AllDataCorrected[[#This Row],[Nitrate (PPM)]]&gt;0.5, "2. Some evidence (0.5-1ppm)", IF(AllDataCorrected[[#This Row],[Nitrate (PPM)]]&gt;=0, "1. No evidence (&lt;0.5ppm)"))))</f>
        <v>4. Very high (&gt;2ppm)</v>
      </c>
      <c r="S330">
        <v>0.56999999999999995</v>
      </c>
      <c r="T3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0">
        <v>0.5</v>
      </c>
    </row>
    <row r="331" spans="1:22" x14ac:dyDescent="0.25">
      <c r="A331" t="s">
        <v>540</v>
      </c>
      <c r="B331" s="2">
        <v>45305</v>
      </c>
      <c r="C331" t="str" cm="1">
        <f t="array" ref="C3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1">
        <v>2023</v>
      </c>
      <c r="E331" s="1">
        <v>0.42222222222222222</v>
      </c>
      <c r="F3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1" t="str">
        <f>_xlfn.XLOOKUP(AllDataCorrected[[#This Row],[Location Name]], Locations[Location Name],Locations[Group As])</f>
        <v>Fell Mill Footbridge</v>
      </c>
      <c r="H331" t="e" vm="2">
        <f>_xlfn.XLOOKUP(AllDataCorrected[[#This Row],[Site Name]],LocationsKey[Site Name],LocationsKey[District])</f>
        <v>#VALUE!</v>
      </c>
      <c r="I331" t="e" vm="10">
        <f>_xlfn.XLOOKUP(AllDataCorrected[[#This Row],[Site Name]],LocationsKey[Site Name],LocationsKey[Town])</f>
        <v>#VALUE!</v>
      </c>
      <c r="J331" t="str">
        <f>_xlfn.XLOOKUP(AllDataCorrected[[#This Row],[Site Name]],LocationsKey[Site Name], LocationsKey[Waterway])</f>
        <v>Stour</v>
      </c>
      <c r="K331" t="s">
        <v>496</v>
      </c>
      <c r="L331">
        <f>_xlfn.XLOOKUP(AllDataCorrected[[#This Row],[Site Name]],Tables!$B$12:$B$78, Tables!C$12:C$78)</f>
        <v>52.067966827586183</v>
      </c>
      <c r="M331">
        <f>_xlfn.XLOOKUP(AllDataCorrected[[#This Row],[Site Name]],Tables!$B$12:$B$78, Tables!D$12:D$78)</f>
        <v>-1.6118101379310343</v>
      </c>
      <c r="N331" t="s">
        <v>29</v>
      </c>
      <c r="O331">
        <v>504</v>
      </c>
      <c r="P331">
        <v>6.9</v>
      </c>
      <c r="Q331">
        <v>10</v>
      </c>
      <c r="R331" t="str">
        <f>IF(AllDataCorrected[[#This Row],[Nitrate (PPM)]]&gt;2, "4. Very high (&gt;2ppm)", IF(AllDataCorrected[[#This Row],[Nitrate (PPM)]]&gt;1, "3. High (1-2ppm)", IF(AllDataCorrected[[#This Row],[Nitrate (PPM)]]&gt;0.5, "2. Some evidence (0.5-1ppm)", IF(AllDataCorrected[[#This Row],[Nitrate (PPM)]]&gt;=0, "1. No evidence (&lt;0.5ppm)"))))</f>
        <v>4. Very high (&gt;2ppm)</v>
      </c>
      <c r="S331">
        <v>0.24</v>
      </c>
      <c r="T3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1">
        <v>1</v>
      </c>
    </row>
    <row r="332" spans="1:22" x14ac:dyDescent="0.25">
      <c r="A332" t="s">
        <v>542</v>
      </c>
      <c r="B332" s="2">
        <v>45305</v>
      </c>
      <c r="C332" t="str" cm="1">
        <f t="array" ref="C3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2">
        <v>2023</v>
      </c>
      <c r="E332" s="1">
        <v>0.42708333333333331</v>
      </c>
      <c r="F3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2" t="str">
        <f>_xlfn.XLOOKUP(AllDataCorrected[[#This Row],[Location Name]], Locations[Location Name],Locations[Group As])</f>
        <v>Lucy's Mill Bridge</v>
      </c>
      <c r="H332" t="e" vm="2">
        <f>_xlfn.XLOOKUP(AllDataCorrected[[#This Row],[Site Name]],LocationsKey[Site Name],LocationsKey[District])</f>
        <v>#VALUE!</v>
      </c>
      <c r="I332" t="e" vm="7">
        <f>_xlfn.XLOOKUP(AllDataCorrected[[#This Row],[Site Name]],LocationsKey[Site Name],LocationsKey[Town])</f>
        <v>#VALUE!</v>
      </c>
      <c r="J332" t="str">
        <f>_xlfn.XLOOKUP(AllDataCorrected[[#This Row],[Site Name]],LocationsKey[Site Name], LocationsKey[Waterway])</f>
        <v>Avon</v>
      </c>
      <c r="K332" t="s">
        <v>216</v>
      </c>
      <c r="L332">
        <f>_xlfn.XLOOKUP(AllDataCorrected[[#This Row],[Site Name]],Tables!$B$12:$B$78, Tables!C$12:C$78)</f>
        <v>52.183699000000011</v>
      </c>
      <c r="M332">
        <f>_xlfn.XLOOKUP(AllDataCorrected[[#This Row],[Site Name]],Tables!$B$12:$B$78, Tables!D$12:D$78)</f>
        <v>-1.7078160000000004</v>
      </c>
      <c r="N332" t="s">
        <v>29</v>
      </c>
      <c r="P332">
        <v>8</v>
      </c>
      <c r="Q332">
        <v>20</v>
      </c>
      <c r="R332" t="str">
        <f>IF(AllDataCorrected[[#This Row],[Nitrate (PPM)]]&gt;2, "4. Very high (&gt;2ppm)", IF(AllDataCorrected[[#This Row],[Nitrate (PPM)]]&gt;1, "3. High (1-2ppm)", IF(AllDataCorrected[[#This Row],[Nitrate (PPM)]]&gt;0.5, "2. Some evidence (0.5-1ppm)", IF(AllDataCorrected[[#This Row],[Nitrate (PPM)]]&gt;=0, "1. No evidence (&lt;0.5ppm)"))))</f>
        <v>4. Very high (&gt;2ppm)</v>
      </c>
      <c r="S332">
        <v>0.19</v>
      </c>
      <c r="T3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2">
        <v>0.8</v>
      </c>
    </row>
    <row r="333" spans="1:22" x14ac:dyDescent="0.25">
      <c r="A333" t="s">
        <v>541</v>
      </c>
      <c r="B333" s="2">
        <v>45305</v>
      </c>
      <c r="C333" t="str" cm="1">
        <f t="array" ref="C3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3">
        <v>2023</v>
      </c>
      <c r="E333" s="1">
        <v>0.63541666666666663</v>
      </c>
      <c r="F3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3" t="str">
        <f>_xlfn.XLOOKUP(AllDataCorrected[[#This Row],[Location Name]], Locations[Location Name],Locations[Group As])</f>
        <v>Hampton Lucy</v>
      </c>
      <c r="H333" t="e" vm="2">
        <f>_xlfn.XLOOKUP(AllDataCorrected[[#This Row],[Site Name]],LocationsKey[Site Name],LocationsKey[District])</f>
        <v>#VALUE!</v>
      </c>
      <c r="I333" t="e" vm="4">
        <f>_xlfn.XLOOKUP(AllDataCorrected[[#This Row],[Site Name]],LocationsKey[Site Name],LocationsKey[Town])</f>
        <v>#VALUE!</v>
      </c>
      <c r="J333" t="str">
        <f>_xlfn.XLOOKUP(AllDataCorrected[[#This Row],[Site Name]],LocationsKey[Site Name], LocationsKey[Waterway])</f>
        <v>Avon</v>
      </c>
      <c r="K333" t="s">
        <v>37</v>
      </c>
      <c r="L333">
        <f>_xlfn.XLOOKUP(AllDataCorrected[[#This Row],[Site Name]],Tables!$B$12:$B$78, Tables!C$12:C$78)</f>
        <v>52.211679999999973</v>
      </c>
      <c r="M333">
        <f>_xlfn.XLOOKUP(AllDataCorrected[[#This Row],[Site Name]],Tables!$B$12:$B$78, Tables!D$12:D$78)</f>
        <v>-1.6244400000000001</v>
      </c>
      <c r="N333" t="s">
        <v>23</v>
      </c>
      <c r="O333">
        <v>802</v>
      </c>
      <c r="P333">
        <v>8.1</v>
      </c>
      <c r="Q333">
        <v>7</v>
      </c>
      <c r="R333" t="str">
        <f>IF(AllDataCorrected[[#This Row],[Nitrate (PPM)]]&gt;2, "4. Very high (&gt;2ppm)", IF(AllDataCorrected[[#This Row],[Nitrate (PPM)]]&gt;1, "3. High (1-2ppm)", IF(AllDataCorrected[[#This Row],[Nitrate (PPM)]]&gt;0.5, "2. Some evidence (0.5-1ppm)", IF(AllDataCorrected[[#This Row],[Nitrate (PPM)]]&gt;=0, "1. No evidence (&lt;0.5ppm)"))))</f>
        <v>4. Very high (&gt;2ppm)</v>
      </c>
      <c r="S333">
        <v>0.4</v>
      </c>
      <c r="T3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3">
        <v>0</v>
      </c>
    </row>
    <row r="334" spans="1:22" x14ac:dyDescent="0.25">
      <c r="A334" t="s">
        <v>543</v>
      </c>
      <c r="B334" s="2">
        <v>45306</v>
      </c>
      <c r="C334" t="str" cm="1">
        <f t="array" ref="C3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4">
        <v>2023</v>
      </c>
      <c r="E334" s="1">
        <v>0.41111111111111109</v>
      </c>
      <c r="F3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4" t="str">
        <f>_xlfn.XLOOKUP(AllDataCorrected[[#This Row],[Location Name]], Locations[Location Name],Locations[Group As])</f>
        <v>Stour Stretton-on-Fosse Village</v>
      </c>
      <c r="H334" t="e" vm="2">
        <f>_xlfn.XLOOKUP(AllDataCorrected[[#This Row],[Site Name]],LocationsKey[Site Name],LocationsKey[District])</f>
        <v>#VALUE!</v>
      </c>
      <c r="I334" t="e" vm="14">
        <f>_xlfn.XLOOKUP(AllDataCorrected[[#This Row],[Site Name]],LocationsKey[Site Name],LocationsKey[Town])</f>
        <v>#VALUE!</v>
      </c>
      <c r="J334" t="str">
        <f>_xlfn.XLOOKUP(AllDataCorrected[[#This Row],[Site Name]],LocationsKey[Site Name], LocationsKey[Waterway])</f>
        <v>Stour</v>
      </c>
      <c r="K334" t="s">
        <v>544</v>
      </c>
      <c r="L334">
        <f>_xlfn.XLOOKUP(AllDataCorrected[[#This Row],[Site Name]],Tables!$B$12:$B$78, Tables!C$12:C$78)</f>
        <v>52.046517558823524</v>
      </c>
      <c r="M334">
        <f>_xlfn.XLOOKUP(AllDataCorrected[[#This Row],[Site Name]],Tables!$B$12:$B$78, Tables!D$12:D$78)</f>
        <v>-1.6734143529411767</v>
      </c>
      <c r="N334" t="s">
        <v>66</v>
      </c>
      <c r="O334">
        <v>722</v>
      </c>
      <c r="P334">
        <v>4.3</v>
      </c>
      <c r="Q334">
        <v>2</v>
      </c>
      <c r="R334" t="str">
        <f>IF(AllDataCorrected[[#This Row],[Nitrate (PPM)]]&gt;2, "4. Very high (&gt;2ppm)", IF(AllDataCorrected[[#This Row],[Nitrate (PPM)]]&gt;1, "3. High (1-2ppm)", IF(AllDataCorrected[[#This Row],[Nitrate (PPM)]]&gt;0.5, "2. Some evidence (0.5-1ppm)", IF(AllDataCorrected[[#This Row],[Nitrate (PPM)]]&gt;=0, "1. No evidence (&lt;0.5ppm)"))))</f>
        <v>3. High (1-2ppm)</v>
      </c>
      <c r="S334">
        <v>1.47</v>
      </c>
      <c r="T3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4">
        <v>0.2</v>
      </c>
    </row>
    <row r="335" spans="1:22" x14ac:dyDescent="0.25">
      <c r="A335" t="s">
        <v>545</v>
      </c>
      <c r="B335" s="2">
        <v>45306</v>
      </c>
      <c r="C335" t="str" cm="1">
        <f t="array" ref="C3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5">
        <v>2023</v>
      </c>
      <c r="E335" s="1">
        <v>0.41736111111111113</v>
      </c>
      <c r="F3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5" t="str">
        <f>_xlfn.XLOOKUP(AllDataCorrected[[#This Row],[Location Name]], Locations[Location Name],Locations[Group As])</f>
        <v>Stour Stretton-on-Fosse Sewage Works</v>
      </c>
      <c r="H335" t="e" vm="2">
        <f>_xlfn.XLOOKUP(AllDataCorrected[[#This Row],[Site Name]],LocationsKey[Site Name],LocationsKey[District])</f>
        <v>#VALUE!</v>
      </c>
      <c r="I335" t="e" vm="14">
        <f>_xlfn.XLOOKUP(AllDataCorrected[[#This Row],[Site Name]],LocationsKey[Site Name],LocationsKey[Town])</f>
        <v>#VALUE!</v>
      </c>
      <c r="J335" t="str">
        <f>_xlfn.XLOOKUP(AllDataCorrected[[#This Row],[Site Name]],LocationsKey[Site Name], LocationsKey[Waterway])</f>
        <v>Stour</v>
      </c>
      <c r="K335" t="s">
        <v>335</v>
      </c>
      <c r="L335">
        <f>_xlfn.XLOOKUP(AllDataCorrected[[#This Row],[Site Name]],Tables!$B$12:$B$78, Tables!C$12:C$78)</f>
        <v>52.045653647058806</v>
      </c>
      <c r="M335">
        <f>_xlfn.XLOOKUP(AllDataCorrected[[#This Row],[Site Name]],Tables!$B$12:$B$78, Tables!D$12:D$78)</f>
        <v>-1.6719221470588235</v>
      </c>
      <c r="N335" t="s">
        <v>29</v>
      </c>
      <c r="O335">
        <v>760</v>
      </c>
      <c r="P335">
        <v>3.5</v>
      </c>
      <c r="Q335">
        <v>3</v>
      </c>
      <c r="R335" t="str">
        <f>IF(AllDataCorrected[[#This Row],[Nitrate (PPM)]]&gt;2, "4. Very high (&gt;2ppm)", IF(AllDataCorrected[[#This Row],[Nitrate (PPM)]]&gt;1, "3. High (1-2ppm)", IF(AllDataCorrected[[#This Row],[Nitrate (PPM)]]&gt;0.5, "2. Some evidence (0.5-1ppm)", IF(AllDataCorrected[[#This Row],[Nitrate (PPM)]]&gt;=0, "1. No evidence (&lt;0.5ppm)"))))</f>
        <v>4. Very high (&gt;2ppm)</v>
      </c>
      <c r="S335">
        <v>2.5</v>
      </c>
      <c r="T3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5">
        <v>0.25</v>
      </c>
      <c r="V335" t="s">
        <v>546</v>
      </c>
    </row>
    <row r="336" spans="1:22" x14ac:dyDescent="0.25">
      <c r="A336" t="s">
        <v>547</v>
      </c>
      <c r="B336" s="2">
        <v>45307</v>
      </c>
      <c r="C336" t="str" cm="1">
        <f t="array" ref="C3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6">
        <v>2023</v>
      </c>
      <c r="E336" s="1">
        <v>0.3923611111111111</v>
      </c>
      <c r="F3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6" t="str">
        <f>_xlfn.XLOOKUP(AllDataCorrected[[#This Row],[Location Name]], Locations[Location Name],Locations[Group As])</f>
        <v>Swiffen Bank</v>
      </c>
      <c r="H336" t="e" vm="2">
        <f>_xlfn.XLOOKUP(AllDataCorrected[[#This Row],[Site Name]],LocationsKey[Site Name],LocationsKey[District])</f>
        <v>#VALUE!</v>
      </c>
      <c r="I336" t="e" vm="13">
        <f>_xlfn.XLOOKUP(AllDataCorrected[[#This Row],[Site Name]],LocationsKey[Site Name],LocationsKey[Town])</f>
        <v>#VALUE!</v>
      </c>
      <c r="J336" t="str">
        <f>_xlfn.XLOOKUP(AllDataCorrected[[#This Row],[Site Name]],LocationsKey[Site Name], LocationsKey[Waterway])</f>
        <v>Avon</v>
      </c>
      <c r="K336" t="s">
        <v>284</v>
      </c>
      <c r="L336">
        <f>_xlfn.XLOOKUP(AllDataCorrected[[#This Row],[Site Name]],Tables!$B$12:$B$78, Tables!C$12:C$78)</f>
        <v>52.206446825000015</v>
      </c>
      <c r="M336">
        <f>_xlfn.XLOOKUP(AllDataCorrected[[#This Row],[Site Name]],Tables!$B$12:$B$78, Tables!D$12:D$78)</f>
        <v>-1.6541684000000003</v>
      </c>
      <c r="N336" t="s">
        <v>29</v>
      </c>
      <c r="O336">
        <v>811</v>
      </c>
      <c r="P336">
        <v>6.8</v>
      </c>
      <c r="Q336">
        <v>5</v>
      </c>
      <c r="R336" t="str">
        <f>IF(AllDataCorrected[[#This Row],[Nitrate (PPM)]]&gt;2, "4. Very high (&gt;2ppm)", IF(AllDataCorrected[[#This Row],[Nitrate (PPM)]]&gt;1, "3. High (1-2ppm)", IF(AllDataCorrected[[#This Row],[Nitrate (PPM)]]&gt;0.5, "2. Some evidence (0.5-1ppm)", IF(AllDataCorrected[[#This Row],[Nitrate (PPM)]]&gt;=0, "1. No evidence (&lt;0.5ppm)"))))</f>
        <v>4. Very high (&gt;2ppm)</v>
      </c>
      <c r="S336">
        <v>0.5</v>
      </c>
      <c r="T3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6">
        <v>0</v>
      </c>
    </row>
    <row r="337" spans="1:22" x14ac:dyDescent="0.25">
      <c r="A337" t="s">
        <v>548</v>
      </c>
      <c r="B337" s="2">
        <v>45307</v>
      </c>
      <c r="C337" t="str" cm="1">
        <f t="array" ref="C3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7">
        <v>2023</v>
      </c>
      <c r="E337" s="1">
        <v>0.39583333333333331</v>
      </c>
      <c r="F3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7" t="str">
        <f>_xlfn.XLOOKUP(AllDataCorrected[[#This Row],[Location Name]], Locations[Location Name],Locations[Group As])</f>
        <v>Alveston Weir</v>
      </c>
      <c r="H337" t="e" vm="2">
        <f>_xlfn.XLOOKUP(AllDataCorrected[[#This Row],[Site Name]],LocationsKey[Site Name],LocationsKey[District])</f>
        <v>#VALUE!</v>
      </c>
      <c r="I337" t="e" vm="13">
        <f>_xlfn.XLOOKUP(AllDataCorrected[[#This Row],[Site Name]],LocationsKey[Site Name],LocationsKey[Town])</f>
        <v>#VALUE!</v>
      </c>
      <c r="J337" t="str">
        <f>_xlfn.XLOOKUP(AllDataCorrected[[#This Row],[Site Name]],LocationsKey[Site Name], LocationsKey[Waterway])</f>
        <v>Avon</v>
      </c>
      <c r="K337" t="s">
        <v>286</v>
      </c>
      <c r="L337">
        <f>_xlfn.XLOOKUP(AllDataCorrected[[#This Row],[Site Name]],Tables!$B$12:$B$78, Tables!C$12:C$78)</f>
        <v>52.212366690476216</v>
      </c>
      <c r="M337">
        <f>_xlfn.XLOOKUP(AllDataCorrected[[#This Row],[Site Name]],Tables!$B$12:$B$78, Tables!D$12:D$78)</f>
        <v>-1.6602567619047619</v>
      </c>
      <c r="N337" t="s">
        <v>29</v>
      </c>
      <c r="O337">
        <v>765</v>
      </c>
      <c r="P337">
        <v>5.7</v>
      </c>
      <c r="Q337">
        <v>5</v>
      </c>
      <c r="R337" t="str">
        <f>IF(AllDataCorrected[[#This Row],[Nitrate (PPM)]]&gt;2, "4. Very high (&gt;2ppm)", IF(AllDataCorrected[[#This Row],[Nitrate (PPM)]]&gt;1, "3. High (1-2ppm)", IF(AllDataCorrected[[#This Row],[Nitrate (PPM)]]&gt;0.5, "2. Some evidence (0.5-1ppm)", IF(AllDataCorrected[[#This Row],[Nitrate (PPM)]]&gt;=0, "1. No evidence (&lt;0.5ppm)"))))</f>
        <v>4. Very high (&gt;2ppm)</v>
      </c>
      <c r="S337">
        <v>0.49</v>
      </c>
      <c r="T3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7">
        <v>-1</v>
      </c>
    </row>
    <row r="338" spans="1:22" x14ac:dyDescent="0.25">
      <c r="A338" t="s">
        <v>549</v>
      </c>
      <c r="B338" s="2">
        <v>45309</v>
      </c>
      <c r="C338" t="str" cm="1">
        <f t="array" ref="C3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8">
        <v>2023</v>
      </c>
      <c r="E338" s="1">
        <v>0.46111111111111114</v>
      </c>
      <c r="F3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8" t="str">
        <f>_xlfn.XLOOKUP(AllDataCorrected[[#This Row],[Location Name]], Locations[Location Name],Locations[Group As])</f>
        <v>Stour Willington</v>
      </c>
      <c r="H338" t="e" vm="2">
        <f>_xlfn.XLOOKUP(AllDataCorrected[[#This Row],[Site Name]],LocationsKey[Site Name],LocationsKey[District])</f>
        <v>#VALUE!</v>
      </c>
      <c r="I338" t="str">
        <f>_xlfn.XLOOKUP(AllDataCorrected[[#This Row],[Site Name]],LocationsKey[Site Name],LocationsKey[Town])</f>
        <v>Willington</v>
      </c>
      <c r="J338" t="str">
        <f>_xlfn.XLOOKUP(AllDataCorrected[[#This Row],[Site Name]],LocationsKey[Site Name], LocationsKey[Waterway])</f>
        <v>Stour</v>
      </c>
      <c r="K338" t="s">
        <v>517</v>
      </c>
      <c r="L338">
        <f>_xlfn.XLOOKUP(AllDataCorrected[[#This Row],[Site Name]],Tables!$B$12:$B$78, Tables!C$12:C$78)</f>
        <v>52.053154375000005</v>
      </c>
      <c r="M338">
        <f>_xlfn.XLOOKUP(AllDataCorrected[[#This Row],[Site Name]],Tables!$B$12:$B$78, Tables!D$12:D$78)</f>
        <v>-1.6191991562500001</v>
      </c>
      <c r="N338" t="s">
        <v>23</v>
      </c>
      <c r="O338">
        <v>614</v>
      </c>
      <c r="P338">
        <v>5.4</v>
      </c>
      <c r="Q338">
        <v>2</v>
      </c>
      <c r="R338" t="str">
        <f>IF(AllDataCorrected[[#This Row],[Nitrate (PPM)]]&gt;2, "4. Very high (&gt;2ppm)", IF(AllDataCorrected[[#This Row],[Nitrate (PPM)]]&gt;1, "3. High (1-2ppm)", IF(AllDataCorrected[[#This Row],[Nitrate (PPM)]]&gt;0.5, "2. Some evidence (0.5-1ppm)", IF(AllDataCorrected[[#This Row],[Nitrate (PPM)]]&gt;=0, "1. No evidence (&lt;0.5ppm)"))))</f>
        <v>3. High (1-2ppm)</v>
      </c>
      <c r="S338">
        <v>0.16</v>
      </c>
      <c r="T3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8">
        <v>0.5</v>
      </c>
    </row>
    <row r="339" spans="1:22" x14ac:dyDescent="0.25">
      <c r="A339" t="s">
        <v>550</v>
      </c>
      <c r="B339" s="2">
        <v>45309</v>
      </c>
      <c r="C339" t="str" cm="1">
        <f t="array" ref="C3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9">
        <v>2023</v>
      </c>
      <c r="E339" s="1">
        <v>0.625</v>
      </c>
      <c r="F3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9" t="str">
        <f>_xlfn.XLOOKUP(AllDataCorrected[[#This Row],[Location Name]], Locations[Location Name],Locations[Group As])</f>
        <v>Stour Newbold Mill</v>
      </c>
      <c r="H339" t="e" vm="2">
        <f>_xlfn.XLOOKUP(AllDataCorrected[[#This Row],[Site Name]],LocationsKey[Site Name],LocationsKey[District])</f>
        <v>#VALUE!</v>
      </c>
      <c r="I339" t="e" vm="8">
        <f>_xlfn.XLOOKUP(AllDataCorrected[[#This Row],[Site Name]],LocationsKey[Site Name],LocationsKey[Town])</f>
        <v>#VALUE!</v>
      </c>
      <c r="J339" t="str">
        <f>_xlfn.XLOOKUP(AllDataCorrected[[#This Row],[Site Name]],LocationsKey[Site Name], LocationsKey[Waterway])</f>
        <v>Stour</v>
      </c>
      <c r="K339" t="s">
        <v>140</v>
      </c>
      <c r="L339">
        <f>_xlfn.XLOOKUP(AllDataCorrected[[#This Row],[Site Name]],Tables!$B$12:$B$78, Tables!C$12:C$78)</f>
        <v>52.113052370370362</v>
      </c>
      <c r="M339">
        <f>_xlfn.XLOOKUP(AllDataCorrected[[#This Row],[Site Name]],Tables!$B$12:$B$78, Tables!D$12:D$78)</f>
        <v>-1.6333685185185185</v>
      </c>
      <c r="N339" t="s">
        <v>29</v>
      </c>
      <c r="O339">
        <v>610</v>
      </c>
      <c r="P339">
        <v>7.2</v>
      </c>
      <c r="Q339">
        <v>5</v>
      </c>
      <c r="R339" t="str">
        <f>IF(AllDataCorrected[[#This Row],[Nitrate (PPM)]]&gt;2, "4. Very high (&gt;2ppm)", IF(AllDataCorrected[[#This Row],[Nitrate (PPM)]]&gt;1, "3. High (1-2ppm)", IF(AllDataCorrected[[#This Row],[Nitrate (PPM)]]&gt;0.5, "2. Some evidence (0.5-1ppm)", IF(AllDataCorrected[[#This Row],[Nitrate (PPM)]]&gt;=0, "1. No evidence (&lt;0.5ppm)"))))</f>
        <v>4. Very high (&gt;2ppm)</v>
      </c>
      <c r="S339">
        <v>0.35</v>
      </c>
      <c r="T3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9">
        <v>2.5</v>
      </c>
      <c r="V339" t="s">
        <v>551</v>
      </c>
    </row>
    <row r="340" spans="1:22" x14ac:dyDescent="0.25">
      <c r="A340" t="s">
        <v>552</v>
      </c>
      <c r="B340" s="2">
        <v>45310</v>
      </c>
      <c r="C340" t="str" cm="1">
        <f t="array" ref="C3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0">
        <v>2023</v>
      </c>
      <c r="E340" s="1">
        <v>0.41666666666666669</v>
      </c>
      <c r="F3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0" t="str">
        <f>_xlfn.XLOOKUP(AllDataCorrected[[#This Row],[Location Name]], Locations[Location Name],Locations[Group As])</f>
        <v>Abbey Mill</v>
      </c>
      <c r="H340" t="e" vm="1">
        <f>_xlfn.XLOOKUP(AllDataCorrected[[#This Row],[Site Name]],LocationsKey[Site Name],LocationsKey[District])</f>
        <v>#VALUE!</v>
      </c>
      <c r="I340" t="e" vm="1">
        <f>_xlfn.XLOOKUP(AllDataCorrected[[#This Row],[Site Name]],LocationsKey[Site Name],LocationsKey[Town])</f>
        <v>#VALUE!</v>
      </c>
      <c r="J340" t="str">
        <f>_xlfn.XLOOKUP(AllDataCorrected[[#This Row],[Site Name]],LocationsKey[Site Name], LocationsKey[Waterway])</f>
        <v>Avon</v>
      </c>
      <c r="K340" t="s">
        <v>22</v>
      </c>
      <c r="L340">
        <f>_xlfn.XLOOKUP(AllDataCorrected[[#This Row],[Site Name]],Tables!$B$12:$B$78, Tables!C$12:C$78)</f>
        <v>51.991389555555564</v>
      </c>
      <c r="M340">
        <f>_xlfn.XLOOKUP(AllDataCorrected[[#This Row],[Site Name]],Tables!$B$12:$B$78, Tables!D$12:D$78)</f>
        <v>-2.1620794000000005</v>
      </c>
      <c r="N340" t="s">
        <v>23</v>
      </c>
      <c r="O340">
        <v>890</v>
      </c>
      <c r="P340">
        <v>6</v>
      </c>
      <c r="Q340">
        <v>4</v>
      </c>
      <c r="R340" t="str">
        <f>IF(AllDataCorrected[[#This Row],[Nitrate (PPM)]]&gt;2, "4. Very high (&gt;2ppm)", IF(AllDataCorrected[[#This Row],[Nitrate (PPM)]]&gt;1, "3. High (1-2ppm)", IF(AllDataCorrected[[#This Row],[Nitrate (PPM)]]&gt;0.5, "2. Some evidence (0.5-1ppm)", IF(AllDataCorrected[[#This Row],[Nitrate (PPM)]]&gt;=0, "1. No evidence (&lt;0.5ppm)"))))</f>
        <v>4. Very high (&gt;2ppm)</v>
      </c>
      <c r="S340">
        <v>0.7</v>
      </c>
      <c r="T3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0">
        <v>0</v>
      </c>
    </row>
    <row r="341" spans="1:22" x14ac:dyDescent="0.25">
      <c r="A341" t="s">
        <v>553</v>
      </c>
      <c r="B341" s="2">
        <v>45310</v>
      </c>
      <c r="C341" t="str" cm="1">
        <f t="array" ref="C3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1">
        <v>2023</v>
      </c>
      <c r="E341" s="1">
        <v>0.45833333333333331</v>
      </c>
      <c r="F34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1" t="str">
        <f>_xlfn.XLOOKUP(AllDataCorrected[[#This Row],[Location Name]], Locations[Location Name],Locations[Group As])</f>
        <v>Swilgate</v>
      </c>
      <c r="H341" t="e" vm="1">
        <f>_xlfn.XLOOKUP(AllDataCorrected[[#This Row],[Site Name]],LocationsKey[Site Name],LocationsKey[District])</f>
        <v>#VALUE!</v>
      </c>
      <c r="I341" t="e" vm="1">
        <f>_xlfn.XLOOKUP(AllDataCorrected[[#This Row],[Site Name]],LocationsKey[Site Name],LocationsKey[Town])</f>
        <v>#VALUE!</v>
      </c>
      <c r="J341" t="str">
        <f>_xlfn.XLOOKUP(AllDataCorrected[[#This Row],[Site Name]],LocationsKey[Site Name], LocationsKey[Waterway])</f>
        <v>Swilgate</v>
      </c>
      <c r="K341" t="s">
        <v>84</v>
      </c>
      <c r="L341">
        <f>_xlfn.XLOOKUP(AllDataCorrected[[#This Row],[Site Name]],Tables!$B$12:$B$78, Tables!C$12:C$78)</f>
        <v>51.9885442</v>
      </c>
      <c r="M341">
        <f>_xlfn.XLOOKUP(AllDataCorrected[[#This Row],[Site Name]],Tables!$B$12:$B$78, Tables!D$12:D$78)</f>
        <v>-2.1639010000000001</v>
      </c>
      <c r="N341" t="s">
        <v>23</v>
      </c>
      <c r="O341">
        <v>846</v>
      </c>
      <c r="P341">
        <v>2.6</v>
      </c>
      <c r="Q341">
        <v>3</v>
      </c>
      <c r="R341" t="str">
        <f>IF(AllDataCorrected[[#This Row],[Nitrate (PPM)]]&gt;2, "4. Very high (&gt;2ppm)", IF(AllDataCorrected[[#This Row],[Nitrate (PPM)]]&gt;1, "3. High (1-2ppm)", IF(AllDataCorrected[[#This Row],[Nitrate (PPM)]]&gt;0.5, "2. Some evidence (0.5-1ppm)", IF(AllDataCorrected[[#This Row],[Nitrate (PPM)]]&gt;=0, "1. No evidence (&lt;0.5ppm)"))))</f>
        <v>4. Very high (&gt;2ppm)</v>
      </c>
      <c r="S341">
        <v>0.41</v>
      </c>
      <c r="T3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1">
        <v>0</v>
      </c>
    </row>
    <row r="342" spans="1:22" x14ac:dyDescent="0.25">
      <c r="A342" t="s">
        <v>554</v>
      </c>
      <c r="B342" s="2">
        <v>45310</v>
      </c>
      <c r="C342" t="str" cm="1">
        <f t="array" ref="C3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2">
        <v>2023</v>
      </c>
      <c r="E342" s="1">
        <v>0.57986111111111116</v>
      </c>
      <c r="F3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42" t="str">
        <f>_xlfn.XLOOKUP(AllDataCorrected[[#This Row],[Location Name]], Locations[Location Name],Locations[Group As])</f>
        <v>Lower Lode</v>
      </c>
      <c r="H342" t="e" vm="1">
        <f>_xlfn.XLOOKUP(AllDataCorrected[[#This Row],[Site Name]],LocationsKey[Site Name],LocationsKey[District])</f>
        <v>#VALUE!</v>
      </c>
      <c r="I342" t="e" vm="1">
        <f>_xlfn.XLOOKUP(AllDataCorrected[[#This Row],[Site Name]],LocationsKey[Site Name],LocationsKey[Town])</f>
        <v>#VALUE!</v>
      </c>
      <c r="J342" t="str">
        <f>_xlfn.XLOOKUP(AllDataCorrected[[#This Row],[Site Name]],LocationsKey[Site Name], LocationsKey[Waterway])</f>
        <v>Avon</v>
      </c>
      <c r="K342" t="s">
        <v>555</v>
      </c>
      <c r="L342">
        <f>_xlfn.XLOOKUP(AllDataCorrected[[#This Row],[Site Name]],Tables!$B$12:$B$78, Tables!C$12:C$78)</f>
        <v>51.984954782608689</v>
      </c>
      <c r="M342">
        <f>_xlfn.XLOOKUP(AllDataCorrected[[#This Row],[Site Name]],Tables!$B$12:$B$78, Tables!D$12:D$78)</f>
        <v>-2.1744283478260868</v>
      </c>
      <c r="N342" t="s">
        <v>29</v>
      </c>
      <c r="O342">
        <v>867</v>
      </c>
      <c r="P342">
        <v>5.7</v>
      </c>
      <c r="Q342">
        <v>10</v>
      </c>
      <c r="R342" t="str">
        <f>IF(AllDataCorrected[[#This Row],[Nitrate (PPM)]]&gt;2, "4. Very high (&gt;2ppm)", IF(AllDataCorrected[[#This Row],[Nitrate (PPM)]]&gt;1, "3. High (1-2ppm)", IF(AllDataCorrected[[#This Row],[Nitrate (PPM)]]&gt;0.5, "2. Some evidence (0.5-1ppm)", IF(AllDataCorrected[[#This Row],[Nitrate (PPM)]]&gt;=0, "1. No evidence (&lt;0.5ppm)"))))</f>
        <v>4. Very high (&gt;2ppm)</v>
      </c>
      <c r="S342">
        <v>0.5</v>
      </c>
      <c r="T3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2">
        <v>0</v>
      </c>
    </row>
    <row r="343" spans="1:22" x14ac:dyDescent="0.25">
      <c r="A343" t="s">
        <v>556</v>
      </c>
      <c r="B343" s="2">
        <v>45311</v>
      </c>
      <c r="C343" t="str" cm="1">
        <f t="array" ref="C3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3">
        <v>2023</v>
      </c>
      <c r="E343" s="1">
        <v>0.40694444444444444</v>
      </c>
      <c r="F3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3" t="str">
        <f>_xlfn.XLOOKUP(AllDataCorrected[[#This Row],[Location Name]], Locations[Location Name],Locations[Group As])</f>
        <v>The Ford, Langley</v>
      </c>
      <c r="H343" t="e" vm="2">
        <f>_xlfn.XLOOKUP(AllDataCorrected[[#This Row],[Site Name]],LocationsKey[Site Name],LocationsKey[District])</f>
        <v>#VALUE!</v>
      </c>
      <c r="I343" t="str">
        <f>_xlfn.XLOOKUP(AllDataCorrected[[#This Row],[Site Name]],LocationsKey[Site Name],LocationsKey[Town])</f>
        <v>Langley</v>
      </c>
      <c r="J343" t="str">
        <f>_xlfn.XLOOKUP(AllDataCorrected[[#This Row],[Site Name]],LocationsKey[Site Name], LocationsKey[Waterway])</f>
        <v>Langley Ford</v>
      </c>
      <c r="K343" t="s">
        <v>557</v>
      </c>
      <c r="L343">
        <f>_xlfn.XLOOKUP(AllDataCorrected[[#This Row],[Site Name]],Tables!$B$12:$B$78, Tables!C$12:C$78)</f>
        <v>52.261724821428579</v>
      </c>
      <c r="M343">
        <f>_xlfn.XLOOKUP(AllDataCorrected[[#This Row],[Site Name]],Tables!$B$12:$B$78, Tables!D$12:D$78)</f>
        <v>-1.719408857142857</v>
      </c>
      <c r="N343" t="s">
        <v>29</v>
      </c>
      <c r="O343">
        <v>742</v>
      </c>
      <c r="P343">
        <v>5.0999999999999996</v>
      </c>
      <c r="Q343">
        <v>5</v>
      </c>
      <c r="R343" t="str">
        <f>IF(AllDataCorrected[[#This Row],[Nitrate (PPM)]]&gt;2, "4. Very high (&gt;2ppm)", IF(AllDataCorrected[[#This Row],[Nitrate (PPM)]]&gt;1, "3. High (1-2ppm)", IF(AllDataCorrected[[#This Row],[Nitrate (PPM)]]&gt;0.5, "2. Some evidence (0.5-1ppm)", IF(AllDataCorrected[[#This Row],[Nitrate (PPM)]]&gt;=0, "1. No evidence (&lt;0.5ppm)"))))</f>
        <v>4. Very high (&gt;2ppm)</v>
      </c>
      <c r="S343">
        <v>0.59</v>
      </c>
      <c r="T3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3">
        <v>0.28000000000000003</v>
      </c>
      <c r="V343" t="s">
        <v>558</v>
      </c>
    </row>
    <row r="344" spans="1:22" x14ac:dyDescent="0.25">
      <c r="A344" t="s">
        <v>559</v>
      </c>
      <c r="B344" s="2">
        <v>45311</v>
      </c>
      <c r="C344" t="str" cm="1">
        <f t="array" ref="C3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4">
        <v>2023</v>
      </c>
      <c r="E344" s="1">
        <v>0.47916666666666669</v>
      </c>
      <c r="F3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4" t="str">
        <f>_xlfn.XLOOKUP(AllDataCorrected[[#This Row],[Location Name]], Locations[Location Name],Locations[Group As])</f>
        <v>Clifford Chambers Mill Bridge</v>
      </c>
      <c r="H344" t="e" vm="2">
        <f>_xlfn.XLOOKUP(AllDataCorrected[[#This Row],[Site Name]],LocationsKey[Site Name],LocationsKey[District])</f>
        <v>#VALUE!</v>
      </c>
      <c r="I344" t="e" vm="12">
        <f>_xlfn.XLOOKUP(AllDataCorrected[[#This Row],[Site Name]],LocationsKey[Site Name],LocationsKey[Town])</f>
        <v>#VALUE!</v>
      </c>
      <c r="J344" t="str">
        <f>_xlfn.XLOOKUP(AllDataCorrected[[#This Row],[Site Name]],LocationsKey[Site Name], LocationsKey[Waterway])</f>
        <v>Stour</v>
      </c>
      <c r="K344" t="s">
        <v>263</v>
      </c>
      <c r="L344">
        <f>_xlfn.XLOOKUP(AllDataCorrected[[#This Row],[Site Name]],Tables!$B$12:$B$78, Tables!C$12:C$78)</f>
        <v>52.166358517241363</v>
      </c>
      <c r="M344">
        <f>_xlfn.XLOOKUP(AllDataCorrected[[#This Row],[Site Name]],Tables!$B$12:$B$78, Tables!D$12:D$78)</f>
        <v>-1.7080419310344837</v>
      </c>
      <c r="N344" t="s">
        <v>66</v>
      </c>
      <c r="O344">
        <v>671</v>
      </c>
      <c r="P344">
        <v>10.199999999999999</v>
      </c>
      <c r="Q344">
        <v>7</v>
      </c>
      <c r="R344" t="str">
        <f>IF(AllDataCorrected[[#This Row],[Nitrate (PPM)]]&gt;2, "4. Very high (&gt;2ppm)", IF(AllDataCorrected[[#This Row],[Nitrate (PPM)]]&gt;1, "3. High (1-2ppm)", IF(AllDataCorrected[[#This Row],[Nitrate (PPM)]]&gt;0.5, "2. Some evidence (0.5-1ppm)", IF(AllDataCorrected[[#This Row],[Nitrate (PPM)]]&gt;=0, "1. No evidence (&lt;0.5ppm)"))))</f>
        <v>4. Very high (&gt;2ppm)</v>
      </c>
      <c r="S344">
        <v>0.24</v>
      </c>
      <c r="T3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4">
        <v>1.4</v>
      </c>
      <c r="V344" t="s">
        <v>560</v>
      </c>
    </row>
    <row r="345" spans="1:22" x14ac:dyDescent="0.25">
      <c r="A345" t="s">
        <v>561</v>
      </c>
      <c r="B345" s="2">
        <v>45311</v>
      </c>
      <c r="C345" t="str" cm="1">
        <f t="array" ref="C3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5">
        <v>2023</v>
      </c>
      <c r="E345" s="1">
        <v>0.47916666666666669</v>
      </c>
      <c r="F3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5" t="str">
        <f>_xlfn.XLOOKUP(AllDataCorrected[[#This Row],[Location Name]], Locations[Location Name],Locations[Group As])</f>
        <v>Fell Mill Footbridge</v>
      </c>
      <c r="H345" t="e" vm="2">
        <f>_xlfn.XLOOKUP(AllDataCorrected[[#This Row],[Site Name]],LocationsKey[Site Name],LocationsKey[District])</f>
        <v>#VALUE!</v>
      </c>
      <c r="I345" t="e" vm="10">
        <f>_xlfn.XLOOKUP(AllDataCorrected[[#This Row],[Site Name]],LocationsKey[Site Name],LocationsKey[Town])</f>
        <v>#VALUE!</v>
      </c>
      <c r="J345" t="str">
        <f>_xlfn.XLOOKUP(AllDataCorrected[[#This Row],[Site Name]],LocationsKey[Site Name], LocationsKey[Waterway])</f>
        <v>Stour</v>
      </c>
      <c r="K345" t="s">
        <v>496</v>
      </c>
      <c r="L345">
        <f>_xlfn.XLOOKUP(AllDataCorrected[[#This Row],[Site Name]],Tables!$B$12:$B$78, Tables!C$12:C$78)</f>
        <v>52.067966827586183</v>
      </c>
      <c r="M345">
        <f>_xlfn.XLOOKUP(AllDataCorrected[[#This Row],[Site Name]],Tables!$B$12:$B$78, Tables!D$12:D$78)</f>
        <v>-1.6118101379310343</v>
      </c>
      <c r="N345" t="s">
        <v>29</v>
      </c>
      <c r="O345">
        <v>607</v>
      </c>
      <c r="P345">
        <v>4.5999999999999996</v>
      </c>
      <c r="Q345">
        <v>10</v>
      </c>
      <c r="R345" t="str">
        <f>IF(AllDataCorrected[[#This Row],[Nitrate (PPM)]]&gt;2, "4. Very high (&gt;2ppm)", IF(AllDataCorrected[[#This Row],[Nitrate (PPM)]]&gt;1, "3. High (1-2ppm)", IF(AllDataCorrected[[#This Row],[Nitrate (PPM)]]&gt;0.5, "2. Some evidence (0.5-1ppm)", IF(AllDataCorrected[[#This Row],[Nitrate (PPM)]]&gt;=0, "1. No evidence (&lt;0.5ppm)"))))</f>
        <v>4. Very high (&gt;2ppm)</v>
      </c>
      <c r="S345">
        <v>0.24</v>
      </c>
      <c r="T3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5">
        <v>0.8</v>
      </c>
    </row>
    <row r="346" spans="1:22" x14ac:dyDescent="0.25">
      <c r="A346" t="s">
        <v>563</v>
      </c>
      <c r="B346" s="2">
        <v>45311</v>
      </c>
      <c r="C346" t="str" cm="1">
        <f t="array" ref="C3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6">
        <v>2023</v>
      </c>
      <c r="E346" s="1">
        <v>0.48958333333333331</v>
      </c>
      <c r="F3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6" t="str">
        <f>_xlfn.XLOOKUP(AllDataCorrected[[#This Row],[Location Name]], Locations[Location Name],Locations[Group As])</f>
        <v>Carrant Bredon Rd</v>
      </c>
      <c r="H346" t="e" vm="1">
        <f>_xlfn.XLOOKUP(AllDataCorrected[[#This Row],[Site Name]],LocationsKey[Site Name],LocationsKey[District])</f>
        <v>#VALUE!</v>
      </c>
      <c r="I346" t="e" vm="1">
        <f>_xlfn.XLOOKUP(AllDataCorrected[[#This Row],[Site Name]],LocationsKey[Site Name],LocationsKey[Town])</f>
        <v>#VALUE!</v>
      </c>
      <c r="J346" t="str">
        <f>_xlfn.XLOOKUP(AllDataCorrected[[#This Row],[Site Name]],LocationsKey[Site Name], LocationsKey[Waterway])</f>
        <v>Carrant</v>
      </c>
      <c r="K346" t="s">
        <v>90</v>
      </c>
      <c r="L346">
        <f>_xlfn.XLOOKUP(AllDataCorrected[[#This Row],[Site Name]],Tables!$B$12:$B$78, Tables!C$12:C$78)</f>
        <v>51.996416567567572</v>
      </c>
      <c r="M346">
        <f>_xlfn.XLOOKUP(AllDataCorrected[[#This Row],[Site Name]],Tables!$B$12:$B$78, Tables!D$12:D$78)</f>
        <v>-2.1556626756756749</v>
      </c>
      <c r="N346" t="s">
        <v>23</v>
      </c>
      <c r="O346">
        <v>751</v>
      </c>
      <c r="P346">
        <v>5.6</v>
      </c>
      <c r="Q346">
        <v>7</v>
      </c>
      <c r="R346" t="str">
        <f>IF(AllDataCorrected[[#This Row],[Nitrate (PPM)]]&gt;2, "4. Very high (&gt;2ppm)", IF(AllDataCorrected[[#This Row],[Nitrate (PPM)]]&gt;1, "3. High (1-2ppm)", IF(AllDataCorrected[[#This Row],[Nitrate (PPM)]]&gt;0.5, "2. Some evidence (0.5-1ppm)", IF(AllDataCorrected[[#This Row],[Nitrate (PPM)]]&gt;=0, "1. No evidence (&lt;0.5ppm)"))))</f>
        <v>4. Very high (&gt;2ppm)</v>
      </c>
      <c r="S346">
        <v>0.33</v>
      </c>
      <c r="T3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6">
        <v>0.02</v>
      </c>
    </row>
    <row r="347" spans="1:22" x14ac:dyDescent="0.25">
      <c r="A347" t="s">
        <v>562</v>
      </c>
      <c r="B347" s="2">
        <v>45311</v>
      </c>
      <c r="C347" t="str" cm="1">
        <f t="array" ref="C3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7">
        <v>2023</v>
      </c>
      <c r="E347" s="1">
        <v>0.48958333333333331</v>
      </c>
      <c r="F3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7" t="str">
        <f>_xlfn.XLOOKUP(AllDataCorrected[[#This Row],[Location Name]], Locations[Location Name],Locations[Group As])</f>
        <v>Clifford Chambers Road Bridge</v>
      </c>
      <c r="H347" t="e" vm="2">
        <f>_xlfn.XLOOKUP(AllDataCorrected[[#This Row],[Site Name]],LocationsKey[Site Name],LocationsKey[District])</f>
        <v>#VALUE!</v>
      </c>
      <c r="I347" t="e" vm="12">
        <f>_xlfn.XLOOKUP(AllDataCorrected[[#This Row],[Site Name]],LocationsKey[Site Name],LocationsKey[Town])</f>
        <v>#VALUE!</v>
      </c>
      <c r="J347" t="str">
        <f>_xlfn.XLOOKUP(AllDataCorrected[[#This Row],[Site Name]],LocationsKey[Site Name], LocationsKey[Waterway])</f>
        <v>Stour</v>
      </c>
      <c r="K347" t="s">
        <v>427</v>
      </c>
      <c r="L347">
        <f>_xlfn.XLOOKUP(AllDataCorrected[[#This Row],[Site Name]],Tables!$B$12:$B$78, Tables!C$12:C$78)</f>
        <v>52.172840000000001</v>
      </c>
      <c r="M347">
        <f>_xlfn.XLOOKUP(AllDataCorrected[[#This Row],[Site Name]],Tables!$B$12:$B$78, Tables!D$12:D$78)</f>
        <v>-1.71377</v>
      </c>
      <c r="N347" t="s">
        <v>80</v>
      </c>
      <c r="O347">
        <v>660</v>
      </c>
      <c r="P347">
        <v>10.199999999999999</v>
      </c>
      <c r="Q347">
        <v>9</v>
      </c>
      <c r="R347" t="str">
        <f>IF(AllDataCorrected[[#This Row],[Nitrate (PPM)]]&gt;2, "4. Very high (&gt;2ppm)", IF(AllDataCorrected[[#This Row],[Nitrate (PPM)]]&gt;1, "3. High (1-2ppm)", IF(AllDataCorrected[[#This Row],[Nitrate (PPM)]]&gt;0.5, "2. Some evidence (0.5-1ppm)", IF(AllDataCorrected[[#This Row],[Nitrate (PPM)]]&gt;=0, "1. No evidence (&lt;0.5ppm)"))))</f>
        <v>4. Very high (&gt;2ppm)</v>
      </c>
      <c r="S347">
        <v>0.32</v>
      </c>
      <c r="T3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7">
        <v>0.6</v>
      </c>
    </row>
    <row r="348" spans="1:22" x14ac:dyDescent="0.25">
      <c r="A348" t="s">
        <v>573</v>
      </c>
      <c r="B348" s="2">
        <v>45312</v>
      </c>
      <c r="C348" t="str" cm="1">
        <f t="array" ref="C3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8">
        <v>2023</v>
      </c>
      <c r="E348" s="1">
        <v>0.42708333333333331</v>
      </c>
      <c r="F3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8" t="str">
        <f>_xlfn.XLOOKUP(AllDataCorrected[[#This Row],[Location Name]], Locations[Location Name],Locations[Group As])</f>
        <v>Lucy's Mill Bridge</v>
      </c>
      <c r="H348" t="e" vm="2">
        <f>_xlfn.XLOOKUP(AllDataCorrected[[#This Row],[Site Name]],LocationsKey[Site Name],LocationsKey[District])</f>
        <v>#VALUE!</v>
      </c>
      <c r="I348" t="e" vm="7">
        <f>_xlfn.XLOOKUP(AllDataCorrected[[#This Row],[Site Name]],LocationsKey[Site Name],LocationsKey[Town])</f>
        <v>#VALUE!</v>
      </c>
      <c r="J348" t="str">
        <f>_xlfn.XLOOKUP(AllDataCorrected[[#This Row],[Site Name]],LocationsKey[Site Name], LocationsKey[Waterway])</f>
        <v>Avon</v>
      </c>
      <c r="K348" t="s">
        <v>216</v>
      </c>
      <c r="L348">
        <f>_xlfn.XLOOKUP(AllDataCorrected[[#This Row],[Site Name]],Tables!$B$12:$B$78, Tables!C$12:C$78)</f>
        <v>52.183699000000011</v>
      </c>
      <c r="M348">
        <f>_xlfn.XLOOKUP(AllDataCorrected[[#This Row],[Site Name]],Tables!$B$12:$B$78, Tables!D$12:D$78)</f>
        <v>-1.7078160000000004</v>
      </c>
      <c r="N348" t="s">
        <v>29</v>
      </c>
      <c r="P348">
        <v>6</v>
      </c>
      <c r="Q348">
        <v>5</v>
      </c>
      <c r="R348" t="str">
        <f>IF(AllDataCorrected[[#This Row],[Nitrate (PPM)]]&gt;2, "4. Very high (&gt;2ppm)", IF(AllDataCorrected[[#This Row],[Nitrate (PPM)]]&gt;1, "3. High (1-2ppm)", IF(AllDataCorrected[[#This Row],[Nitrate (PPM)]]&gt;0.5, "2. Some evidence (0.5-1ppm)", IF(AllDataCorrected[[#This Row],[Nitrate (PPM)]]&gt;=0, "1. No evidence (&lt;0.5ppm)"))))</f>
        <v>4. Very high (&gt;2ppm)</v>
      </c>
      <c r="S348">
        <v>0.28999999999999998</v>
      </c>
      <c r="T3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8">
        <v>0.7</v>
      </c>
    </row>
    <row r="349" spans="1:22" x14ac:dyDescent="0.25">
      <c r="A349" t="s">
        <v>564</v>
      </c>
      <c r="B349" s="2">
        <v>45312</v>
      </c>
      <c r="C349" t="str" cm="1">
        <f t="array" ref="C3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9">
        <v>2023</v>
      </c>
      <c r="E349" s="1">
        <v>0.51388888888888884</v>
      </c>
      <c r="F3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49" t="str">
        <f>_xlfn.XLOOKUP(AllDataCorrected[[#This Row],[Location Name]], Locations[Location Name],Locations[Group As])</f>
        <v>Hampton Wood</v>
      </c>
      <c r="H349" t="e" vm="2">
        <f>_xlfn.XLOOKUP(AllDataCorrected[[#This Row],[Site Name]],LocationsKey[Site Name],LocationsKey[District])</f>
        <v>#VALUE!</v>
      </c>
      <c r="I349" t="e" vm="3">
        <f>_xlfn.XLOOKUP(AllDataCorrected[[#This Row],[Site Name]],LocationsKey[Site Name],LocationsKey[Town])</f>
        <v>#VALUE!</v>
      </c>
      <c r="J349" t="str">
        <f>_xlfn.XLOOKUP(AllDataCorrected[[#This Row],[Site Name]],LocationsKey[Site Name], LocationsKey[Waterway])</f>
        <v>Avon</v>
      </c>
      <c r="K349" t="s">
        <v>34</v>
      </c>
      <c r="L349">
        <f>_xlfn.XLOOKUP(AllDataCorrected[[#This Row],[Site Name]],Tables!$B$12:$B$78, Tables!C$12:C$78)</f>
        <v>52.23814999999999</v>
      </c>
      <c r="M349">
        <f>_xlfn.XLOOKUP(AllDataCorrected[[#This Row],[Site Name]],Tables!$B$12:$B$78, Tables!D$12:D$78)</f>
        <v>-1.6245800000000008</v>
      </c>
      <c r="N349" t="s">
        <v>29</v>
      </c>
      <c r="O349">
        <v>852</v>
      </c>
      <c r="P349">
        <v>8.1</v>
      </c>
      <c r="Q349">
        <v>7</v>
      </c>
      <c r="R349" t="str">
        <f>IF(AllDataCorrected[[#This Row],[Nitrate (PPM)]]&gt;2, "4. Very high (&gt;2ppm)", IF(AllDataCorrected[[#This Row],[Nitrate (PPM)]]&gt;1, "3. High (1-2ppm)", IF(AllDataCorrected[[#This Row],[Nitrate (PPM)]]&gt;0.5, "2. Some evidence (0.5-1ppm)", IF(AllDataCorrected[[#This Row],[Nitrate (PPM)]]&gt;=0, "1. No evidence (&lt;0.5ppm)"))))</f>
        <v>4. Very high (&gt;2ppm)</v>
      </c>
      <c r="S349">
        <v>0.69</v>
      </c>
      <c r="T3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9">
        <v>0</v>
      </c>
    </row>
    <row r="350" spans="1:22" x14ac:dyDescent="0.25">
      <c r="A350" t="s">
        <v>565</v>
      </c>
      <c r="B350" s="2">
        <v>45312</v>
      </c>
      <c r="C350" t="str" cm="1">
        <f t="array" ref="C3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0">
        <v>2023</v>
      </c>
      <c r="E350" s="1">
        <v>0.54166666666666663</v>
      </c>
      <c r="F3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0" t="str">
        <f>_xlfn.XLOOKUP(AllDataCorrected[[#This Row],[Location Name]], Locations[Location Name],Locations[Group As])</f>
        <v>Hampton Lucy</v>
      </c>
      <c r="H350" t="e" vm="2">
        <f>_xlfn.XLOOKUP(AllDataCorrected[[#This Row],[Site Name]],LocationsKey[Site Name],LocationsKey[District])</f>
        <v>#VALUE!</v>
      </c>
      <c r="I350" t="e" vm="4">
        <f>_xlfn.XLOOKUP(AllDataCorrected[[#This Row],[Site Name]],LocationsKey[Site Name],LocationsKey[Town])</f>
        <v>#VALUE!</v>
      </c>
      <c r="J350" t="str">
        <f>_xlfn.XLOOKUP(AllDataCorrected[[#This Row],[Site Name]],LocationsKey[Site Name], LocationsKey[Waterway])</f>
        <v>Avon</v>
      </c>
      <c r="K350" t="s">
        <v>37</v>
      </c>
      <c r="L350">
        <f>_xlfn.XLOOKUP(AllDataCorrected[[#This Row],[Site Name]],Tables!$B$12:$B$78, Tables!C$12:C$78)</f>
        <v>52.211679999999973</v>
      </c>
      <c r="M350">
        <f>_xlfn.XLOOKUP(AllDataCorrected[[#This Row],[Site Name]],Tables!$B$12:$B$78, Tables!D$12:D$78)</f>
        <v>-1.6244400000000001</v>
      </c>
      <c r="N350" t="s">
        <v>23</v>
      </c>
      <c r="O350">
        <v>876</v>
      </c>
      <c r="P350">
        <v>7.6</v>
      </c>
      <c r="Q350">
        <v>10</v>
      </c>
      <c r="R350" t="str">
        <f>IF(AllDataCorrected[[#This Row],[Nitrate (PPM)]]&gt;2, "4. Very high (&gt;2ppm)", IF(AllDataCorrected[[#This Row],[Nitrate (PPM)]]&gt;1, "3. High (1-2ppm)", IF(AllDataCorrected[[#This Row],[Nitrate (PPM)]]&gt;0.5, "2. Some evidence (0.5-1ppm)", IF(AllDataCorrected[[#This Row],[Nitrate (PPM)]]&gt;=0, "1. No evidence (&lt;0.5ppm)"))))</f>
        <v>4. Very high (&gt;2ppm)</v>
      </c>
      <c r="S350">
        <v>0.61</v>
      </c>
      <c r="T3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0">
        <v>0</v>
      </c>
    </row>
    <row r="351" spans="1:22" x14ac:dyDescent="0.25">
      <c r="A351" t="s">
        <v>566</v>
      </c>
      <c r="B351" s="2">
        <v>45312</v>
      </c>
      <c r="C351" t="str" cm="1">
        <f t="array" ref="C3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1">
        <v>2023</v>
      </c>
      <c r="E351" s="1">
        <v>0.61736111111111114</v>
      </c>
      <c r="F3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1" t="str">
        <f>_xlfn.XLOOKUP(AllDataCorrected[[#This Row],[Location Name]], Locations[Location Name],Locations[Group As])</f>
        <v>Black Bear</v>
      </c>
      <c r="H351" t="e" vm="1">
        <f>_xlfn.XLOOKUP(AllDataCorrected[[#This Row],[Site Name]],LocationsKey[Site Name],LocationsKey[District])</f>
        <v>#VALUE!</v>
      </c>
      <c r="I351" t="e" vm="1">
        <f>_xlfn.XLOOKUP(AllDataCorrected[[#This Row],[Site Name]],LocationsKey[Site Name],LocationsKey[Town])</f>
        <v>#VALUE!</v>
      </c>
      <c r="J351" t="str">
        <f>_xlfn.XLOOKUP(AllDataCorrected[[#This Row],[Site Name]],LocationsKey[Site Name], LocationsKey[Waterway])</f>
        <v>Avon</v>
      </c>
      <c r="K351" t="s">
        <v>567</v>
      </c>
      <c r="L351">
        <f>_xlfn.XLOOKUP(AllDataCorrected[[#This Row],[Site Name]],Tables!$B$12:$B$78, Tables!C$12:C$78)</f>
        <v>51.997435214285723</v>
      </c>
      <c r="M351">
        <f>_xlfn.XLOOKUP(AllDataCorrected[[#This Row],[Site Name]],Tables!$B$12:$B$78, Tables!D$12:D$78)</f>
        <v>-2.1562056785714288</v>
      </c>
      <c r="N351" t="s">
        <v>23</v>
      </c>
      <c r="O351">
        <v>841</v>
      </c>
      <c r="P351">
        <v>6.8</v>
      </c>
      <c r="Q351">
        <v>8</v>
      </c>
      <c r="R351" t="str">
        <f>IF(AllDataCorrected[[#This Row],[Nitrate (PPM)]]&gt;2, "4. Very high (&gt;2ppm)", IF(AllDataCorrected[[#This Row],[Nitrate (PPM)]]&gt;1, "3. High (1-2ppm)", IF(AllDataCorrected[[#This Row],[Nitrate (PPM)]]&gt;0.5, "2. Some evidence (0.5-1ppm)", IF(AllDataCorrected[[#This Row],[Nitrate (PPM)]]&gt;=0, "1. No evidence (&lt;0.5ppm)"))))</f>
        <v>4. Very high (&gt;2ppm)</v>
      </c>
      <c r="S351">
        <v>1.01</v>
      </c>
      <c r="T3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1">
        <v>0</v>
      </c>
    </row>
    <row r="352" spans="1:22" x14ac:dyDescent="0.25">
      <c r="A352" t="s">
        <v>568</v>
      </c>
      <c r="B352" s="2">
        <v>45312</v>
      </c>
      <c r="C352" t="str" cm="1">
        <f t="array" ref="C3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2">
        <v>2023</v>
      </c>
      <c r="E352" s="1">
        <v>0.625</v>
      </c>
      <c r="F3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2" t="str">
        <f>_xlfn.XLOOKUP(AllDataCorrected[[#This Row],[Location Name]], Locations[Location Name],Locations[Group As])</f>
        <v>Bell Brook 1</v>
      </c>
      <c r="H352" t="e" vm="2">
        <f>_xlfn.XLOOKUP(AllDataCorrected[[#This Row],[Site Name]],LocationsKey[Site Name],LocationsKey[District])</f>
        <v>#VALUE!</v>
      </c>
      <c r="I352" t="e" vm="15">
        <f>_xlfn.XLOOKUP(AllDataCorrected[[#This Row],[Site Name]],LocationsKey[Site Name],LocationsKey[Town])</f>
        <v>#VALUE!</v>
      </c>
      <c r="J352" t="str">
        <f>_xlfn.XLOOKUP(AllDataCorrected[[#This Row],[Site Name]],LocationsKey[Site Name], LocationsKey[Waterway])</f>
        <v>Bell Brook</v>
      </c>
      <c r="K352" t="s">
        <v>534</v>
      </c>
      <c r="L352">
        <f>_xlfn.XLOOKUP(AllDataCorrected[[#This Row],[Site Name]],Tables!$B$12:$B$78, Tables!C$12:C$78)</f>
        <v>52.24489999999998</v>
      </c>
      <c r="M352">
        <f>_xlfn.XLOOKUP(AllDataCorrected[[#This Row],[Site Name]],Tables!$B$12:$B$78, Tables!D$12:D$78)</f>
        <v>-1.6617000000000013</v>
      </c>
      <c r="N352" t="s">
        <v>23</v>
      </c>
      <c r="O352">
        <v>736</v>
      </c>
      <c r="P352">
        <v>8.6999999999999993</v>
      </c>
      <c r="Q352">
        <v>8</v>
      </c>
      <c r="R352" t="str">
        <f>IF(AllDataCorrected[[#This Row],[Nitrate (PPM)]]&gt;2, "4. Very high (&gt;2ppm)", IF(AllDataCorrected[[#This Row],[Nitrate (PPM)]]&gt;1, "3. High (1-2ppm)", IF(AllDataCorrected[[#This Row],[Nitrate (PPM)]]&gt;0.5, "2. Some evidence (0.5-1ppm)", IF(AllDataCorrected[[#This Row],[Nitrate (PPM)]]&gt;=0, "1. No evidence (&lt;0.5ppm)"))))</f>
        <v>4. Very high (&gt;2ppm)</v>
      </c>
      <c r="S352">
        <v>0.45</v>
      </c>
      <c r="T3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2">
        <v>0.5</v>
      </c>
    </row>
    <row r="353" spans="1:22" x14ac:dyDescent="0.25">
      <c r="A353" t="s">
        <v>569</v>
      </c>
      <c r="B353" s="2">
        <v>45312</v>
      </c>
      <c r="C353" t="str" cm="1">
        <f t="array" ref="C3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3">
        <v>2023</v>
      </c>
      <c r="E353" s="1">
        <v>0.625</v>
      </c>
      <c r="F3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3" t="str">
        <f>_xlfn.XLOOKUP(AllDataCorrected[[#This Row],[Location Name]], Locations[Location Name],Locations[Group As])</f>
        <v>Sherbourne Brook 1</v>
      </c>
      <c r="H353" t="e" vm="2">
        <f>_xlfn.XLOOKUP(AllDataCorrected[[#This Row],[Site Name]],LocationsKey[Site Name],LocationsKey[District])</f>
        <v>#VALUE!</v>
      </c>
      <c r="I353" t="e" vm="16">
        <f>_xlfn.XLOOKUP(AllDataCorrected[[#This Row],[Site Name]],LocationsKey[Site Name],LocationsKey[Town])</f>
        <v>#VALUE!</v>
      </c>
      <c r="J353" t="str">
        <f>_xlfn.XLOOKUP(AllDataCorrected[[#This Row],[Site Name]],LocationsKey[Site Name], LocationsKey[Waterway])</f>
        <v>Sherbourne Brook</v>
      </c>
      <c r="K353" t="s">
        <v>570</v>
      </c>
      <c r="L353">
        <f>_xlfn.XLOOKUP(AllDataCorrected[[#This Row],[Site Name]],Tables!$B$12:$B$78, Tables!C$12:C$78)</f>
        <v>52.252500000000033</v>
      </c>
      <c r="M353">
        <f>_xlfn.XLOOKUP(AllDataCorrected[[#This Row],[Site Name]],Tables!$B$12:$B$78, Tables!D$12:D$78)</f>
        <v>-1.6685000000000012</v>
      </c>
      <c r="N353" t="s">
        <v>23</v>
      </c>
      <c r="O353">
        <v>1020</v>
      </c>
      <c r="P353">
        <v>8.8000000000000007</v>
      </c>
      <c r="Q353">
        <v>10</v>
      </c>
      <c r="R353" t="str">
        <f>IF(AllDataCorrected[[#This Row],[Nitrate (PPM)]]&gt;2, "4. Very high (&gt;2ppm)", IF(AllDataCorrected[[#This Row],[Nitrate (PPM)]]&gt;1, "3. High (1-2ppm)", IF(AllDataCorrected[[#This Row],[Nitrate (PPM)]]&gt;0.5, "2. Some evidence (0.5-1ppm)", IF(AllDataCorrected[[#This Row],[Nitrate (PPM)]]&gt;=0, "1. No evidence (&lt;0.5ppm)"))))</f>
        <v>4. Very high (&gt;2ppm)</v>
      </c>
      <c r="S353">
        <v>0.4</v>
      </c>
      <c r="T3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3">
        <v>0.5</v>
      </c>
    </row>
    <row r="354" spans="1:22" x14ac:dyDescent="0.25">
      <c r="A354" t="s">
        <v>572</v>
      </c>
      <c r="B354" s="2">
        <v>45312</v>
      </c>
      <c r="C354" t="str" cm="1">
        <f t="array" ref="C3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4">
        <v>2023</v>
      </c>
      <c r="E354" s="1">
        <v>0.6875</v>
      </c>
      <c r="F3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4" t="str">
        <f>_xlfn.XLOOKUP(AllDataCorrected[[#This Row],[Location Name]], Locations[Location Name],Locations[Group As])</f>
        <v>Avonbank Drive</v>
      </c>
      <c r="H354" t="e" vm="2">
        <f>_xlfn.XLOOKUP(AllDataCorrected[[#This Row],[Site Name]],LocationsKey[Site Name],LocationsKey[District])</f>
        <v>#VALUE!</v>
      </c>
      <c r="I354" t="e" vm="7">
        <f>_xlfn.XLOOKUP(AllDataCorrected[[#This Row],[Site Name]],LocationsKey[Site Name],LocationsKey[Town])</f>
        <v>#VALUE!</v>
      </c>
      <c r="J354" t="str">
        <f>_xlfn.XLOOKUP(AllDataCorrected[[#This Row],[Site Name]],LocationsKey[Site Name], LocationsKey[Waterway])</f>
        <v>Avon</v>
      </c>
      <c r="K354" t="s">
        <v>103</v>
      </c>
      <c r="L354">
        <f>_xlfn.XLOOKUP(AllDataCorrected[[#This Row],[Site Name]],Tables!$B$12:$B$78, Tables!C$12:C$78)</f>
        <v>52.177054657142854</v>
      </c>
      <c r="M354">
        <f>_xlfn.XLOOKUP(AllDataCorrected[[#This Row],[Site Name]],Tables!$B$12:$B$78, Tables!D$12:D$78)</f>
        <v>-1.7358669999999996</v>
      </c>
      <c r="N354" t="s">
        <v>66</v>
      </c>
      <c r="O354">
        <v>976</v>
      </c>
      <c r="P354">
        <v>15.2</v>
      </c>
      <c r="Q354">
        <v>5</v>
      </c>
      <c r="R354" t="str">
        <f>IF(AllDataCorrected[[#This Row],[Nitrate (PPM)]]&gt;2, "4. Very high (&gt;2ppm)", IF(AllDataCorrected[[#This Row],[Nitrate (PPM)]]&gt;1, "3. High (1-2ppm)", IF(AllDataCorrected[[#This Row],[Nitrate (PPM)]]&gt;0.5, "2. Some evidence (0.5-1ppm)", IF(AllDataCorrected[[#This Row],[Nitrate (PPM)]]&gt;=0, "1. No evidence (&lt;0.5ppm)"))))</f>
        <v>4. Very high (&gt;2ppm)</v>
      </c>
      <c r="S354">
        <v>0.49</v>
      </c>
      <c r="T35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4">
        <v>0.66</v>
      </c>
    </row>
    <row r="355" spans="1:22" x14ac:dyDescent="0.25">
      <c r="A355" t="s">
        <v>571</v>
      </c>
      <c r="B355" s="2">
        <v>45312</v>
      </c>
      <c r="C355" t="str" cm="1">
        <f t="array" ref="C3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5">
        <v>2023</v>
      </c>
      <c r="E355" s="1">
        <v>0.6875</v>
      </c>
      <c r="F3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5" t="str">
        <f>_xlfn.XLOOKUP(AllDataCorrected[[#This Row],[Location Name]], Locations[Location Name],Locations[Group As])</f>
        <v>Pitch 16</v>
      </c>
      <c r="H355" t="e" vm="2">
        <f>_xlfn.XLOOKUP(AllDataCorrected[[#This Row],[Site Name]],LocationsKey[Site Name],LocationsKey[District])</f>
        <v>#VALUE!</v>
      </c>
      <c r="I355" t="e" vm="7">
        <f>_xlfn.XLOOKUP(AllDataCorrected[[#This Row],[Site Name]],LocationsKey[Site Name],LocationsKey[Town])</f>
        <v>#VALUE!</v>
      </c>
      <c r="J355" t="str">
        <f>_xlfn.XLOOKUP(AllDataCorrected[[#This Row],[Site Name]],LocationsKey[Site Name], LocationsKey[Waterway])</f>
        <v>Avon</v>
      </c>
      <c r="K355" t="s">
        <v>69</v>
      </c>
      <c r="L355">
        <f>_xlfn.XLOOKUP(AllDataCorrected[[#This Row],[Site Name]],Tables!$B$12:$B$78, Tables!C$12:C$78)</f>
        <v>52.17355294117646</v>
      </c>
      <c r="M355">
        <f>_xlfn.XLOOKUP(AllDataCorrected[[#This Row],[Site Name]],Tables!$B$12:$B$78, Tables!D$12:D$78)</f>
        <v>-1.7433199411764708</v>
      </c>
      <c r="N355" t="s">
        <v>29</v>
      </c>
      <c r="O355">
        <v>933</v>
      </c>
      <c r="P355">
        <v>14.6</v>
      </c>
      <c r="Q355">
        <v>5</v>
      </c>
      <c r="R355" t="str">
        <f>IF(AllDataCorrected[[#This Row],[Nitrate (PPM)]]&gt;2, "4. Very high (&gt;2ppm)", IF(AllDataCorrected[[#This Row],[Nitrate (PPM)]]&gt;1, "3. High (1-2ppm)", IF(AllDataCorrected[[#This Row],[Nitrate (PPM)]]&gt;0.5, "2. Some evidence (0.5-1ppm)", IF(AllDataCorrected[[#This Row],[Nitrate (PPM)]]&gt;=0, "1. No evidence (&lt;0.5ppm)"))))</f>
        <v>4. Very high (&gt;2ppm)</v>
      </c>
      <c r="S355">
        <v>0.47</v>
      </c>
      <c r="T3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5">
        <v>0.66</v>
      </c>
    </row>
    <row r="356" spans="1:22" x14ac:dyDescent="0.25">
      <c r="A356" t="s">
        <v>574</v>
      </c>
      <c r="B356" s="2">
        <v>45313</v>
      </c>
      <c r="C356" t="str" cm="1">
        <f t="array" ref="C3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6">
        <v>2023</v>
      </c>
      <c r="E356" s="1">
        <v>0.38194444444444442</v>
      </c>
      <c r="F3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6" t="str">
        <f>_xlfn.XLOOKUP(AllDataCorrected[[#This Row],[Location Name]], Locations[Location Name],Locations[Group As])</f>
        <v>Alveston Weir</v>
      </c>
      <c r="H356" t="e" vm="2">
        <f>_xlfn.XLOOKUP(AllDataCorrected[[#This Row],[Site Name]],LocationsKey[Site Name],LocationsKey[District])</f>
        <v>#VALUE!</v>
      </c>
      <c r="I356" t="e" vm="13">
        <f>_xlfn.XLOOKUP(AllDataCorrected[[#This Row],[Site Name]],LocationsKey[Site Name],LocationsKey[Town])</f>
        <v>#VALUE!</v>
      </c>
      <c r="J356" t="str">
        <f>_xlfn.XLOOKUP(AllDataCorrected[[#This Row],[Site Name]],LocationsKey[Site Name], LocationsKey[Waterway])</f>
        <v>Avon</v>
      </c>
      <c r="K356" t="s">
        <v>286</v>
      </c>
      <c r="L356">
        <f>_xlfn.XLOOKUP(AllDataCorrected[[#This Row],[Site Name]],Tables!$B$12:$B$78, Tables!C$12:C$78)</f>
        <v>52.212366690476216</v>
      </c>
      <c r="M356">
        <f>_xlfn.XLOOKUP(AllDataCorrected[[#This Row],[Site Name]],Tables!$B$12:$B$78, Tables!D$12:D$78)</f>
        <v>-1.6602567619047619</v>
      </c>
      <c r="N356" t="s">
        <v>29</v>
      </c>
      <c r="O356">
        <v>716</v>
      </c>
      <c r="P356">
        <v>9.8000000000000007</v>
      </c>
      <c r="Q356">
        <v>5</v>
      </c>
      <c r="R356" t="str">
        <f>IF(AllDataCorrected[[#This Row],[Nitrate (PPM)]]&gt;2, "4. Very high (&gt;2ppm)", IF(AllDataCorrected[[#This Row],[Nitrate (PPM)]]&gt;1, "3. High (1-2ppm)", IF(AllDataCorrected[[#This Row],[Nitrate (PPM)]]&gt;0.5, "2. Some evidence (0.5-1ppm)", IF(AllDataCorrected[[#This Row],[Nitrate (PPM)]]&gt;=0, "1. No evidence (&lt;0.5ppm)"))))</f>
        <v>4. Very high (&gt;2ppm)</v>
      </c>
      <c r="S356">
        <v>0.59</v>
      </c>
      <c r="T3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6">
        <v>0</v>
      </c>
    </row>
    <row r="357" spans="1:22" x14ac:dyDescent="0.25">
      <c r="A357" t="s">
        <v>575</v>
      </c>
      <c r="B357" s="2">
        <v>45313</v>
      </c>
      <c r="C357" t="str" cm="1">
        <f t="array" ref="C3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7">
        <v>2023</v>
      </c>
      <c r="E357" s="1">
        <v>0.3923611111111111</v>
      </c>
      <c r="F3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7" t="str">
        <f>_xlfn.XLOOKUP(AllDataCorrected[[#This Row],[Location Name]], Locations[Location Name],Locations[Group As])</f>
        <v>Swiffen Bank</v>
      </c>
      <c r="H357" t="e" vm="2">
        <f>_xlfn.XLOOKUP(AllDataCorrected[[#This Row],[Site Name]],LocationsKey[Site Name],LocationsKey[District])</f>
        <v>#VALUE!</v>
      </c>
      <c r="I357" t="e" vm="13">
        <f>_xlfn.XLOOKUP(AllDataCorrected[[#This Row],[Site Name]],LocationsKey[Site Name],LocationsKey[Town])</f>
        <v>#VALUE!</v>
      </c>
      <c r="J357" t="str">
        <f>_xlfn.XLOOKUP(AllDataCorrected[[#This Row],[Site Name]],LocationsKey[Site Name], LocationsKey[Waterway])</f>
        <v>Avon</v>
      </c>
      <c r="K357" t="s">
        <v>284</v>
      </c>
      <c r="L357">
        <f>_xlfn.XLOOKUP(AllDataCorrected[[#This Row],[Site Name]],Tables!$B$12:$B$78, Tables!C$12:C$78)</f>
        <v>52.206446825000015</v>
      </c>
      <c r="M357">
        <f>_xlfn.XLOOKUP(AllDataCorrected[[#This Row],[Site Name]],Tables!$B$12:$B$78, Tables!D$12:D$78)</f>
        <v>-1.6541684000000003</v>
      </c>
      <c r="N357" t="s">
        <v>29</v>
      </c>
      <c r="O357">
        <v>701</v>
      </c>
      <c r="P357">
        <v>8</v>
      </c>
      <c r="Q357">
        <v>5</v>
      </c>
      <c r="R357" t="str">
        <f>IF(AllDataCorrected[[#This Row],[Nitrate (PPM)]]&gt;2, "4. Very high (&gt;2ppm)", IF(AllDataCorrected[[#This Row],[Nitrate (PPM)]]&gt;1, "3. High (1-2ppm)", IF(AllDataCorrected[[#This Row],[Nitrate (PPM)]]&gt;0.5, "2. Some evidence (0.5-1ppm)", IF(AllDataCorrected[[#This Row],[Nitrate (PPM)]]&gt;=0, "1. No evidence (&lt;0.5ppm)"))))</f>
        <v>4. Very high (&gt;2ppm)</v>
      </c>
      <c r="S357">
        <v>0.5</v>
      </c>
      <c r="T3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7">
        <v>0</v>
      </c>
    </row>
    <row r="358" spans="1:22" x14ac:dyDescent="0.25">
      <c r="A358" t="s">
        <v>576</v>
      </c>
      <c r="B358" s="2">
        <v>45313</v>
      </c>
      <c r="C358" t="str" cm="1">
        <f t="array" ref="C3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8">
        <v>2023</v>
      </c>
      <c r="E358" s="1">
        <v>0.40347222222222223</v>
      </c>
      <c r="F3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8" t="str">
        <f>_xlfn.XLOOKUP(AllDataCorrected[[#This Row],[Location Name]], Locations[Location Name],Locations[Group As])</f>
        <v>Stour Stretton-on-Fosse Village</v>
      </c>
      <c r="H358" t="e" vm="2">
        <f>_xlfn.XLOOKUP(AllDataCorrected[[#This Row],[Site Name]],LocationsKey[Site Name],LocationsKey[District])</f>
        <v>#VALUE!</v>
      </c>
      <c r="I358" t="e" vm="14">
        <f>_xlfn.XLOOKUP(AllDataCorrected[[#This Row],[Site Name]],LocationsKey[Site Name],LocationsKey[Town])</f>
        <v>#VALUE!</v>
      </c>
      <c r="J358" t="str">
        <f>_xlfn.XLOOKUP(AllDataCorrected[[#This Row],[Site Name]],LocationsKey[Site Name], LocationsKey[Waterway])</f>
        <v>Stour</v>
      </c>
      <c r="K358" t="s">
        <v>544</v>
      </c>
      <c r="L358">
        <f>_xlfn.XLOOKUP(AllDataCorrected[[#This Row],[Site Name]],Tables!$B$12:$B$78, Tables!C$12:C$78)</f>
        <v>52.046517558823524</v>
      </c>
      <c r="M358">
        <f>_xlfn.XLOOKUP(AllDataCorrected[[#This Row],[Site Name]],Tables!$B$12:$B$78, Tables!D$12:D$78)</f>
        <v>-1.6734143529411767</v>
      </c>
      <c r="N358" t="s">
        <v>66</v>
      </c>
      <c r="O358">
        <v>376</v>
      </c>
      <c r="P358">
        <v>7.1</v>
      </c>
      <c r="Q358">
        <v>2</v>
      </c>
      <c r="R358" t="str">
        <f>IF(AllDataCorrected[[#This Row],[Nitrate (PPM)]]&gt;2, "4. Very high (&gt;2ppm)", IF(AllDataCorrected[[#This Row],[Nitrate (PPM)]]&gt;1, "3. High (1-2ppm)", IF(AllDataCorrected[[#This Row],[Nitrate (PPM)]]&gt;0.5, "2. Some evidence (0.5-1ppm)", IF(AllDataCorrected[[#This Row],[Nitrate (PPM)]]&gt;=0, "1. No evidence (&lt;0.5ppm)"))))</f>
        <v>3. High (1-2ppm)</v>
      </c>
      <c r="S358">
        <v>0.49</v>
      </c>
      <c r="T3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8">
        <v>0.35</v>
      </c>
      <c r="V358" t="s">
        <v>577</v>
      </c>
    </row>
    <row r="359" spans="1:22" x14ac:dyDescent="0.25">
      <c r="A359" t="s">
        <v>578</v>
      </c>
      <c r="B359" s="2">
        <v>45313</v>
      </c>
      <c r="C359" t="str" cm="1">
        <f t="array" ref="C3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9">
        <v>2023</v>
      </c>
      <c r="E359" s="1">
        <v>0.41805555555555557</v>
      </c>
      <c r="F3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9" t="str">
        <f>_xlfn.XLOOKUP(AllDataCorrected[[#This Row],[Location Name]], Locations[Location Name],Locations[Group As])</f>
        <v>Stour Stretton-on-Fosse Sewage Works</v>
      </c>
      <c r="H359" t="e" vm="2">
        <f>_xlfn.XLOOKUP(AllDataCorrected[[#This Row],[Site Name]],LocationsKey[Site Name],LocationsKey[District])</f>
        <v>#VALUE!</v>
      </c>
      <c r="I359" t="e" vm="14">
        <f>_xlfn.XLOOKUP(AllDataCorrected[[#This Row],[Site Name]],LocationsKey[Site Name],LocationsKey[Town])</f>
        <v>#VALUE!</v>
      </c>
      <c r="J359" t="str">
        <f>_xlfn.XLOOKUP(AllDataCorrected[[#This Row],[Site Name]],LocationsKey[Site Name], LocationsKey[Waterway])</f>
        <v>Stour</v>
      </c>
      <c r="K359" t="s">
        <v>335</v>
      </c>
      <c r="L359">
        <f>_xlfn.XLOOKUP(AllDataCorrected[[#This Row],[Site Name]],Tables!$B$12:$B$78, Tables!C$12:C$78)</f>
        <v>52.045653647058806</v>
      </c>
      <c r="M359">
        <f>_xlfn.XLOOKUP(AllDataCorrected[[#This Row],[Site Name]],Tables!$B$12:$B$78, Tables!D$12:D$78)</f>
        <v>-1.6719221470588235</v>
      </c>
      <c r="N359" t="s">
        <v>29</v>
      </c>
      <c r="O359">
        <v>369</v>
      </c>
      <c r="P359">
        <v>6.5</v>
      </c>
      <c r="Q359">
        <v>3.5</v>
      </c>
      <c r="R359" t="str">
        <f>IF(AllDataCorrected[[#This Row],[Nitrate (PPM)]]&gt;2, "4. Very high (&gt;2ppm)", IF(AllDataCorrected[[#This Row],[Nitrate (PPM)]]&gt;1, "3. High (1-2ppm)", IF(AllDataCorrected[[#This Row],[Nitrate (PPM)]]&gt;0.5, "2. Some evidence (0.5-1ppm)", IF(AllDataCorrected[[#This Row],[Nitrate (PPM)]]&gt;=0, "1. No evidence (&lt;0.5ppm)"))))</f>
        <v>4. Very high (&gt;2ppm)</v>
      </c>
      <c r="S359">
        <v>0.71</v>
      </c>
      <c r="T3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9">
        <v>0.45</v>
      </c>
      <c r="V359" t="s">
        <v>579</v>
      </c>
    </row>
    <row r="360" spans="1:22" x14ac:dyDescent="0.25">
      <c r="A360" t="s">
        <v>580</v>
      </c>
      <c r="B360" s="2">
        <v>45313</v>
      </c>
      <c r="C360" t="str" cm="1">
        <f t="array" ref="C3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0">
        <v>2023</v>
      </c>
      <c r="E360" s="1">
        <v>0.49236111111111114</v>
      </c>
      <c r="F3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0" t="str">
        <f>_xlfn.XLOOKUP(AllDataCorrected[[#This Row],[Location Name]], Locations[Location Name],Locations[Group As])</f>
        <v>Pershore Bridges</v>
      </c>
      <c r="H360" t="e" vm="17">
        <f>_xlfn.XLOOKUP(AllDataCorrected[[#This Row],[Site Name]],LocationsKey[Site Name],LocationsKey[District])</f>
        <v>#VALUE!</v>
      </c>
      <c r="I360" t="e" vm="18">
        <f>_xlfn.XLOOKUP(AllDataCorrected[[#This Row],[Site Name]],LocationsKey[Site Name],LocationsKey[Town])</f>
        <v>#VALUE!</v>
      </c>
      <c r="J360" t="str">
        <f>_xlfn.XLOOKUP(AllDataCorrected[[#This Row],[Site Name]],LocationsKey[Site Name], LocationsKey[Waterway])</f>
        <v>Avon</v>
      </c>
      <c r="K360" t="s">
        <v>581</v>
      </c>
      <c r="L360">
        <f>_xlfn.XLOOKUP(AllDataCorrected[[#This Row],[Site Name]],Tables!$B$12:$B$78, Tables!C$12:C$78)</f>
        <v>52.104196285714281</v>
      </c>
      <c r="M360">
        <f>_xlfn.XLOOKUP(AllDataCorrected[[#This Row],[Site Name]],Tables!$B$12:$B$78, Tables!D$12:D$78)</f>
        <v>-2.0709292857142856</v>
      </c>
      <c r="O360">
        <v>925</v>
      </c>
      <c r="P360">
        <v>10.9</v>
      </c>
      <c r="Q360">
        <v>10</v>
      </c>
      <c r="R360" t="str">
        <f>IF(AllDataCorrected[[#This Row],[Nitrate (PPM)]]&gt;2, "4. Very high (&gt;2ppm)", IF(AllDataCorrected[[#This Row],[Nitrate (PPM)]]&gt;1, "3. High (1-2ppm)", IF(AllDataCorrected[[#This Row],[Nitrate (PPM)]]&gt;0.5, "2. Some evidence (0.5-1ppm)", IF(AllDataCorrected[[#This Row],[Nitrate (PPM)]]&gt;=0, "1. No evidence (&lt;0.5ppm)"))))</f>
        <v>4. Very high (&gt;2ppm)</v>
      </c>
      <c r="S360">
        <v>0.73</v>
      </c>
      <c r="T3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0">
        <v>3.46</v>
      </c>
    </row>
    <row r="361" spans="1:22" x14ac:dyDescent="0.25">
      <c r="A361" t="s">
        <v>582</v>
      </c>
      <c r="B361" s="2">
        <v>45313</v>
      </c>
      <c r="C361" t="str" cm="1">
        <f t="array" ref="C3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1">
        <v>2023</v>
      </c>
      <c r="E361" s="1">
        <v>0.50069444444444444</v>
      </c>
      <c r="F3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1" t="str">
        <f>_xlfn.XLOOKUP(AllDataCorrected[[#This Row],[Location Name]], Locations[Location Name],Locations[Group As])</f>
        <v>Pershore Leisure Centre</v>
      </c>
      <c r="H361" t="e" vm="17">
        <f>_xlfn.XLOOKUP(AllDataCorrected[[#This Row],[Site Name]],LocationsKey[Site Name],LocationsKey[District])</f>
        <v>#VALUE!</v>
      </c>
      <c r="I361" t="e" vm="18">
        <f>_xlfn.XLOOKUP(AllDataCorrected[[#This Row],[Site Name]],LocationsKey[Site Name],LocationsKey[Town])</f>
        <v>#VALUE!</v>
      </c>
      <c r="J361" t="str">
        <f>_xlfn.XLOOKUP(AllDataCorrected[[#This Row],[Site Name]],LocationsKey[Site Name], LocationsKey[Waterway])</f>
        <v>Avon</v>
      </c>
      <c r="K361" t="s">
        <v>583</v>
      </c>
      <c r="L361">
        <f>_xlfn.XLOOKUP(AllDataCorrected[[#This Row],[Site Name]],Tables!$B$12:$B$78, Tables!C$12:C$78)</f>
        <v>52.108220000000003</v>
      </c>
      <c r="M361">
        <f>_xlfn.XLOOKUP(AllDataCorrected[[#This Row],[Site Name]],Tables!$B$12:$B$78, Tables!D$12:D$78)</f>
        <v>-2.0715195</v>
      </c>
      <c r="O361">
        <v>930</v>
      </c>
      <c r="P361">
        <v>9.9</v>
      </c>
      <c r="Q361">
        <v>10</v>
      </c>
      <c r="R361" t="str">
        <f>IF(AllDataCorrected[[#This Row],[Nitrate (PPM)]]&gt;2, "4. Very high (&gt;2ppm)", IF(AllDataCorrected[[#This Row],[Nitrate (PPM)]]&gt;1, "3. High (1-2ppm)", IF(AllDataCorrected[[#This Row],[Nitrate (PPM)]]&gt;0.5, "2. Some evidence (0.5-1ppm)", IF(AllDataCorrected[[#This Row],[Nitrate (PPM)]]&gt;=0, "1. No evidence (&lt;0.5ppm)"))))</f>
        <v>4. Very high (&gt;2ppm)</v>
      </c>
      <c r="S361">
        <v>0.66</v>
      </c>
      <c r="T3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1">
        <v>3.46</v>
      </c>
    </row>
    <row r="362" spans="1:22" x14ac:dyDescent="0.25">
      <c r="A362" t="s">
        <v>584</v>
      </c>
      <c r="B362" s="2">
        <v>45315</v>
      </c>
      <c r="C362" t="str" cm="1">
        <f t="array" ref="C3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2">
        <v>2023</v>
      </c>
      <c r="E362" s="1">
        <v>0.64583333333333337</v>
      </c>
      <c r="F3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2" t="str">
        <f>_xlfn.XLOOKUP(AllDataCorrected[[#This Row],[Location Name]], Locations[Location Name],Locations[Group As])</f>
        <v>Stour Newbold Mill</v>
      </c>
      <c r="H362" t="e" vm="2">
        <f>_xlfn.XLOOKUP(AllDataCorrected[[#This Row],[Site Name]],LocationsKey[Site Name],LocationsKey[District])</f>
        <v>#VALUE!</v>
      </c>
      <c r="I362" t="e" vm="8">
        <f>_xlfn.XLOOKUP(AllDataCorrected[[#This Row],[Site Name]],LocationsKey[Site Name],LocationsKey[Town])</f>
        <v>#VALUE!</v>
      </c>
      <c r="J362" t="str">
        <f>_xlfn.XLOOKUP(AllDataCorrected[[#This Row],[Site Name]],LocationsKey[Site Name], LocationsKey[Waterway])</f>
        <v>Stour</v>
      </c>
      <c r="K362" t="s">
        <v>140</v>
      </c>
      <c r="L362">
        <f>_xlfn.XLOOKUP(AllDataCorrected[[#This Row],[Site Name]],Tables!$B$12:$B$78, Tables!C$12:C$78)</f>
        <v>52.113052370370362</v>
      </c>
      <c r="M362">
        <f>_xlfn.XLOOKUP(AllDataCorrected[[#This Row],[Site Name]],Tables!$B$12:$B$78, Tables!D$12:D$78)</f>
        <v>-1.6333685185185185</v>
      </c>
      <c r="N362" t="s">
        <v>29</v>
      </c>
      <c r="O362">
        <v>621</v>
      </c>
      <c r="P362">
        <v>9.8000000000000007</v>
      </c>
      <c r="Q362">
        <v>5</v>
      </c>
      <c r="R362" t="str">
        <f>IF(AllDataCorrected[[#This Row],[Nitrate (PPM)]]&gt;2, "4. Very high (&gt;2ppm)", IF(AllDataCorrected[[#This Row],[Nitrate (PPM)]]&gt;1, "3. High (1-2ppm)", IF(AllDataCorrected[[#This Row],[Nitrate (PPM)]]&gt;0.5, "2. Some evidence (0.5-1ppm)", IF(AllDataCorrected[[#This Row],[Nitrate (PPM)]]&gt;=0, "1. No evidence (&lt;0.5ppm)"))))</f>
        <v>4. Very high (&gt;2ppm)</v>
      </c>
      <c r="S362">
        <v>0.38</v>
      </c>
      <c r="T3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2">
        <v>2.5</v>
      </c>
      <c r="V362" t="s">
        <v>585</v>
      </c>
    </row>
    <row r="363" spans="1:22" x14ac:dyDescent="0.25">
      <c r="A363" t="s">
        <v>586</v>
      </c>
      <c r="B363" s="2">
        <v>45316</v>
      </c>
      <c r="C363" t="str" cm="1">
        <f t="array" ref="C3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3">
        <v>2023</v>
      </c>
      <c r="E363" s="1">
        <v>0.4236111111111111</v>
      </c>
      <c r="F3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3" t="str">
        <f>_xlfn.XLOOKUP(AllDataCorrected[[#This Row],[Location Name]], Locations[Location Name],Locations[Group As])</f>
        <v>Stour Willington</v>
      </c>
      <c r="H363" t="e" vm="2">
        <f>_xlfn.XLOOKUP(AllDataCorrected[[#This Row],[Site Name]],LocationsKey[Site Name],LocationsKey[District])</f>
        <v>#VALUE!</v>
      </c>
      <c r="I363" t="str">
        <f>_xlfn.XLOOKUP(AllDataCorrected[[#This Row],[Site Name]],LocationsKey[Site Name],LocationsKey[Town])</f>
        <v>Willington</v>
      </c>
      <c r="J363" t="str">
        <f>_xlfn.XLOOKUP(AllDataCorrected[[#This Row],[Site Name]],LocationsKey[Site Name], LocationsKey[Waterway])</f>
        <v>Stour</v>
      </c>
      <c r="K363" t="s">
        <v>517</v>
      </c>
      <c r="L363">
        <f>_xlfn.XLOOKUP(AllDataCorrected[[#This Row],[Site Name]],Tables!$B$12:$B$78, Tables!C$12:C$78)</f>
        <v>52.053154375000005</v>
      </c>
      <c r="M363">
        <f>_xlfn.XLOOKUP(AllDataCorrected[[#This Row],[Site Name]],Tables!$B$12:$B$78, Tables!D$12:D$78)</f>
        <v>-1.6191991562500001</v>
      </c>
      <c r="N363" t="s">
        <v>23</v>
      </c>
      <c r="O363">
        <v>620</v>
      </c>
      <c r="P363">
        <v>11.6</v>
      </c>
      <c r="Q363">
        <v>2</v>
      </c>
      <c r="R363" t="str">
        <f>IF(AllDataCorrected[[#This Row],[Nitrate (PPM)]]&gt;2, "4. Very high (&gt;2ppm)", IF(AllDataCorrected[[#This Row],[Nitrate (PPM)]]&gt;1, "3. High (1-2ppm)", IF(AllDataCorrected[[#This Row],[Nitrate (PPM)]]&gt;0.5, "2. Some evidence (0.5-1ppm)", IF(AllDataCorrected[[#This Row],[Nitrate (PPM)]]&gt;=0, "1. No evidence (&lt;0.5ppm)"))))</f>
        <v>3. High (1-2ppm)</v>
      </c>
      <c r="S363">
        <v>0.23</v>
      </c>
      <c r="T3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3">
        <v>0.5</v>
      </c>
      <c r="V363" t="s">
        <v>587</v>
      </c>
    </row>
    <row r="364" spans="1:22" x14ac:dyDescent="0.25">
      <c r="A364" t="s">
        <v>588</v>
      </c>
      <c r="B364" s="2">
        <v>45316</v>
      </c>
      <c r="C364" t="str" cm="1">
        <f t="array" ref="C3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4">
        <v>2023</v>
      </c>
      <c r="E364" s="1">
        <v>0.4375</v>
      </c>
      <c r="F3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4" t="str">
        <f>_xlfn.XLOOKUP(AllDataCorrected[[#This Row],[Location Name]], Locations[Location Name],Locations[Group As])</f>
        <v>Swilgate</v>
      </c>
      <c r="H364" t="e" vm="1">
        <f>_xlfn.XLOOKUP(AllDataCorrected[[#This Row],[Site Name]],LocationsKey[Site Name],LocationsKey[District])</f>
        <v>#VALUE!</v>
      </c>
      <c r="I364" t="e" vm="1">
        <f>_xlfn.XLOOKUP(AllDataCorrected[[#This Row],[Site Name]],LocationsKey[Site Name],LocationsKey[Town])</f>
        <v>#VALUE!</v>
      </c>
      <c r="J364" t="str">
        <f>_xlfn.XLOOKUP(AllDataCorrected[[#This Row],[Site Name]],LocationsKey[Site Name], LocationsKey[Waterway])</f>
        <v>Swilgate</v>
      </c>
      <c r="K364" t="s">
        <v>84</v>
      </c>
      <c r="L364">
        <f>_xlfn.XLOOKUP(AllDataCorrected[[#This Row],[Site Name]],Tables!$B$12:$B$78, Tables!C$12:C$78)</f>
        <v>51.9885442</v>
      </c>
      <c r="M364">
        <f>_xlfn.XLOOKUP(AllDataCorrected[[#This Row],[Site Name]],Tables!$B$12:$B$78, Tables!D$12:D$78)</f>
        <v>-2.1639010000000001</v>
      </c>
      <c r="N364" t="s">
        <v>23</v>
      </c>
      <c r="O364">
        <v>999</v>
      </c>
      <c r="P364">
        <v>9.6999999999999993</v>
      </c>
      <c r="Q364">
        <v>3</v>
      </c>
      <c r="R364" t="str">
        <f>IF(AllDataCorrected[[#This Row],[Nitrate (PPM)]]&gt;2, "4. Very high (&gt;2ppm)", IF(AllDataCorrected[[#This Row],[Nitrate (PPM)]]&gt;1, "3. High (1-2ppm)", IF(AllDataCorrected[[#This Row],[Nitrate (PPM)]]&gt;0.5, "2. Some evidence (0.5-1ppm)", IF(AllDataCorrected[[#This Row],[Nitrate (PPM)]]&gt;=0, "1. No evidence (&lt;0.5ppm)"))))</f>
        <v>4. Very high (&gt;2ppm)</v>
      </c>
      <c r="S364">
        <v>0.42</v>
      </c>
      <c r="T3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4">
        <v>1</v>
      </c>
      <c r="V364" t="s">
        <v>589</v>
      </c>
    </row>
    <row r="365" spans="1:22" x14ac:dyDescent="0.25">
      <c r="A365" t="s">
        <v>590</v>
      </c>
      <c r="B365" s="2">
        <v>45316</v>
      </c>
      <c r="C365" t="str" cm="1">
        <f t="array" ref="C3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5">
        <v>2023</v>
      </c>
      <c r="E365" s="1">
        <v>0.57847222222222228</v>
      </c>
      <c r="F3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5" t="str">
        <f>_xlfn.XLOOKUP(AllDataCorrected[[#This Row],[Location Name]], Locations[Location Name],Locations[Group As])</f>
        <v>Preston-on-Stour River Bridge</v>
      </c>
      <c r="H365" t="e" vm="2">
        <f>_xlfn.XLOOKUP(AllDataCorrected[[#This Row],[Site Name]],LocationsKey[Site Name],LocationsKey[District])</f>
        <v>#VALUE!</v>
      </c>
      <c r="I365" t="e" vm="9">
        <f>_xlfn.XLOOKUP(AllDataCorrected[[#This Row],[Site Name]],LocationsKey[Site Name],LocationsKey[Town])</f>
        <v>#VALUE!</v>
      </c>
      <c r="J365" t="str">
        <f>_xlfn.XLOOKUP(AllDataCorrected[[#This Row],[Site Name]],LocationsKey[Site Name], LocationsKey[Waterway])</f>
        <v>Stour</v>
      </c>
      <c r="K365" t="s">
        <v>163</v>
      </c>
      <c r="L365">
        <f>_xlfn.XLOOKUP(AllDataCorrected[[#This Row],[Site Name]],Tables!$B$12:$B$78, Tables!C$12:C$78)</f>
        <v>52.146529500000007</v>
      </c>
      <c r="M365">
        <f>_xlfn.XLOOKUP(AllDataCorrected[[#This Row],[Site Name]],Tables!$B$12:$B$78, Tables!D$12:D$78)</f>
        <v>-1.6996899999999999</v>
      </c>
      <c r="N365" t="s">
        <v>29</v>
      </c>
      <c r="O365">
        <v>653</v>
      </c>
      <c r="P365">
        <v>9.5</v>
      </c>
      <c r="Q365">
        <v>5</v>
      </c>
      <c r="R365" t="str">
        <f>IF(AllDataCorrected[[#This Row],[Nitrate (PPM)]]&gt;2, "4. Very high (&gt;2ppm)", IF(AllDataCorrected[[#This Row],[Nitrate (PPM)]]&gt;1, "3. High (1-2ppm)", IF(AllDataCorrected[[#This Row],[Nitrate (PPM)]]&gt;0.5, "2. Some evidence (0.5-1ppm)", IF(AllDataCorrected[[#This Row],[Nitrate (PPM)]]&gt;=0, "1. No evidence (&lt;0.5ppm)"))))</f>
        <v>4. Very high (&gt;2ppm)</v>
      </c>
      <c r="S365">
        <v>0.26</v>
      </c>
      <c r="T3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5">
        <v>1.5</v>
      </c>
    </row>
    <row r="366" spans="1:22" x14ac:dyDescent="0.25">
      <c r="A366" t="s">
        <v>591</v>
      </c>
      <c r="B366" s="2">
        <v>45317</v>
      </c>
      <c r="C366" t="str" cm="1">
        <f t="array" ref="C3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6">
        <v>2023</v>
      </c>
      <c r="E366" s="1">
        <v>0.45902777777777776</v>
      </c>
      <c r="F3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6" t="str">
        <f>_xlfn.XLOOKUP(AllDataCorrected[[#This Row],[Location Name]], Locations[Location Name],Locations[Group As])</f>
        <v>Lower Lode</v>
      </c>
      <c r="H366" t="e" vm="1">
        <f>_xlfn.XLOOKUP(AllDataCorrected[[#This Row],[Site Name]],LocationsKey[Site Name],LocationsKey[District])</f>
        <v>#VALUE!</v>
      </c>
      <c r="I366" t="e" vm="1">
        <f>_xlfn.XLOOKUP(AllDataCorrected[[#This Row],[Site Name]],LocationsKey[Site Name],LocationsKey[Town])</f>
        <v>#VALUE!</v>
      </c>
      <c r="J366" t="str">
        <f>_xlfn.XLOOKUP(AllDataCorrected[[#This Row],[Site Name]],LocationsKey[Site Name], LocationsKey[Waterway])</f>
        <v>Avon</v>
      </c>
      <c r="K366" t="s">
        <v>592</v>
      </c>
      <c r="L366">
        <f>_xlfn.XLOOKUP(AllDataCorrected[[#This Row],[Site Name]],Tables!$B$12:$B$78, Tables!C$12:C$78)</f>
        <v>51.984954782608689</v>
      </c>
      <c r="M366">
        <f>_xlfn.XLOOKUP(AllDataCorrected[[#This Row],[Site Name]],Tables!$B$12:$B$78, Tables!D$12:D$78)</f>
        <v>-2.1744283478260868</v>
      </c>
      <c r="N366" t="s">
        <v>29</v>
      </c>
      <c r="O366">
        <v>822</v>
      </c>
      <c r="P366">
        <v>9</v>
      </c>
      <c r="Q366">
        <v>10</v>
      </c>
      <c r="R366" t="str">
        <f>IF(AllDataCorrected[[#This Row],[Nitrate (PPM)]]&gt;2, "4. Very high (&gt;2ppm)", IF(AllDataCorrected[[#This Row],[Nitrate (PPM)]]&gt;1, "3. High (1-2ppm)", IF(AllDataCorrected[[#This Row],[Nitrate (PPM)]]&gt;0.5, "2. Some evidence (0.5-1ppm)", IF(AllDataCorrected[[#This Row],[Nitrate (PPM)]]&gt;=0, "1. No evidence (&lt;0.5ppm)"))))</f>
        <v>4. Very high (&gt;2ppm)</v>
      </c>
      <c r="S366">
        <v>0.28999999999999998</v>
      </c>
      <c r="T3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6">
        <v>2</v>
      </c>
      <c r="V366" t="s">
        <v>593</v>
      </c>
    </row>
    <row r="367" spans="1:22" x14ac:dyDescent="0.25">
      <c r="A367" t="s">
        <v>594</v>
      </c>
      <c r="B367" s="2">
        <v>45317</v>
      </c>
      <c r="C367" t="str" cm="1">
        <f t="array" ref="C3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7">
        <v>2023</v>
      </c>
      <c r="E367" s="1">
        <v>0.64236111111111116</v>
      </c>
      <c r="F36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7" t="str">
        <f>_xlfn.XLOOKUP(AllDataCorrected[[#This Row],[Location Name]], Locations[Location Name],Locations[Group As])</f>
        <v>Twyning Fleet</v>
      </c>
      <c r="H367" t="e" vm="1">
        <f>_xlfn.XLOOKUP(AllDataCorrected[[#This Row],[Site Name]],LocationsKey[Site Name],LocationsKey[District])</f>
        <v>#VALUE!</v>
      </c>
      <c r="I367" t="str">
        <f>_xlfn.XLOOKUP(AllDataCorrected[[#This Row],[Site Name]],LocationsKey[Site Name],LocationsKey[Town])</f>
        <v>Twyning Green</v>
      </c>
      <c r="J367" t="str">
        <f>_xlfn.XLOOKUP(AllDataCorrected[[#This Row],[Site Name]],LocationsKey[Site Name], LocationsKey[Waterway])</f>
        <v>Avon</v>
      </c>
      <c r="K367" t="s">
        <v>54</v>
      </c>
      <c r="L367">
        <f>_xlfn.XLOOKUP(AllDataCorrected[[#This Row],[Site Name]],Tables!$B$12:$B$78, Tables!C$12:C$78)</f>
        <v>52.027190153846163</v>
      </c>
      <c r="M367">
        <f>_xlfn.XLOOKUP(AllDataCorrected[[#This Row],[Site Name]],Tables!$B$12:$B$78, Tables!D$12:D$78)</f>
        <v>-2.1406086923076924</v>
      </c>
      <c r="N367" t="s">
        <v>29</v>
      </c>
      <c r="O367">
        <v>1580</v>
      </c>
      <c r="P367">
        <v>10.4</v>
      </c>
      <c r="Q367">
        <v>3</v>
      </c>
      <c r="R367" t="str">
        <f>IF(AllDataCorrected[[#This Row],[Nitrate (PPM)]]&gt;2, "4. Very high (&gt;2ppm)", IF(AllDataCorrected[[#This Row],[Nitrate (PPM)]]&gt;1, "3. High (1-2ppm)", IF(AllDataCorrected[[#This Row],[Nitrate (PPM)]]&gt;0.5, "2. Some evidence (0.5-1ppm)", IF(AllDataCorrected[[#This Row],[Nitrate (PPM)]]&gt;=0, "1. No evidence (&lt;0.5ppm)"))))</f>
        <v>4. Very high (&gt;2ppm)</v>
      </c>
      <c r="S367">
        <v>0.68</v>
      </c>
      <c r="T3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7">
        <v>0</v>
      </c>
      <c r="V367" t="s">
        <v>595</v>
      </c>
    </row>
    <row r="368" spans="1:22" x14ac:dyDescent="0.25">
      <c r="A368" t="s">
        <v>596</v>
      </c>
      <c r="B368" s="2">
        <v>45318</v>
      </c>
      <c r="C368" t="str" cm="1">
        <f t="array" ref="C3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8">
        <v>2023</v>
      </c>
      <c r="E368" s="1">
        <v>0.46458333333333335</v>
      </c>
      <c r="F3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8" t="str">
        <f>_xlfn.XLOOKUP(AllDataCorrected[[#This Row],[Location Name]], Locations[Location Name],Locations[Group As])</f>
        <v>The Ford, Langley</v>
      </c>
      <c r="H368" t="e" vm="2">
        <f>_xlfn.XLOOKUP(AllDataCorrected[[#This Row],[Site Name]],LocationsKey[Site Name],LocationsKey[District])</f>
        <v>#VALUE!</v>
      </c>
      <c r="I368" t="str">
        <f>_xlfn.XLOOKUP(AllDataCorrected[[#This Row],[Site Name]],LocationsKey[Site Name],LocationsKey[Town])</f>
        <v>Langley</v>
      </c>
      <c r="J368" t="str">
        <f>_xlfn.XLOOKUP(AllDataCorrected[[#This Row],[Site Name]],LocationsKey[Site Name], LocationsKey[Waterway])</f>
        <v>Langley Ford</v>
      </c>
      <c r="K368" t="s">
        <v>557</v>
      </c>
      <c r="L368">
        <f>_xlfn.XLOOKUP(AllDataCorrected[[#This Row],[Site Name]],Tables!$B$12:$B$78, Tables!C$12:C$78)</f>
        <v>52.261724821428579</v>
      </c>
      <c r="M368">
        <f>_xlfn.XLOOKUP(AllDataCorrected[[#This Row],[Site Name]],Tables!$B$12:$B$78, Tables!D$12:D$78)</f>
        <v>-1.719408857142857</v>
      </c>
      <c r="N368" t="s">
        <v>29</v>
      </c>
      <c r="O368">
        <v>705</v>
      </c>
      <c r="P368">
        <v>6.9</v>
      </c>
      <c r="Q368">
        <v>5</v>
      </c>
      <c r="R368" t="str">
        <f>IF(AllDataCorrected[[#This Row],[Nitrate (PPM)]]&gt;2, "4. Very high (&gt;2ppm)", IF(AllDataCorrected[[#This Row],[Nitrate (PPM)]]&gt;1, "3. High (1-2ppm)", IF(AllDataCorrected[[#This Row],[Nitrate (PPM)]]&gt;0.5, "2. Some evidence (0.5-1ppm)", IF(AllDataCorrected[[#This Row],[Nitrate (PPM)]]&gt;=0, "1. No evidence (&lt;0.5ppm)"))))</f>
        <v>4. Very high (&gt;2ppm)</v>
      </c>
      <c r="S368">
        <v>0.62</v>
      </c>
      <c r="T3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8">
        <v>0.32</v>
      </c>
      <c r="V368" t="s">
        <v>597</v>
      </c>
    </row>
    <row r="369" spans="1:22" x14ac:dyDescent="0.25">
      <c r="A369" t="s">
        <v>598</v>
      </c>
      <c r="B369" s="2">
        <v>45318</v>
      </c>
      <c r="C369" t="str" cm="1">
        <f t="array" ref="C3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9">
        <v>2023</v>
      </c>
      <c r="E369" s="1">
        <v>0.46805555555555556</v>
      </c>
      <c r="F3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9" t="str">
        <f>_xlfn.XLOOKUP(AllDataCorrected[[#This Row],[Location Name]], Locations[Location Name],Locations[Group As])</f>
        <v>Black Bear</v>
      </c>
      <c r="H369" t="e" vm="1">
        <f>_xlfn.XLOOKUP(AllDataCorrected[[#This Row],[Site Name]],LocationsKey[Site Name],LocationsKey[District])</f>
        <v>#VALUE!</v>
      </c>
      <c r="I369" t="e" vm="1">
        <f>_xlfn.XLOOKUP(AllDataCorrected[[#This Row],[Site Name]],LocationsKey[Site Name],LocationsKey[Town])</f>
        <v>#VALUE!</v>
      </c>
      <c r="J369" t="str">
        <f>_xlfn.XLOOKUP(AllDataCorrected[[#This Row],[Site Name]],LocationsKey[Site Name], LocationsKey[Waterway])</f>
        <v>Avon</v>
      </c>
      <c r="K369" t="s">
        <v>567</v>
      </c>
      <c r="L369">
        <f>_xlfn.XLOOKUP(AllDataCorrected[[#This Row],[Site Name]],Tables!$B$12:$B$78, Tables!C$12:C$78)</f>
        <v>51.997435214285723</v>
      </c>
      <c r="M369">
        <f>_xlfn.XLOOKUP(AllDataCorrected[[#This Row],[Site Name]],Tables!$B$12:$B$78, Tables!D$12:D$78)</f>
        <v>-2.1562056785714288</v>
      </c>
      <c r="N369" t="s">
        <v>23</v>
      </c>
      <c r="O369">
        <v>834</v>
      </c>
      <c r="P369">
        <v>8.3000000000000007</v>
      </c>
      <c r="Q369">
        <v>9</v>
      </c>
      <c r="R369" t="str">
        <f>IF(AllDataCorrected[[#This Row],[Nitrate (PPM)]]&gt;2, "4. Very high (&gt;2ppm)", IF(AllDataCorrected[[#This Row],[Nitrate (PPM)]]&gt;1, "3. High (1-2ppm)", IF(AllDataCorrected[[#This Row],[Nitrate (PPM)]]&gt;0.5, "2. Some evidence (0.5-1ppm)", IF(AllDataCorrected[[#This Row],[Nitrate (PPM)]]&gt;=0, "1. No evidence (&lt;0.5ppm)"))))</f>
        <v>4. Very high (&gt;2ppm)</v>
      </c>
      <c r="S369">
        <v>0.83</v>
      </c>
      <c r="T3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9">
        <v>0</v>
      </c>
    </row>
    <row r="370" spans="1:22" x14ac:dyDescent="0.25">
      <c r="A370" t="s">
        <v>599</v>
      </c>
      <c r="B370" s="2">
        <v>45318</v>
      </c>
      <c r="C370" t="str" cm="1">
        <f t="array" ref="C3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0">
        <v>2023</v>
      </c>
      <c r="E370" s="1">
        <v>0.5</v>
      </c>
      <c r="F3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0" t="str">
        <f>_xlfn.XLOOKUP(AllDataCorrected[[#This Row],[Location Name]], Locations[Location Name],Locations[Group As])</f>
        <v>Carrant Bredon Rd</v>
      </c>
      <c r="H370" t="e" vm="1">
        <f>_xlfn.XLOOKUP(AllDataCorrected[[#This Row],[Site Name]],LocationsKey[Site Name],LocationsKey[District])</f>
        <v>#VALUE!</v>
      </c>
      <c r="I370" t="e" vm="1">
        <f>_xlfn.XLOOKUP(AllDataCorrected[[#This Row],[Site Name]],LocationsKey[Site Name],LocationsKey[Town])</f>
        <v>#VALUE!</v>
      </c>
      <c r="J370" t="str">
        <f>_xlfn.XLOOKUP(AllDataCorrected[[#This Row],[Site Name]],LocationsKey[Site Name], LocationsKey[Waterway])</f>
        <v>Carrant</v>
      </c>
      <c r="K370" t="s">
        <v>600</v>
      </c>
      <c r="L370">
        <f>_xlfn.XLOOKUP(AllDataCorrected[[#This Row],[Site Name]],Tables!$B$12:$B$78, Tables!C$12:C$78)</f>
        <v>51.996416567567572</v>
      </c>
      <c r="M370">
        <f>_xlfn.XLOOKUP(AllDataCorrected[[#This Row],[Site Name]],Tables!$B$12:$B$78, Tables!D$12:D$78)</f>
        <v>-2.1556626756756749</v>
      </c>
      <c r="N370" t="s">
        <v>23</v>
      </c>
      <c r="O370">
        <v>772</v>
      </c>
      <c r="P370">
        <v>8.1</v>
      </c>
      <c r="Q370">
        <v>4</v>
      </c>
      <c r="R370" t="str">
        <f>IF(AllDataCorrected[[#This Row],[Nitrate (PPM)]]&gt;2, "4. Very high (&gt;2ppm)", IF(AllDataCorrected[[#This Row],[Nitrate (PPM)]]&gt;1, "3. High (1-2ppm)", IF(AllDataCorrected[[#This Row],[Nitrate (PPM)]]&gt;0.5, "2. Some evidence (0.5-1ppm)", IF(AllDataCorrected[[#This Row],[Nitrate (PPM)]]&gt;=0, "1. No evidence (&lt;0.5ppm)"))))</f>
        <v>4. Very high (&gt;2ppm)</v>
      </c>
      <c r="S370">
        <v>0.2</v>
      </c>
      <c r="T3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0">
        <v>0.3</v>
      </c>
    </row>
    <row r="371" spans="1:22" x14ac:dyDescent="0.25">
      <c r="A371" t="s">
        <v>601</v>
      </c>
      <c r="B371" s="2">
        <v>45319</v>
      </c>
      <c r="C371" t="str" cm="1">
        <f t="array" ref="C3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1">
        <v>2023</v>
      </c>
      <c r="E371" s="1">
        <v>0.4513888888888889</v>
      </c>
      <c r="F3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1" t="str">
        <f>_xlfn.XLOOKUP(AllDataCorrected[[#This Row],[Location Name]], Locations[Location Name],Locations[Group As])</f>
        <v>Fell Mill Footbridge</v>
      </c>
      <c r="H371" t="e" vm="2">
        <f>_xlfn.XLOOKUP(AllDataCorrected[[#This Row],[Site Name]],LocationsKey[Site Name],LocationsKey[District])</f>
        <v>#VALUE!</v>
      </c>
      <c r="I371" t="e" vm="10">
        <f>_xlfn.XLOOKUP(AllDataCorrected[[#This Row],[Site Name]],LocationsKey[Site Name],LocationsKey[Town])</f>
        <v>#VALUE!</v>
      </c>
      <c r="J371" t="str">
        <f>_xlfn.XLOOKUP(AllDataCorrected[[#This Row],[Site Name]],LocationsKey[Site Name], LocationsKey[Waterway])</f>
        <v>Stour</v>
      </c>
      <c r="K371" t="s">
        <v>496</v>
      </c>
      <c r="L371">
        <f>_xlfn.XLOOKUP(AllDataCorrected[[#This Row],[Site Name]],Tables!$B$12:$B$78, Tables!C$12:C$78)</f>
        <v>52.067966827586183</v>
      </c>
      <c r="M371">
        <f>_xlfn.XLOOKUP(AllDataCorrected[[#This Row],[Site Name]],Tables!$B$12:$B$78, Tables!D$12:D$78)</f>
        <v>-1.6118101379310343</v>
      </c>
      <c r="N371" t="s">
        <v>29</v>
      </c>
      <c r="O371">
        <v>622</v>
      </c>
      <c r="P371">
        <v>6.9</v>
      </c>
      <c r="Q371">
        <v>5</v>
      </c>
      <c r="R371" t="str">
        <f>IF(AllDataCorrected[[#This Row],[Nitrate (PPM)]]&gt;2, "4. Very high (&gt;2ppm)", IF(AllDataCorrected[[#This Row],[Nitrate (PPM)]]&gt;1, "3. High (1-2ppm)", IF(AllDataCorrected[[#This Row],[Nitrate (PPM)]]&gt;0.5, "2. Some evidence (0.5-1ppm)", IF(AllDataCorrected[[#This Row],[Nitrate (PPM)]]&gt;=0, "1. No evidence (&lt;0.5ppm)"))))</f>
        <v>4. Very high (&gt;2ppm)</v>
      </c>
      <c r="S371">
        <v>0.19</v>
      </c>
      <c r="T3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1">
        <v>1.22</v>
      </c>
    </row>
    <row r="372" spans="1:22" x14ac:dyDescent="0.25">
      <c r="A372" t="s">
        <v>602</v>
      </c>
      <c r="B372" s="2">
        <v>45319</v>
      </c>
      <c r="C372" t="str" cm="1">
        <f t="array" ref="C3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2">
        <v>2023</v>
      </c>
      <c r="E372" s="1">
        <v>0.58402777777777781</v>
      </c>
      <c r="F3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2" t="str">
        <f>_xlfn.XLOOKUP(AllDataCorrected[[#This Row],[Location Name]], Locations[Location Name],Locations[Group As])</f>
        <v>Abbey Mill</v>
      </c>
      <c r="H372" t="e" vm="1">
        <f>_xlfn.XLOOKUP(AllDataCorrected[[#This Row],[Site Name]],LocationsKey[Site Name],LocationsKey[District])</f>
        <v>#VALUE!</v>
      </c>
      <c r="I372" t="e" vm="1">
        <f>_xlfn.XLOOKUP(AllDataCorrected[[#This Row],[Site Name]],LocationsKey[Site Name],LocationsKey[Town])</f>
        <v>#VALUE!</v>
      </c>
      <c r="J372" t="str">
        <f>_xlfn.XLOOKUP(AllDataCorrected[[#This Row],[Site Name]],LocationsKey[Site Name], LocationsKey[Waterway])</f>
        <v>Avon</v>
      </c>
      <c r="K372" t="s">
        <v>25</v>
      </c>
      <c r="L372">
        <f>_xlfn.XLOOKUP(AllDataCorrected[[#This Row],[Site Name]],Tables!$B$12:$B$78, Tables!C$12:C$78)</f>
        <v>51.991389555555564</v>
      </c>
      <c r="M372">
        <f>_xlfn.XLOOKUP(AllDataCorrected[[#This Row],[Site Name]],Tables!$B$12:$B$78, Tables!D$12:D$78)</f>
        <v>-2.1620794000000005</v>
      </c>
      <c r="N372" t="s">
        <v>23</v>
      </c>
      <c r="O372">
        <v>793</v>
      </c>
      <c r="P372">
        <v>8.8000000000000007</v>
      </c>
      <c r="Q372">
        <v>5</v>
      </c>
      <c r="R372" t="str">
        <f>IF(AllDataCorrected[[#This Row],[Nitrate (PPM)]]&gt;2, "4. Very high (&gt;2ppm)", IF(AllDataCorrected[[#This Row],[Nitrate (PPM)]]&gt;1, "3. High (1-2ppm)", IF(AllDataCorrected[[#This Row],[Nitrate (PPM)]]&gt;0.5, "2. Some evidence (0.5-1ppm)", IF(AllDataCorrected[[#This Row],[Nitrate (PPM)]]&gt;=0, "1. No evidence (&lt;0.5ppm)"))))</f>
        <v>4. Very high (&gt;2ppm)</v>
      </c>
      <c r="S372">
        <v>0.69</v>
      </c>
      <c r="T3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2">
        <v>0.5</v>
      </c>
    </row>
    <row r="373" spans="1:22" x14ac:dyDescent="0.25">
      <c r="A373" t="s">
        <v>603</v>
      </c>
      <c r="B373" s="2">
        <v>45319</v>
      </c>
      <c r="C373" t="str" cm="1">
        <f t="array" ref="C3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3">
        <v>2023</v>
      </c>
      <c r="E373" s="1">
        <v>0.61805555555555558</v>
      </c>
      <c r="F3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3" t="str">
        <f>_xlfn.XLOOKUP(AllDataCorrected[[#This Row],[Location Name]], Locations[Location Name],Locations[Group As])</f>
        <v>Clifford Chambers Mill Bridge</v>
      </c>
      <c r="H373" t="e" vm="2">
        <f>_xlfn.XLOOKUP(AllDataCorrected[[#This Row],[Site Name]],LocationsKey[Site Name],LocationsKey[District])</f>
        <v>#VALUE!</v>
      </c>
      <c r="I373" t="e" vm="12">
        <f>_xlfn.XLOOKUP(AllDataCorrected[[#This Row],[Site Name]],LocationsKey[Site Name],LocationsKey[Town])</f>
        <v>#VALUE!</v>
      </c>
      <c r="J373" t="str">
        <f>_xlfn.XLOOKUP(AllDataCorrected[[#This Row],[Site Name]],LocationsKey[Site Name], LocationsKey[Waterway])</f>
        <v>Stour</v>
      </c>
      <c r="K373" t="s">
        <v>263</v>
      </c>
      <c r="L373">
        <f>_xlfn.XLOOKUP(AllDataCorrected[[#This Row],[Site Name]],Tables!$B$12:$B$78, Tables!C$12:C$78)</f>
        <v>52.166358517241363</v>
      </c>
      <c r="M373">
        <f>_xlfn.XLOOKUP(AllDataCorrected[[#This Row],[Site Name]],Tables!$B$12:$B$78, Tables!D$12:D$78)</f>
        <v>-1.7080419310344837</v>
      </c>
      <c r="N373" t="s">
        <v>66</v>
      </c>
      <c r="O373">
        <v>640</v>
      </c>
      <c r="P373">
        <v>9.5</v>
      </c>
      <c r="Q373">
        <v>7</v>
      </c>
      <c r="R373" t="str">
        <f>IF(AllDataCorrected[[#This Row],[Nitrate (PPM)]]&gt;2, "4. Very high (&gt;2ppm)", IF(AllDataCorrected[[#This Row],[Nitrate (PPM)]]&gt;1, "3. High (1-2ppm)", IF(AllDataCorrected[[#This Row],[Nitrate (PPM)]]&gt;0.5, "2. Some evidence (0.5-1ppm)", IF(AllDataCorrected[[#This Row],[Nitrate (PPM)]]&gt;=0, "1. No evidence (&lt;0.5ppm)"))))</f>
        <v>4. Very high (&gt;2ppm)</v>
      </c>
      <c r="S373">
        <v>0.65</v>
      </c>
      <c r="T3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3">
        <v>0.8</v>
      </c>
      <c r="V373" t="s">
        <v>529</v>
      </c>
    </row>
    <row r="374" spans="1:22" x14ac:dyDescent="0.25">
      <c r="A374" t="s">
        <v>604</v>
      </c>
      <c r="B374" s="2">
        <v>45319</v>
      </c>
      <c r="C374" t="str" cm="1">
        <f t="array" ref="C3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4">
        <v>2023</v>
      </c>
      <c r="E374" s="1">
        <v>0.625</v>
      </c>
      <c r="F3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4" t="str">
        <f>_xlfn.XLOOKUP(AllDataCorrected[[#This Row],[Location Name]], Locations[Location Name],Locations[Group As])</f>
        <v>Sherbourne Brook 1</v>
      </c>
      <c r="H374" t="e" vm="2">
        <f>_xlfn.XLOOKUP(AllDataCorrected[[#This Row],[Site Name]],LocationsKey[Site Name],LocationsKey[District])</f>
        <v>#VALUE!</v>
      </c>
      <c r="I374" t="e" vm="16">
        <f>_xlfn.XLOOKUP(AllDataCorrected[[#This Row],[Site Name]],LocationsKey[Site Name],LocationsKey[Town])</f>
        <v>#VALUE!</v>
      </c>
      <c r="J374" t="str">
        <f>_xlfn.XLOOKUP(AllDataCorrected[[#This Row],[Site Name]],LocationsKey[Site Name], LocationsKey[Waterway])</f>
        <v>Sherbourne Brook</v>
      </c>
      <c r="K374" t="s">
        <v>570</v>
      </c>
      <c r="L374">
        <f>_xlfn.XLOOKUP(AllDataCorrected[[#This Row],[Site Name]],Tables!$B$12:$B$78, Tables!C$12:C$78)</f>
        <v>52.252500000000033</v>
      </c>
      <c r="M374">
        <f>_xlfn.XLOOKUP(AllDataCorrected[[#This Row],[Site Name]],Tables!$B$12:$B$78, Tables!D$12:D$78)</f>
        <v>-1.6685000000000012</v>
      </c>
      <c r="N374" t="s">
        <v>23</v>
      </c>
      <c r="O374">
        <v>1060</v>
      </c>
      <c r="P374">
        <v>8.9</v>
      </c>
      <c r="Q374">
        <v>6</v>
      </c>
      <c r="R374" t="str">
        <f>IF(AllDataCorrected[[#This Row],[Nitrate (PPM)]]&gt;2, "4. Very high (&gt;2ppm)", IF(AllDataCorrected[[#This Row],[Nitrate (PPM)]]&gt;1, "3. High (1-2ppm)", IF(AllDataCorrected[[#This Row],[Nitrate (PPM)]]&gt;0.5, "2. Some evidence (0.5-1ppm)", IF(AllDataCorrected[[#This Row],[Nitrate (PPM)]]&gt;=0, "1. No evidence (&lt;0.5ppm)"))))</f>
        <v>4. Very high (&gt;2ppm)</v>
      </c>
      <c r="S374">
        <v>0.43</v>
      </c>
      <c r="T3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4">
        <v>0.5</v>
      </c>
    </row>
    <row r="375" spans="1:22" x14ac:dyDescent="0.25">
      <c r="A375" t="s">
        <v>605</v>
      </c>
      <c r="B375" s="2">
        <v>45319</v>
      </c>
      <c r="C375" t="str" cm="1">
        <f t="array" ref="C3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5">
        <v>2023</v>
      </c>
      <c r="E375" s="1">
        <v>0.63541666666666663</v>
      </c>
      <c r="F3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5" t="str">
        <f>_xlfn.XLOOKUP(AllDataCorrected[[#This Row],[Location Name]], Locations[Location Name],Locations[Group As])</f>
        <v>Bell Brook 1</v>
      </c>
      <c r="H375" t="e" vm="2">
        <f>_xlfn.XLOOKUP(AllDataCorrected[[#This Row],[Site Name]],LocationsKey[Site Name],LocationsKey[District])</f>
        <v>#VALUE!</v>
      </c>
      <c r="I375" t="e" vm="15">
        <f>_xlfn.XLOOKUP(AllDataCorrected[[#This Row],[Site Name]],LocationsKey[Site Name],LocationsKey[Town])</f>
        <v>#VALUE!</v>
      </c>
      <c r="J375" t="str">
        <f>_xlfn.XLOOKUP(AllDataCorrected[[#This Row],[Site Name]],LocationsKey[Site Name], LocationsKey[Waterway])</f>
        <v>Bell Brook</v>
      </c>
      <c r="K375" t="s">
        <v>534</v>
      </c>
      <c r="L375">
        <f>_xlfn.XLOOKUP(AllDataCorrected[[#This Row],[Site Name]],Tables!$B$12:$B$78, Tables!C$12:C$78)</f>
        <v>52.24489999999998</v>
      </c>
      <c r="M375">
        <f>_xlfn.XLOOKUP(AllDataCorrected[[#This Row],[Site Name]],Tables!$B$12:$B$78, Tables!D$12:D$78)</f>
        <v>-1.6617000000000013</v>
      </c>
      <c r="N375" t="s">
        <v>23</v>
      </c>
      <c r="O375">
        <v>710</v>
      </c>
      <c r="P375">
        <v>8.8000000000000007</v>
      </c>
      <c r="Q375">
        <v>8</v>
      </c>
      <c r="R375" t="str">
        <f>IF(AllDataCorrected[[#This Row],[Nitrate (PPM)]]&gt;2, "4. Very high (&gt;2ppm)", IF(AllDataCorrected[[#This Row],[Nitrate (PPM)]]&gt;1, "3. High (1-2ppm)", IF(AllDataCorrected[[#This Row],[Nitrate (PPM)]]&gt;0.5, "2. Some evidence (0.5-1ppm)", IF(AllDataCorrected[[#This Row],[Nitrate (PPM)]]&gt;=0, "1. No evidence (&lt;0.5ppm)"))))</f>
        <v>4. Very high (&gt;2ppm)</v>
      </c>
      <c r="S375">
        <v>0.31</v>
      </c>
      <c r="T3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5">
        <v>0.5</v>
      </c>
    </row>
    <row r="376" spans="1:22" x14ac:dyDescent="0.25">
      <c r="A376" t="s">
        <v>606</v>
      </c>
      <c r="B376" s="2">
        <v>45320</v>
      </c>
      <c r="C376" t="str" cm="1">
        <f t="array" ref="C3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6">
        <v>2023</v>
      </c>
      <c r="E376" s="1">
        <v>0.40416666666666667</v>
      </c>
      <c r="F3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6" t="str">
        <f>_xlfn.XLOOKUP(AllDataCorrected[[#This Row],[Location Name]], Locations[Location Name],Locations[Group As])</f>
        <v>Stour Stretton-on-Fosse Village</v>
      </c>
      <c r="H376" t="e" vm="2">
        <f>_xlfn.XLOOKUP(AllDataCorrected[[#This Row],[Site Name]],LocationsKey[Site Name],LocationsKey[District])</f>
        <v>#VALUE!</v>
      </c>
      <c r="I376" t="e" vm="14">
        <f>_xlfn.XLOOKUP(AllDataCorrected[[#This Row],[Site Name]],LocationsKey[Site Name],LocationsKey[Town])</f>
        <v>#VALUE!</v>
      </c>
      <c r="J376" t="str">
        <f>_xlfn.XLOOKUP(AllDataCorrected[[#This Row],[Site Name]],LocationsKey[Site Name], LocationsKey[Waterway])</f>
        <v>Stour</v>
      </c>
      <c r="K376" t="s">
        <v>544</v>
      </c>
      <c r="L376">
        <f>_xlfn.XLOOKUP(AllDataCorrected[[#This Row],[Site Name]],Tables!$B$12:$B$78, Tables!C$12:C$78)</f>
        <v>52.046517558823524</v>
      </c>
      <c r="M376">
        <f>_xlfn.XLOOKUP(AllDataCorrected[[#This Row],[Site Name]],Tables!$B$12:$B$78, Tables!D$12:D$78)</f>
        <v>-1.6734143529411767</v>
      </c>
      <c r="N376" t="s">
        <v>66</v>
      </c>
      <c r="O376">
        <v>698</v>
      </c>
      <c r="P376">
        <v>9.1</v>
      </c>
      <c r="Q376">
        <v>3</v>
      </c>
      <c r="R376" t="str">
        <f>IF(AllDataCorrected[[#This Row],[Nitrate (PPM)]]&gt;2, "4. Very high (&gt;2ppm)", IF(AllDataCorrected[[#This Row],[Nitrate (PPM)]]&gt;1, "3. High (1-2ppm)", IF(AllDataCorrected[[#This Row],[Nitrate (PPM)]]&gt;0.5, "2. Some evidence (0.5-1ppm)", IF(AllDataCorrected[[#This Row],[Nitrate (PPM)]]&gt;=0, "1. No evidence (&lt;0.5ppm)"))))</f>
        <v>4. Very high (&gt;2ppm)</v>
      </c>
      <c r="S376">
        <v>1.1499999999999999</v>
      </c>
      <c r="T3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6">
        <v>0.15</v>
      </c>
    </row>
    <row r="377" spans="1:22" x14ac:dyDescent="0.25">
      <c r="A377" t="s">
        <v>607</v>
      </c>
      <c r="B377" s="2">
        <v>45320</v>
      </c>
      <c r="C377" t="str" cm="1">
        <f t="array" ref="C3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7">
        <v>2023</v>
      </c>
      <c r="E377" s="1">
        <v>0.42291666666666666</v>
      </c>
      <c r="F3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7" t="str">
        <f>_xlfn.XLOOKUP(AllDataCorrected[[#This Row],[Location Name]], Locations[Location Name],Locations[Group As])</f>
        <v>Stour Stretton-on-Fosse Sewage Works</v>
      </c>
      <c r="H377" t="e" vm="2">
        <f>_xlfn.XLOOKUP(AllDataCorrected[[#This Row],[Site Name]],LocationsKey[Site Name],LocationsKey[District])</f>
        <v>#VALUE!</v>
      </c>
      <c r="I377" t="e" vm="14">
        <f>_xlfn.XLOOKUP(AllDataCorrected[[#This Row],[Site Name]],LocationsKey[Site Name],LocationsKey[Town])</f>
        <v>#VALUE!</v>
      </c>
      <c r="J377" t="str">
        <f>_xlfn.XLOOKUP(AllDataCorrected[[#This Row],[Site Name]],LocationsKey[Site Name], LocationsKey[Waterway])</f>
        <v>Stour</v>
      </c>
      <c r="K377" t="s">
        <v>335</v>
      </c>
      <c r="L377">
        <f>_xlfn.XLOOKUP(AllDataCorrected[[#This Row],[Site Name]],Tables!$B$12:$B$78, Tables!C$12:C$78)</f>
        <v>52.045653647058806</v>
      </c>
      <c r="M377">
        <f>_xlfn.XLOOKUP(AllDataCorrected[[#This Row],[Site Name]],Tables!$B$12:$B$78, Tables!D$12:D$78)</f>
        <v>-1.6719221470588235</v>
      </c>
      <c r="N377" t="s">
        <v>29</v>
      </c>
      <c r="O377">
        <v>741</v>
      </c>
      <c r="P377">
        <v>9.6999999999999993</v>
      </c>
      <c r="Q377">
        <v>4</v>
      </c>
      <c r="R377" t="str">
        <f>IF(AllDataCorrected[[#This Row],[Nitrate (PPM)]]&gt;2, "4. Very high (&gt;2ppm)", IF(AllDataCorrected[[#This Row],[Nitrate (PPM)]]&gt;1, "3. High (1-2ppm)", IF(AllDataCorrected[[#This Row],[Nitrate (PPM)]]&gt;0.5, "2. Some evidence (0.5-1ppm)", IF(AllDataCorrected[[#This Row],[Nitrate (PPM)]]&gt;=0, "1. No evidence (&lt;0.5ppm)"))))</f>
        <v>4. Very high (&gt;2ppm)</v>
      </c>
      <c r="S377">
        <v>2.5</v>
      </c>
      <c r="T3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7">
        <v>0.25</v>
      </c>
    </row>
    <row r="378" spans="1:22" x14ac:dyDescent="0.25">
      <c r="A378" t="s">
        <v>608</v>
      </c>
      <c r="B378" s="2">
        <v>45322</v>
      </c>
      <c r="C378" t="str" cm="1">
        <f t="array" ref="C3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8">
        <v>2023</v>
      </c>
      <c r="E378" s="1">
        <v>0.48958333333333331</v>
      </c>
      <c r="F3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8" t="str">
        <f>_xlfn.XLOOKUP(AllDataCorrected[[#This Row],[Location Name]], Locations[Location Name],Locations[Group As])</f>
        <v>Swilgate</v>
      </c>
      <c r="H378" t="e" vm="1">
        <f>_xlfn.XLOOKUP(AllDataCorrected[[#This Row],[Site Name]],LocationsKey[Site Name],LocationsKey[District])</f>
        <v>#VALUE!</v>
      </c>
      <c r="I378" t="e" vm="1">
        <f>_xlfn.XLOOKUP(AllDataCorrected[[#This Row],[Site Name]],LocationsKey[Site Name],LocationsKey[Town])</f>
        <v>#VALUE!</v>
      </c>
      <c r="J378" t="str">
        <f>_xlfn.XLOOKUP(AllDataCorrected[[#This Row],[Site Name]],LocationsKey[Site Name], LocationsKey[Waterway])</f>
        <v>Swilgate</v>
      </c>
      <c r="K378" t="s">
        <v>84</v>
      </c>
      <c r="L378">
        <f>_xlfn.XLOOKUP(AllDataCorrected[[#This Row],[Site Name]],Tables!$B$12:$B$78, Tables!C$12:C$78)</f>
        <v>51.9885442</v>
      </c>
      <c r="M378">
        <f>_xlfn.XLOOKUP(AllDataCorrected[[#This Row],[Site Name]],Tables!$B$12:$B$78, Tables!D$12:D$78)</f>
        <v>-2.1639010000000001</v>
      </c>
      <c r="N378" t="s">
        <v>23</v>
      </c>
      <c r="O378">
        <v>105</v>
      </c>
      <c r="P378">
        <v>9</v>
      </c>
      <c r="Q378">
        <v>3</v>
      </c>
      <c r="R378" t="str">
        <f>IF(AllDataCorrected[[#This Row],[Nitrate (PPM)]]&gt;2, "4. Very high (&gt;2ppm)", IF(AllDataCorrected[[#This Row],[Nitrate (PPM)]]&gt;1, "3. High (1-2ppm)", IF(AllDataCorrected[[#This Row],[Nitrate (PPM)]]&gt;0.5, "2. Some evidence (0.5-1ppm)", IF(AllDataCorrected[[#This Row],[Nitrate (PPM)]]&gt;=0, "1. No evidence (&lt;0.5ppm)"))))</f>
        <v>4. Very high (&gt;2ppm)</v>
      </c>
      <c r="S378">
        <v>0.49</v>
      </c>
      <c r="T3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8">
        <v>0</v>
      </c>
    </row>
    <row r="379" spans="1:22" x14ac:dyDescent="0.25">
      <c r="A379" t="s">
        <v>609</v>
      </c>
      <c r="B379" s="2">
        <v>45322</v>
      </c>
      <c r="C379" t="str" cm="1">
        <f t="array" ref="C3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9">
        <v>2023</v>
      </c>
      <c r="E379" s="1">
        <v>0.60416666666666663</v>
      </c>
      <c r="F3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9" t="str">
        <f>_xlfn.XLOOKUP(AllDataCorrected[[#This Row],[Location Name]], Locations[Location Name],Locations[Group As])</f>
        <v>Stour Newbold Mill</v>
      </c>
      <c r="H379" t="e" vm="2">
        <f>_xlfn.XLOOKUP(AllDataCorrected[[#This Row],[Site Name]],LocationsKey[Site Name],LocationsKey[District])</f>
        <v>#VALUE!</v>
      </c>
      <c r="I379" t="e" vm="8">
        <f>_xlfn.XLOOKUP(AllDataCorrected[[#This Row],[Site Name]],LocationsKey[Site Name],LocationsKey[Town])</f>
        <v>#VALUE!</v>
      </c>
      <c r="J379" t="str">
        <f>_xlfn.XLOOKUP(AllDataCorrected[[#This Row],[Site Name]],LocationsKey[Site Name], LocationsKey[Waterway])</f>
        <v>Stour</v>
      </c>
      <c r="K379" t="s">
        <v>140</v>
      </c>
      <c r="L379">
        <f>_xlfn.XLOOKUP(AllDataCorrected[[#This Row],[Site Name]],Tables!$B$12:$B$78, Tables!C$12:C$78)</f>
        <v>52.113052370370362</v>
      </c>
      <c r="M379">
        <f>_xlfn.XLOOKUP(AllDataCorrected[[#This Row],[Site Name]],Tables!$B$12:$B$78, Tables!D$12:D$78)</f>
        <v>-1.6333685185185185</v>
      </c>
      <c r="N379" t="s">
        <v>29</v>
      </c>
      <c r="O379">
        <v>678</v>
      </c>
      <c r="P379">
        <v>8.3000000000000007</v>
      </c>
      <c r="Q379">
        <v>5</v>
      </c>
      <c r="R379" t="str">
        <f>IF(AllDataCorrected[[#This Row],[Nitrate (PPM)]]&gt;2, "4. Very high (&gt;2ppm)", IF(AllDataCorrected[[#This Row],[Nitrate (PPM)]]&gt;1, "3. High (1-2ppm)", IF(AllDataCorrected[[#This Row],[Nitrate (PPM)]]&gt;0.5, "2. Some evidence (0.5-1ppm)", IF(AllDataCorrected[[#This Row],[Nitrate (PPM)]]&gt;=0, "1. No evidence (&lt;0.5ppm)"))))</f>
        <v>4. Very high (&gt;2ppm)</v>
      </c>
      <c r="S379">
        <v>0.23</v>
      </c>
      <c r="T3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9">
        <v>2.5</v>
      </c>
      <c r="V379" t="s">
        <v>610</v>
      </c>
    </row>
    <row r="380" spans="1:22" x14ac:dyDescent="0.25">
      <c r="A380" t="s">
        <v>611</v>
      </c>
      <c r="B380" s="2">
        <v>45323</v>
      </c>
      <c r="C380" t="str" cm="1">
        <f t="array" ref="C3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0">
        <v>2023</v>
      </c>
      <c r="E380" s="1">
        <v>0.46805555555555556</v>
      </c>
      <c r="F3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0" t="str">
        <f>_xlfn.XLOOKUP(AllDataCorrected[[#This Row],[Location Name]], Locations[Location Name],Locations[Group As])</f>
        <v>Stour Willington</v>
      </c>
      <c r="H380" t="e" vm="2">
        <f>_xlfn.XLOOKUP(AllDataCorrected[[#This Row],[Site Name]],LocationsKey[Site Name],LocationsKey[District])</f>
        <v>#VALUE!</v>
      </c>
      <c r="I380" t="str">
        <f>_xlfn.XLOOKUP(AllDataCorrected[[#This Row],[Site Name]],LocationsKey[Site Name],LocationsKey[Town])</f>
        <v>Willington</v>
      </c>
      <c r="J380" t="str">
        <f>_xlfn.XLOOKUP(AllDataCorrected[[#This Row],[Site Name]],LocationsKey[Site Name], LocationsKey[Waterway])</f>
        <v>Stour</v>
      </c>
      <c r="K380" t="s">
        <v>517</v>
      </c>
      <c r="L380">
        <f>_xlfn.XLOOKUP(AllDataCorrected[[#This Row],[Site Name]],Tables!$B$12:$B$78, Tables!C$12:C$78)</f>
        <v>52.053154375000005</v>
      </c>
      <c r="M380">
        <f>_xlfn.XLOOKUP(AllDataCorrected[[#This Row],[Site Name]],Tables!$B$12:$B$78, Tables!D$12:D$78)</f>
        <v>-1.6191991562500001</v>
      </c>
      <c r="N380" t="s">
        <v>23</v>
      </c>
      <c r="O380">
        <v>628</v>
      </c>
      <c r="P380">
        <v>10</v>
      </c>
      <c r="Q380">
        <v>2</v>
      </c>
      <c r="R380" t="str">
        <f>IF(AllDataCorrected[[#This Row],[Nitrate (PPM)]]&gt;2, "4. Very high (&gt;2ppm)", IF(AllDataCorrected[[#This Row],[Nitrate (PPM)]]&gt;1, "3. High (1-2ppm)", IF(AllDataCorrected[[#This Row],[Nitrate (PPM)]]&gt;0.5, "2. Some evidence (0.5-1ppm)", IF(AllDataCorrected[[#This Row],[Nitrate (PPM)]]&gt;=0, "1. No evidence (&lt;0.5ppm)"))))</f>
        <v>3. High (1-2ppm)</v>
      </c>
      <c r="S380">
        <v>0.2</v>
      </c>
      <c r="T3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0">
        <v>0.5</v>
      </c>
    </row>
    <row r="381" spans="1:22" x14ac:dyDescent="0.25">
      <c r="A381" t="s">
        <v>612</v>
      </c>
      <c r="B381" s="2">
        <v>45323</v>
      </c>
      <c r="C381" t="str" cm="1">
        <f t="array" ref="C3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1">
        <v>2023</v>
      </c>
      <c r="E381" s="1">
        <v>0.61597222222222225</v>
      </c>
      <c r="F3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1" t="str">
        <f>_xlfn.XLOOKUP(AllDataCorrected[[#This Row],[Location Name]], Locations[Location Name],Locations[Group As])</f>
        <v>Swiffen Bank</v>
      </c>
      <c r="H381" t="e" vm="2">
        <f>_xlfn.XLOOKUP(AllDataCorrected[[#This Row],[Site Name]],LocationsKey[Site Name],LocationsKey[District])</f>
        <v>#VALUE!</v>
      </c>
      <c r="I381" t="e" vm="13">
        <f>_xlfn.XLOOKUP(AllDataCorrected[[#This Row],[Site Name]],LocationsKey[Site Name],LocationsKey[Town])</f>
        <v>#VALUE!</v>
      </c>
      <c r="J381" t="str">
        <f>_xlfn.XLOOKUP(AllDataCorrected[[#This Row],[Site Name]],LocationsKey[Site Name], LocationsKey[Waterway])</f>
        <v>Avon</v>
      </c>
      <c r="K381" t="s">
        <v>284</v>
      </c>
      <c r="L381">
        <f>_xlfn.XLOOKUP(AllDataCorrected[[#This Row],[Site Name]],Tables!$B$12:$B$78, Tables!C$12:C$78)</f>
        <v>52.206446825000015</v>
      </c>
      <c r="M381">
        <f>_xlfn.XLOOKUP(AllDataCorrected[[#This Row],[Site Name]],Tables!$B$12:$B$78, Tables!D$12:D$78)</f>
        <v>-1.6541684000000003</v>
      </c>
      <c r="N381" t="s">
        <v>29</v>
      </c>
      <c r="O381">
        <v>668</v>
      </c>
      <c r="P381">
        <v>8.8000000000000007</v>
      </c>
      <c r="Q381">
        <v>5</v>
      </c>
      <c r="R381" t="str">
        <f>IF(AllDataCorrected[[#This Row],[Nitrate (PPM)]]&gt;2, "4. Very high (&gt;2ppm)", IF(AllDataCorrected[[#This Row],[Nitrate (PPM)]]&gt;1, "3. High (1-2ppm)", IF(AllDataCorrected[[#This Row],[Nitrate (PPM)]]&gt;0.5, "2. Some evidence (0.5-1ppm)", IF(AllDataCorrected[[#This Row],[Nitrate (PPM)]]&gt;=0, "1. No evidence (&lt;0.5ppm)"))))</f>
        <v>4. Very high (&gt;2ppm)</v>
      </c>
      <c r="S381">
        <v>0.53</v>
      </c>
      <c r="T3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1">
        <v>0</v>
      </c>
      <c r="V381" t="s">
        <v>613</v>
      </c>
    </row>
    <row r="382" spans="1:22" x14ac:dyDescent="0.25">
      <c r="A382" t="s">
        <v>614</v>
      </c>
      <c r="B382" s="2">
        <v>45323</v>
      </c>
      <c r="C382" t="str" cm="1">
        <f t="array" ref="C3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2">
        <v>2023</v>
      </c>
      <c r="E382" s="1">
        <v>0.64583333333333337</v>
      </c>
      <c r="F3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2" t="str">
        <f>_xlfn.XLOOKUP(AllDataCorrected[[#This Row],[Location Name]], Locations[Location Name],Locations[Group As])</f>
        <v>Preston Bagot Canal</v>
      </c>
      <c r="H382" t="e" vm="2">
        <f>_xlfn.XLOOKUP(AllDataCorrected[[#This Row],[Site Name]],LocationsKey[Site Name],LocationsKey[District])</f>
        <v>#VALUE!</v>
      </c>
      <c r="I382" t="e" vm="19">
        <f>_xlfn.XLOOKUP(AllDataCorrected[[#This Row],[Site Name]],LocationsKey[Site Name],LocationsKey[Town])</f>
        <v>#VALUE!</v>
      </c>
      <c r="J382" t="str">
        <f>_xlfn.XLOOKUP(AllDataCorrected[[#This Row],[Site Name]],LocationsKey[Site Name], LocationsKey[Waterway])</f>
        <v>Preston Bagot Canal</v>
      </c>
      <c r="K382" t="s">
        <v>615</v>
      </c>
      <c r="L382">
        <f>_xlfn.XLOOKUP(AllDataCorrected[[#This Row],[Site Name]],Tables!$B$12:$B$78, Tables!C$12:C$78)</f>
        <v>52.286540000000002</v>
      </c>
      <c r="M382">
        <f>_xlfn.XLOOKUP(AllDataCorrected[[#This Row],[Site Name]],Tables!$B$12:$B$78, Tables!D$12:D$78)</f>
        <v>-1.74576</v>
      </c>
      <c r="N382" t="s">
        <v>23</v>
      </c>
      <c r="O382">
        <v>351</v>
      </c>
      <c r="P382">
        <v>9.6999999999999993</v>
      </c>
      <c r="Q382">
        <v>2.5</v>
      </c>
      <c r="R382" t="str">
        <f>IF(AllDataCorrected[[#This Row],[Nitrate (PPM)]]&gt;2, "4. Very high (&gt;2ppm)", IF(AllDataCorrected[[#This Row],[Nitrate (PPM)]]&gt;1, "3. High (1-2ppm)", IF(AllDataCorrected[[#This Row],[Nitrate (PPM)]]&gt;0.5, "2. Some evidence (0.5-1ppm)", IF(AllDataCorrected[[#This Row],[Nitrate (PPM)]]&gt;=0, "1. No evidence (&lt;0.5ppm)"))))</f>
        <v>4. Very high (&gt;2ppm)</v>
      </c>
      <c r="S382">
        <v>0.25</v>
      </c>
      <c r="T3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2">
        <v>0</v>
      </c>
    </row>
    <row r="383" spans="1:22" x14ac:dyDescent="0.25">
      <c r="A383" t="s">
        <v>616</v>
      </c>
      <c r="B383" s="2">
        <v>45323</v>
      </c>
      <c r="C383" t="str" cm="1">
        <f t="array" ref="C3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3">
        <v>2023</v>
      </c>
      <c r="E383" s="1">
        <v>0.65277777777777779</v>
      </c>
      <c r="F3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3" t="str">
        <f>_xlfn.XLOOKUP(AllDataCorrected[[#This Row],[Location Name]], Locations[Location Name],Locations[Group As])</f>
        <v>Alveston Weir</v>
      </c>
      <c r="H383" t="e" vm="2">
        <f>_xlfn.XLOOKUP(AllDataCorrected[[#This Row],[Site Name]],LocationsKey[Site Name],LocationsKey[District])</f>
        <v>#VALUE!</v>
      </c>
      <c r="I383" t="e" vm="13">
        <f>_xlfn.XLOOKUP(AllDataCorrected[[#This Row],[Site Name]],LocationsKey[Site Name],LocationsKey[Town])</f>
        <v>#VALUE!</v>
      </c>
      <c r="J383" t="str">
        <f>_xlfn.XLOOKUP(AllDataCorrected[[#This Row],[Site Name]],LocationsKey[Site Name], LocationsKey[Waterway])</f>
        <v>Avon</v>
      </c>
      <c r="K383" t="s">
        <v>286</v>
      </c>
      <c r="L383">
        <f>_xlfn.XLOOKUP(AllDataCorrected[[#This Row],[Site Name]],Tables!$B$12:$B$78, Tables!C$12:C$78)</f>
        <v>52.212366690476216</v>
      </c>
      <c r="M383">
        <f>_xlfn.XLOOKUP(AllDataCorrected[[#This Row],[Site Name]],Tables!$B$12:$B$78, Tables!D$12:D$78)</f>
        <v>-1.6602567619047619</v>
      </c>
      <c r="N383" t="s">
        <v>29</v>
      </c>
      <c r="O383">
        <v>689</v>
      </c>
      <c r="P383">
        <v>8.5</v>
      </c>
      <c r="Q383">
        <v>5</v>
      </c>
      <c r="R383" t="str">
        <f>IF(AllDataCorrected[[#This Row],[Nitrate (PPM)]]&gt;2, "4. Very high (&gt;2ppm)", IF(AllDataCorrected[[#This Row],[Nitrate (PPM)]]&gt;1, "3. High (1-2ppm)", IF(AllDataCorrected[[#This Row],[Nitrate (PPM)]]&gt;0.5, "2. Some evidence (0.5-1ppm)", IF(AllDataCorrected[[#This Row],[Nitrate (PPM)]]&gt;=0, "1. No evidence (&lt;0.5ppm)"))))</f>
        <v>4. Very high (&gt;2ppm)</v>
      </c>
      <c r="S383">
        <v>0.6</v>
      </c>
      <c r="T3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3">
        <v>-0.5</v>
      </c>
    </row>
    <row r="384" spans="1:22" x14ac:dyDescent="0.25">
      <c r="A384" t="s">
        <v>617</v>
      </c>
      <c r="B384" s="2">
        <v>45323</v>
      </c>
      <c r="C384" t="str" cm="1">
        <f t="array" ref="C3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4">
        <v>2023</v>
      </c>
      <c r="E384" s="1">
        <v>0.65625</v>
      </c>
      <c r="F3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4" t="str">
        <f>_xlfn.XLOOKUP(AllDataCorrected[[#This Row],[Location Name]], Locations[Location Name],Locations[Group As])</f>
        <v>Preston Bagot Brook</v>
      </c>
      <c r="H384" t="e" vm="2">
        <f>_xlfn.XLOOKUP(AllDataCorrected[[#This Row],[Site Name]],LocationsKey[Site Name],LocationsKey[District])</f>
        <v>#VALUE!</v>
      </c>
      <c r="I384" t="e" vm="19">
        <f>_xlfn.XLOOKUP(AllDataCorrected[[#This Row],[Site Name]],LocationsKey[Site Name],LocationsKey[Town])</f>
        <v>#VALUE!</v>
      </c>
      <c r="J384" t="str">
        <f>_xlfn.XLOOKUP(AllDataCorrected[[#This Row],[Site Name]],LocationsKey[Site Name], LocationsKey[Waterway])</f>
        <v>Preston Bagot Brook</v>
      </c>
      <c r="K384" t="s">
        <v>618</v>
      </c>
      <c r="L384">
        <f>_xlfn.XLOOKUP(AllDataCorrected[[#This Row],[Site Name]],Tables!$B$12:$B$78, Tables!C$12:C$78)</f>
        <v>52.286200000000001</v>
      </c>
      <c r="M384">
        <f>_xlfn.XLOOKUP(AllDataCorrected[[#This Row],[Site Name]],Tables!$B$12:$B$78, Tables!D$12:D$78)</f>
        <v>-1.7478</v>
      </c>
      <c r="N384" t="s">
        <v>23</v>
      </c>
      <c r="O384">
        <v>805</v>
      </c>
      <c r="P384">
        <v>10.4</v>
      </c>
      <c r="Q384">
        <v>2.5</v>
      </c>
      <c r="R384" t="str">
        <f>IF(AllDataCorrected[[#This Row],[Nitrate (PPM)]]&gt;2, "4. Very high (&gt;2ppm)", IF(AllDataCorrected[[#This Row],[Nitrate (PPM)]]&gt;1, "3. High (1-2ppm)", IF(AllDataCorrected[[#This Row],[Nitrate (PPM)]]&gt;0.5, "2. Some evidence (0.5-1ppm)", IF(AllDataCorrected[[#This Row],[Nitrate (PPM)]]&gt;=0, "1. No evidence (&lt;0.5ppm)"))))</f>
        <v>4. Very high (&gt;2ppm)</v>
      </c>
      <c r="S384">
        <v>0.56999999999999995</v>
      </c>
      <c r="T3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4">
        <v>0</v>
      </c>
    </row>
    <row r="385" spans="1:22" x14ac:dyDescent="0.25">
      <c r="A385" t="s">
        <v>1748</v>
      </c>
      <c r="B385" s="2">
        <v>45324</v>
      </c>
      <c r="C385" t="str" cm="1">
        <f t="array" ref="C3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5">
        <v>2023</v>
      </c>
      <c r="F38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385" t="str">
        <f>_xlfn.XLOOKUP(AllDataCorrected[[#This Row],[Location Name]], Locations[Location Name],Locations[Group As])</f>
        <v>Site 2  :  Cross Leys culvert</v>
      </c>
      <c r="H385" t="e" vm="2">
        <f>_xlfn.XLOOKUP(AllDataCorrected[[#This Row],[Site Name]],LocationsKey[Site Name],LocationsKey[District])</f>
        <v>#VALUE!</v>
      </c>
      <c r="I385" t="e" vm="11">
        <f>_xlfn.XLOOKUP(AllDataCorrected[[#This Row],[Site Name]],LocationsKey[Site Name],LocationsKey[Town])</f>
        <v>#VALUE!</v>
      </c>
      <c r="J385" t="str">
        <f>_xlfn.XLOOKUP(AllDataCorrected[[#This Row],[Site Name]],LocationsKey[Site Name], LocationsKey[Waterway])</f>
        <v>Fosseway Brook</v>
      </c>
      <c r="K385" t="s">
        <v>1860</v>
      </c>
      <c r="L385">
        <f>_xlfn.XLOOKUP(AllDataCorrected[[#This Row],[Site Name]],Tables!$B$12:$B$78, Tables!C$12:C$78)</f>
        <v>52.092990199999988</v>
      </c>
      <c r="M385">
        <f>_xlfn.XLOOKUP(AllDataCorrected[[#This Row],[Site Name]],Tables!$B$12:$B$78, Tables!D$12:D$78)</f>
        <v>-1.6862810999999998</v>
      </c>
      <c r="N385" t="s">
        <v>66</v>
      </c>
      <c r="O385">
        <v>628</v>
      </c>
      <c r="P385">
        <v>9.3000000000000007</v>
      </c>
      <c r="Q385">
        <v>2</v>
      </c>
      <c r="R385" t="str">
        <f>IF(AllDataCorrected[[#This Row],[Nitrate (PPM)]]&gt;2, "4. Very high (&gt;2ppm)", IF(AllDataCorrected[[#This Row],[Nitrate (PPM)]]&gt;1, "3. High (1-2ppm)", IF(AllDataCorrected[[#This Row],[Nitrate (PPM)]]&gt;0.5, "2. Some evidence (0.5-1ppm)", IF(AllDataCorrected[[#This Row],[Nitrate (PPM)]]&gt;=0, "1. No evidence (&lt;0.5ppm)"))))</f>
        <v>3. High (1-2ppm)</v>
      </c>
      <c r="S385">
        <v>0.38</v>
      </c>
      <c r="T3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5">
        <v>0</v>
      </c>
      <c r="V385" t="s">
        <v>1898</v>
      </c>
    </row>
    <row r="386" spans="1:22" x14ac:dyDescent="0.25">
      <c r="A386" t="s">
        <v>1454</v>
      </c>
      <c r="B386" s="2">
        <v>45324</v>
      </c>
      <c r="C386" t="str" cm="1">
        <f t="array" ref="C3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6">
        <v>2023</v>
      </c>
      <c r="F38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386" t="str">
        <f>_xlfn.XLOOKUP(AllDataCorrected[[#This Row],[Location Name]], Locations[Location Name],Locations[Group As])</f>
        <v>Site 2  :  Cross Leys culvert</v>
      </c>
      <c r="H386" t="e" vm="2">
        <f>_xlfn.XLOOKUP(AllDataCorrected[[#This Row],[Site Name]],LocationsKey[Site Name],LocationsKey[District])</f>
        <v>#VALUE!</v>
      </c>
      <c r="I386" t="e" vm="11">
        <f>_xlfn.XLOOKUP(AllDataCorrected[[#This Row],[Site Name]],LocationsKey[Site Name],LocationsKey[Town])</f>
        <v>#VALUE!</v>
      </c>
      <c r="J386" t="str">
        <f>_xlfn.XLOOKUP(AllDataCorrected[[#This Row],[Site Name]],LocationsKey[Site Name], LocationsKey[Waterway])</f>
        <v>Fosseway Brook</v>
      </c>
      <c r="K386" t="s">
        <v>1371</v>
      </c>
      <c r="L386">
        <f>_xlfn.XLOOKUP(AllDataCorrected[[#This Row],[Site Name]],Tables!$B$12:$B$78, Tables!C$12:C$78)</f>
        <v>52.092990199999988</v>
      </c>
      <c r="M386">
        <f>_xlfn.XLOOKUP(AllDataCorrected[[#This Row],[Site Name]],Tables!$B$12:$B$78, Tables!D$12:D$78)</f>
        <v>-1.6862810999999998</v>
      </c>
      <c r="N386" t="s">
        <v>66</v>
      </c>
      <c r="O386">
        <v>628</v>
      </c>
      <c r="P386">
        <v>9.3000000000000007</v>
      </c>
      <c r="Q386">
        <v>2</v>
      </c>
      <c r="R386" t="str">
        <f>IF(AllDataCorrected[[#This Row],[Nitrate (PPM)]]&gt;2, "4. Very high (&gt;2ppm)", IF(AllDataCorrected[[#This Row],[Nitrate (PPM)]]&gt;1, "3. High (1-2ppm)", IF(AllDataCorrected[[#This Row],[Nitrate (PPM)]]&gt;0.5, "2. Some evidence (0.5-1ppm)", IF(AllDataCorrected[[#This Row],[Nitrate (PPM)]]&gt;=0, "1. No evidence (&lt;0.5ppm)"))))</f>
        <v>3. High (1-2ppm)</v>
      </c>
      <c r="S386">
        <v>0.38</v>
      </c>
      <c r="T3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386" t="s">
        <v>1369</v>
      </c>
    </row>
    <row r="387" spans="1:22" x14ac:dyDescent="0.25">
      <c r="A387" t="s">
        <v>619</v>
      </c>
      <c r="B387" s="2">
        <v>45325</v>
      </c>
      <c r="C387" t="str" cm="1">
        <f t="array" ref="C3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7">
        <v>2023</v>
      </c>
      <c r="E387" s="1">
        <v>0.42291666666666666</v>
      </c>
      <c r="F3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7" t="str">
        <f>_xlfn.XLOOKUP(AllDataCorrected[[#This Row],[Location Name]], Locations[Location Name],Locations[Group As])</f>
        <v>The Ford, Langley</v>
      </c>
      <c r="H387" t="e" vm="2">
        <f>_xlfn.XLOOKUP(AllDataCorrected[[#This Row],[Site Name]],LocationsKey[Site Name],LocationsKey[District])</f>
        <v>#VALUE!</v>
      </c>
      <c r="I387" t="str">
        <f>_xlfn.XLOOKUP(AllDataCorrected[[#This Row],[Site Name]],LocationsKey[Site Name],LocationsKey[Town])</f>
        <v>Langley</v>
      </c>
      <c r="J387" t="str">
        <f>_xlfn.XLOOKUP(AllDataCorrected[[#This Row],[Site Name]],LocationsKey[Site Name], LocationsKey[Waterway])</f>
        <v>Langley Ford</v>
      </c>
      <c r="K387" t="s">
        <v>557</v>
      </c>
      <c r="L387">
        <f>_xlfn.XLOOKUP(AllDataCorrected[[#This Row],[Site Name]],Tables!$B$12:$B$78, Tables!C$12:C$78)</f>
        <v>52.261724821428579</v>
      </c>
      <c r="M387">
        <f>_xlfn.XLOOKUP(AllDataCorrected[[#This Row],[Site Name]],Tables!$B$12:$B$78, Tables!D$12:D$78)</f>
        <v>-1.719408857142857</v>
      </c>
      <c r="N387" t="s">
        <v>29</v>
      </c>
      <c r="O387">
        <v>762</v>
      </c>
      <c r="P387">
        <v>9.5</v>
      </c>
      <c r="Q387">
        <v>5</v>
      </c>
      <c r="R387" t="str">
        <f>IF(AllDataCorrected[[#This Row],[Nitrate (PPM)]]&gt;2, "4. Very high (&gt;2ppm)", IF(AllDataCorrected[[#This Row],[Nitrate (PPM)]]&gt;1, "3. High (1-2ppm)", IF(AllDataCorrected[[#This Row],[Nitrate (PPM)]]&gt;0.5, "2. Some evidence (0.5-1ppm)", IF(AllDataCorrected[[#This Row],[Nitrate (PPM)]]&gt;=0, "1. No evidence (&lt;0.5ppm)"))))</f>
        <v>4. Very high (&gt;2ppm)</v>
      </c>
      <c r="S387">
        <v>0.6</v>
      </c>
      <c r="T3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7">
        <v>0.28000000000000003</v>
      </c>
      <c r="V387" t="s">
        <v>597</v>
      </c>
    </row>
    <row r="388" spans="1:22" x14ac:dyDescent="0.25">
      <c r="A388" t="s">
        <v>620</v>
      </c>
      <c r="B388" s="2">
        <v>45325</v>
      </c>
      <c r="C388" t="str" cm="1">
        <f t="array" ref="C3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8">
        <v>2023</v>
      </c>
      <c r="E388" s="1">
        <v>0.45833333333333331</v>
      </c>
      <c r="F3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8" t="str">
        <f>_xlfn.XLOOKUP(AllDataCorrected[[#This Row],[Location Name]], Locations[Location Name],Locations[Group As])</f>
        <v>Pitch 16</v>
      </c>
      <c r="H388" t="e" vm="2">
        <f>_xlfn.XLOOKUP(AllDataCorrected[[#This Row],[Site Name]],LocationsKey[Site Name],LocationsKey[District])</f>
        <v>#VALUE!</v>
      </c>
      <c r="I388" t="e" vm="7">
        <f>_xlfn.XLOOKUP(AllDataCorrected[[#This Row],[Site Name]],LocationsKey[Site Name],LocationsKey[Town])</f>
        <v>#VALUE!</v>
      </c>
      <c r="J388" t="str">
        <f>_xlfn.XLOOKUP(AllDataCorrected[[#This Row],[Site Name]],LocationsKey[Site Name], LocationsKey[Waterway])</f>
        <v>Avon</v>
      </c>
      <c r="K388" t="s">
        <v>69</v>
      </c>
      <c r="L388">
        <f>_xlfn.XLOOKUP(AllDataCorrected[[#This Row],[Site Name]],Tables!$B$12:$B$78, Tables!C$12:C$78)</f>
        <v>52.17355294117646</v>
      </c>
      <c r="M388">
        <f>_xlfn.XLOOKUP(AllDataCorrected[[#This Row],[Site Name]],Tables!$B$12:$B$78, Tables!D$12:D$78)</f>
        <v>-1.7433199411764708</v>
      </c>
      <c r="N388" t="s">
        <v>29</v>
      </c>
      <c r="O388">
        <v>917</v>
      </c>
      <c r="P388">
        <v>10.4</v>
      </c>
      <c r="Q388">
        <v>5</v>
      </c>
      <c r="R388" t="str">
        <f>IF(AllDataCorrected[[#This Row],[Nitrate (PPM)]]&gt;2, "4. Very high (&gt;2ppm)", IF(AllDataCorrected[[#This Row],[Nitrate (PPM)]]&gt;1, "3. High (1-2ppm)", IF(AllDataCorrected[[#This Row],[Nitrate (PPM)]]&gt;0.5, "2. Some evidence (0.5-1ppm)", IF(AllDataCorrected[[#This Row],[Nitrate (PPM)]]&gt;=0, "1. No evidence (&lt;0.5ppm)"))))</f>
        <v>4. Very high (&gt;2ppm)</v>
      </c>
      <c r="S388">
        <v>0.92</v>
      </c>
      <c r="T3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8">
        <v>0.65</v>
      </c>
      <c r="V388" t="s">
        <v>621</v>
      </c>
    </row>
    <row r="389" spans="1:22" x14ac:dyDescent="0.25">
      <c r="A389" t="s">
        <v>622</v>
      </c>
      <c r="B389" s="2">
        <v>45325</v>
      </c>
      <c r="C389" t="str" cm="1">
        <f t="array" ref="C3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9">
        <v>2023</v>
      </c>
      <c r="E389" s="1">
        <v>0.47361111111111109</v>
      </c>
      <c r="F3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9" t="str">
        <f>_xlfn.XLOOKUP(AllDataCorrected[[#This Row],[Location Name]], Locations[Location Name],Locations[Group As])</f>
        <v>Avonbank Drive</v>
      </c>
      <c r="H389" t="e" vm="2">
        <f>_xlfn.XLOOKUP(AllDataCorrected[[#This Row],[Site Name]],LocationsKey[Site Name],LocationsKey[District])</f>
        <v>#VALUE!</v>
      </c>
      <c r="I389" t="e" vm="7">
        <f>_xlfn.XLOOKUP(AllDataCorrected[[#This Row],[Site Name]],LocationsKey[Site Name],LocationsKey[Town])</f>
        <v>#VALUE!</v>
      </c>
      <c r="J389" t="str">
        <f>_xlfn.XLOOKUP(AllDataCorrected[[#This Row],[Site Name]],LocationsKey[Site Name], LocationsKey[Waterway])</f>
        <v>Avon</v>
      </c>
      <c r="K389" t="s">
        <v>65</v>
      </c>
      <c r="L389">
        <f>_xlfn.XLOOKUP(AllDataCorrected[[#This Row],[Site Name]],Tables!$B$12:$B$78, Tables!C$12:C$78)</f>
        <v>52.177054657142854</v>
      </c>
      <c r="M389">
        <f>_xlfn.XLOOKUP(AllDataCorrected[[#This Row],[Site Name]],Tables!$B$12:$B$78, Tables!D$12:D$78)</f>
        <v>-1.7358669999999996</v>
      </c>
      <c r="N389" t="s">
        <v>66</v>
      </c>
      <c r="O389">
        <v>937</v>
      </c>
      <c r="P389">
        <v>10.8</v>
      </c>
      <c r="Q389">
        <v>10</v>
      </c>
      <c r="R389" t="str">
        <f>IF(AllDataCorrected[[#This Row],[Nitrate (PPM)]]&gt;2, "4. Very high (&gt;2ppm)", IF(AllDataCorrected[[#This Row],[Nitrate (PPM)]]&gt;1, "3. High (1-2ppm)", IF(AllDataCorrected[[#This Row],[Nitrate (PPM)]]&gt;0.5, "2. Some evidence (0.5-1ppm)", IF(AllDataCorrected[[#This Row],[Nitrate (PPM)]]&gt;=0, "1. No evidence (&lt;0.5ppm)"))))</f>
        <v>4. Very high (&gt;2ppm)</v>
      </c>
      <c r="S389">
        <v>0.54</v>
      </c>
      <c r="T3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9">
        <v>0.65</v>
      </c>
    </row>
    <row r="390" spans="1:22" x14ac:dyDescent="0.25">
      <c r="A390" t="s">
        <v>623</v>
      </c>
      <c r="B390" s="2">
        <v>45325</v>
      </c>
      <c r="C390" t="str" cm="1">
        <f t="array" ref="C3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0">
        <v>2023</v>
      </c>
      <c r="E390" s="1">
        <v>0.48958333333333331</v>
      </c>
      <c r="F3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0" t="str">
        <f>_xlfn.XLOOKUP(AllDataCorrected[[#This Row],[Location Name]], Locations[Location Name],Locations[Group As])</f>
        <v>Carrant Bredon Rd</v>
      </c>
      <c r="H390" t="e" vm="1">
        <f>_xlfn.XLOOKUP(AllDataCorrected[[#This Row],[Site Name]],LocationsKey[Site Name],LocationsKey[District])</f>
        <v>#VALUE!</v>
      </c>
      <c r="I390" t="e" vm="1">
        <f>_xlfn.XLOOKUP(AllDataCorrected[[#This Row],[Site Name]],LocationsKey[Site Name],LocationsKey[Town])</f>
        <v>#VALUE!</v>
      </c>
      <c r="J390" t="str">
        <f>_xlfn.XLOOKUP(AllDataCorrected[[#This Row],[Site Name]],LocationsKey[Site Name], LocationsKey[Waterway])</f>
        <v>Carrant</v>
      </c>
      <c r="K390" t="s">
        <v>600</v>
      </c>
      <c r="L390">
        <f>_xlfn.XLOOKUP(AllDataCorrected[[#This Row],[Site Name]],Tables!$B$12:$B$78, Tables!C$12:C$78)</f>
        <v>51.996416567567572</v>
      </c>
      <c r="M390">
        <f>_xlfn.XLOOKUP(AllDataCorrected[[#This Row],[Site Name]],Tables!$B$12:$B$78, Tables!D$12:D$78)</f>
        <v>-2.1556626756756749</v>
      </c>
      <c r="N390" t="s">
        <v>23</v>
      </c>
      <c r="O390">
        <v>787</v>
      </c>
      <c r="P390">
        <v>11.2</v>
      </c>
      <c r="Q390">
        <v>4</v>
      </c>
      <c r="R390" t="str">
        <f>IF(AllDataCorrected[[#This Row],[Nitrate (PPM)]]&gt;2, "4. Very high (&gt;2ppm)", IF(AllDataCorrected[[#This Row],[Nitrate (PPM)]]&gt;1, "3. High (1-2ppm)", IF(AllDataCorrected[[#This Row],[Nitrate (PPM)]]&gt;0.5, "2. Some evidence (0.5-1ppm)", IF(AllDataCorrected[[#This Row],[Nitrate (PPM)]]&gt;=0, "1. No evidence (&lt;0.5ppm)"))))</f>
        <v>4. Very high (&gt;2ppm)</v>
      </c>
      <c r="S390">
        <v>0.24</v>
      </c>
      <c r="T3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0">
        <v>0.02</v>
      </c>
    </row>
    <row r="391" spans="1:22" x14ac:dyDescent="0.25">
      <c r="A391" t="s">
        <v>624</v>
      </c>
      <c r="B391" s="2">
        <v>45325</v>
      </c>
      <c r="C391" t="str" cm="1">
        <f t="array" ref="C3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1">
        <v>2023</v>
      </c>
      <c r="E391" s="1">
        <v>0.5</v>
      </c>
      <c r="F3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1" t="str">
        <f>_xlfn.XLOOKUP(AllDataCorrected[[#This Row],[Location Name]], Locations[Location Name],Locations[Group As])</f>
        <v>Black Bear</v>
      </c>
      <c r="H391" t="e" vm="1">
        <f>_xlfn.XLOOKUP(AllDataCorrected[[#This Row],[Site Name]],LocationsKey[Site Name],LocationsKey[District])</f>
        <v>#VALUE!</v>
      </c>
      <c r="I391" t="e" vm="1">
        <f>_xlfn.XLOOKUP(AllDataCorrected[[#This Row],[Site Name]],LocationsKey[Site Name],LocationsKey[Town])</f>
        <v>#VALUE!</v>
      </c>
      <c r="J391" t="str">
        <f>_xlfn.XLOOKUP(AllDataCorrected[[#This Row],[Site Name]],LocationsKey[Site Name], LocationsKey[Waterway])</f>
        <v>Avon</v>
      </c>
      <c r="K391" t="s">
        <v>567</v>
      </c>
      <c r="L391">
        <f>_xlfn.XLOOKUP(AllDataCorrected[[#This Row],[Site Name]],Tables!$B$12:$B$78, Tables!C$12:C$78)</f>
        <v>51.997435214285723</v>
      </c>
      <c r="M391">
        <f>_xlfn.XLOOKUP(AllDataCorrected[[#This Row],[Site Name]],Tables!$B$12:$B$78, Tables!D$12:D$78)</f>
        <v>-2.1562056785714288</v>
      </c>
      <c r="N391" t="s">
        <v>23</v>
      </c>
      <c r="O391">
        <v>840</v>
      </c>
      <c r="P391">
        <v>10</v>
      </c>
      <c r="Q391">
        <v>6</v>
      </c>
      <c r="R391" t="str">
        <f>IF(AllDataCorrected[[#This Row],[Nitrate (PPM)]]&gt;2, "4. Very high (&gt;2ppm)", IF(AllDataCorrected[[#This Row],[Nitrate (PPM)]]&gt;1, "3. High (1-2ppm)", IF(AllDataCorrected[[#This Row],[Nitrate (PPM)]]&gt;0.5, "2. Some evidence (0.5-1ppm)", IF(AllDataCorrected[[#This Row],[Nitrate (PPM)]]&gt;=0, "1. No evidence (&lt;0.5ppm)"))))</f>
        <v>4. Very high (&gt;2ppm)</v>
      </c>
      <c r="S391">
        <v>0.96</v>
      </c>
      <c r="T3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1">
        <v>0</v>
      </c>
    </row>
    <row r="392" spans="1:22" x14ac:dyDescent="0.25">
      <c r="A392" t="s">
        <v>625</v>
      </c>
      <c r="B392" s="2">
        <v>45326</v>
      </c>
      <c r="C392" t="str" cm="1">
        <f t="array" ref="C3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2">
        <v>2023</v>
      </c>
      <c r="E392" s="1">
        <v>0.5625</v>
      </c>
      <c r="F3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2" t="str">
        <f>_xlfn.XLOOKUP(AllDataCorrected[[#This Row],[Location Name]], Locations[Location Name],Locations[Group As])</f>
        <v>Clifford Chambers Mill Bridge</v>
      </c>
      <c r="H392" t="e" vm="2">
        <f>_xlfn.XLOOKUP(AllDataCorrected[[#This Row],[Site Name]],LocationsKey[Site Name],LocationsKey[District])</f>
        <v>#VALUE!</v>
      </c>
      <c r="I392" t="e" vm="12">
        <f>_xlfn.XLOOKUP(AllDataCorrected[[#This Row],[Site Name]],LocationsKey[Site Name],LocationsKey[Town])</f>
        <v>#VALUE!</v>
      </c>
      <c r="J392" t="str">
        <f>_xlfn.XLOOKUP(AllDataCorrected[[#This Row],[Site Name]],LocationsKey[Site Name], LocationsKey[Waterway])</f>
        <v>Stour</v>
      </c>
      <c r="K392" t="s">
        <v>263</v>
      </c>
      <c r="L392">
        <f>_xlfn.XLOOKUP(AllDataCorrected[[#This Row],[Site Name]],Tables!$B$12:$B$78, Tables!C$12:C$78)</f>
        <v>52.166358517241363</v>
      </c>
      <c r="M392">
        <f>_xlfn.XLOOKUP(AllDataCorrected[[#This Row],[Site Name]],Tables!$B$12:$B$78, Tables!D$12:D$78)</f>
        <v>-1.7080419310344837</v>
      </c>
      <c r="N392" t="s">
        <v>66</v>
      </c>
      <c r="O392">
        <v>668</v>
      </c>
      <c r="P392">
        <v>12.3</v>
      </c>
      <c r="Q392">
        <v>5</v>
      </c>
      <c r="R392" t="str">
        <f>IF(AllDataCorrected[[#This Row],[Nitrate (PPM)]]&gt;2, "4. Very high (&gt;2ppm)", IF(AllDataCorrected[[#This Row],[Nitrate (PPM)]]&gt;1, "3. High (1-2ppm)", IF(AllDataCorrected[[#This Row],[Nitrate (PPM)]]&gt;0.5, "2. Some evidence (0.5-1ppm)", IF(AllDataCorrected[[#This Row],[Nitrate (PPM)]]&gt;=0, "1. No evidence (&lt;0.5ppm)"))))</f>
        <v>4. Very high (&gt;2ppm)</v>
      </c>
      <c r="S392">
        <v>0.5</v>
      </c>
      <c r="T3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2">
        <v>0.7</v>
      </c>
    </row>
    <row r="393" spans="1:22" x14ac:dyDescent="0.25">
      <c r="A393" t="s">
        <v>626</v>
      </c>
      <c r="B393" s="2">
        <v>45326</v>
      </c>
      <c r="C393" t="str" cm="1">
        <f t="array" ref="C3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3">
        <v>2023</v>
      </c>
      <c r="E393" s="1">
        <v>0.625</v>
      </c>
      <c r="F3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3" t="str">
        <f>_xlfn.XLOOKUP(AllDataCorrected[[#This Row],[Location Name]], Locations[Location Name],Locations[Group As])</f>
        <v>Sherbourne Brook 1</v>
      </c>
      <c r="H393" t="e" vm="2">
        <f>_xlfn.XLOOKUP(AllDataCorrected[[#This Row],[Site Name]],LocationsKey[Site Name],LocationsKey[District])</f>
        <v>#VALUE!</v>
      </c>
      <c r="I393" t="e" vm="16">
        <f>_xlfn.XLOOKUP(AllDataCorrected[[#This Row],[Site Name]],LocationsKey[Site Name],LocationsKey[Town])</f>
        <v>#VALUE!</v>
      </c>
      <c r="J393" t="str">
        <f>_xlfn.XLOOKUP(AllDataCorrected[[#This Row],[Site Name]],LocationsKey[Site Name], LocationsKey[Waterway])</f>
        <v>Sherbourne Brook</v>
      </c>
      <c r="K393" t="s">
        <v>570</v>
      </c>
      <c r="L393">
        <f>_xlfn.XLOOKUP(AllDataCorrected[[#This Row],[Site Name]],Tables!$B$12:$B$78, Tables!C$12:C$78)</f>
        <v>52.252500000000033</v>
      </c>
      <c r="M393">
        <f>_xlfn.XLOOKUP(AllDataCorrected[[#This Row],[Site Name]],Tables!$B$12:$B$78, Tables!D$12:D$78)</f>
        <v>-1.6685000000000012</v>
      </c>
      <c r="N393" t="s">
        <v>23</v>
      </c>
      <c r="O393">
        <v>1100</v>
      </c>
      <c r="P393">
        <v>11.1</v>
      </c>
      <c r="Q393">
        <v>12</v>
      </c>
      <c r="R393" t="str">
        <f>IF(AllDataCorrected[[#This Row],[Nitrate (PPM)]]&gt;2, "4. Very high (&gt;2ppm)", IF(AllDataCorrected[[#This Row],[Nitrate (PPM)]]&gt;1, "3. High (1-2ppm)", IF(AllDataCorrected[[#This Row],[Nitrate (PPM)]]&gt;0.5, "2. Some evidence (0.5-1ppm)", IF(AllDataCorrected[[#This Row],[Nitrate (PPM)]]&gt;=0, "1. No evidence (&lt;0.5ppm)"))))</f>
        <v>4. Very high (&gt;2ppm)</v>
      </c>
      <c r="S393">
        <v>0.45</v>
      </c>
      <c r="T3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3">
        <v>0.5</v>
      </c>
    </row>
    <row r="394" spans="1:22" x14ac:dyDescent="0.25">
      <c r="A394" t="s">
        <v>627</v>
      </c>
      <c r="B394" s="2">
        <v>45326</v>
      </c>
      <c r="C394" t="str" cm="1">
        <f t="array" ref="C3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4">
        <v>2023</v>
      </c>
      <c r="E394" s="1">
        <v>0.63541666666666663</v>
      </c>
      <c r="F3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4" t="str">
        <f>_xlfn.XLOOKUP(AllDataCorrected[[#This Row],[Location Name]], Locations[Location Name],Locations[Group As])</f>
        <v>Bell Brook 1</v>
      </c>
      <c r="H394" t="e" vm="2">
        <f>_xlfn.XLOOKUP(AllDataCorrected[[#This Row],[Site Name]],LocationsKey[Site Name],LocationsKey[District])</f>
        <v>#VALUE!</v>
      </c>
      <c r="I394" t="e" vm="15">
        <f>_xlfn.XLOOKUP(AllDataCorrected[[#This Row],[Site Name]],LocationsKey[Site Name],LocationsKey[Town])</f>
        <v>#VALUE!</v>
      </c>
      <c r="J394" t="str">
        <f>_xlfn.XLOOKUP(AllDataCorrected[[#This Row],[Site Name]],LocationsKey[Site Name], LocationsKey[Waterway])</f>
        <v>Bell Brook</v>
      </c>
      <c r="K394" t="s">
        <v>534</v>
      </c>
      <c r="L394">
        <f>_xlfn.XLOOKUP(AllDataCorrected[[#This Row],[Site Name]],Tables!$B$12:$B$78, Tables!C$12:C$78)</f>
        <v>52.24489999999998</v>
      </c>
      <c r="M394">
        <f>_xlfn.XLOOKUP(AllDataCorrected[[#This Row],[Site Name]],Tables!$B$12:$B$78, Tables!D$12:D$78)</f>
        <v>-1.6617000000000013</v>
      </c>
      <c r="N394" t="s">
        <v>23</v>
      </c>
      <c r="O394">
        <v>725</v>
      </c>
      <c r="P394">
        <v>11.1</v>
      </c>
      <c r="Q394">
        <v>10</v>
      </c>
      <c r="R394" t="str">
        <f>IF(AllDataCorrected[[#This Row],[Nitrate (PPM)]]&gt;2, "4. Very high (&gt;2ppm)", IF(AllDataCorrected[[#This Row],[Nitrate (PPM)]]&gt;1, "3. High (1-2ppm)", IF(AllDataCorrected[[#This Row],[Nitrate (PPM)]]&gt;0.5, "2. Some evidence (0.5-1ppm)", IF(AllDataCorrected[[#This Row],[Nitrate (PPM)]]&gt;=0, "1. No evidence (&lt;0.5ppm)"))))</f>
        <v>4. Very high (&gt;2ppm)</v>
      </c>
      <c r="S394">
        <v>0.5</v>
      </c>
      <c r="T3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4">
        <v>0.5</v>
      </c>
    </row>
    <row r="395" spans="1:22" x14ac:dyDescent="0.25">
      <c r="A395" t="s">
        <v>628</v>
      </c>
      <c r="B395" s="2">
        <v>45327</v>
      </c>
      <c r="C395" t="str" cm="1">
        <f t="array" ref="C3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5">
        <v>2023</v>
      </c>
      <c r="E395" s="1">
        <v>0.35694444444444445</v>
      </c>
      <c r="F3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5" t="str">
        <f>_xlfn.XLOOKUP(AllDataCorrected[[#This Row],[Location Name]], Locations[Location Name],Locations[Group As])</f>
        <v>Stour Stretton-on-Fosse Village</v>
      </c>
      <c r="H395" t="e" vm="2">
        <f>_xlfn.XLOOKUP(AllDataCorrected[[#This Row],[Site Name]],LocationsKey[Site Name],LocationsKey[District])</f>
        <v>#VALUE!</v>
      </c>
      <c r="I395" t="e" vm="14">
        <f>_xlfn.XLOOKUP(AllDataCorrected[[#This Row],[Site Name]],LocationsKey[Site Name],LocationsKey[Town])</f>
        <v>#VALUE!</v>
      </c>
      <c r="J395" t="str">
        <f>_xlfn.XLOOKUP(AllDataCorrected[[#This Row],[Site Name]],LocationsKey[Site Name], LocationsKey[Waterway])</f>
        <v>Stour</v>
      </c>
      <c r="K395" t="s">
        <v>544</v>
      </c>
      <c r="L395">
        <f>_xlfn.XLOOKUP(AllDataCorrected[[#This Row],[Site Name]],Tables!$B$12:$B$78, Tables!C$12:C$78)</f>
        <v>52.046517558823524</v>
      </c>
      <c r="M395">
        <f>_xlfn.XLOOKUP(AllDataCorrected[[#This Row],[Site Name]],Tables!$B$12:$B$78, Tables!D$12:D$78)</f>
        <v>-1.6734143529411767</v>
      </c>
      <c r="N395" t="s">
        <v>66</v>
      </c>
      <c r="O395">
        <v>751</v>
      </c>
      <c r="P395">
        <v>9.1999999999999993</v>
      </c>
      <c r="Q395">
        <v>2</v>
      </c>
      <c r="R395" t="str">
        <f>IF(AllDataCorrected[[#This Row],[Nitrate (PPM)]]&gt;2, "4. Very high (&gt;2ppm)", IF(AllDataCorrected[[#This Row],[Nitrate (PPM)]]&gt;1, "3. High (1-2ppm)", IF(AllDataCorrected[[#This Row],[Nitrate (PPM)]]&gt;0.5, "2. Some evidence (0.5-1ppm)", IF(AllDataCorrected[[#This Row],[Nitrate (PPM)]]&gt;=0, "1. No evidence (&lt;0.5ppm)"))))</f>
        <v>3. High (1-2ppm)</v>
      </c>
      <c r="S395">
        <v>1.45</v>
      </c>
      <c r="T3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5">
        <v>0.2</v>
      </c>
    </row>
    <row r="396" spans="1:22" x14ac:dyDescent="0.25">
      <c r="A396" t="s">
        <v>629</v>
      </c>
      <c r="B396" s="2">
        <v>45327</v>
      </c>
      <c r="C396" t="str" cm="1">
        <f t="array" ref="C3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6">
        <v>2023</v>
      </c>
      <c r="E396" s="1">
        <v>0.375</v>
      </c>
      <c r="F39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6" t="str">
        <f>_xlfn.XLOOKUP(AllDataCorrected[[#This Row],[Location Name]], Locations[Location Name],Locations[Group As])</f>
        <v>Stour Stretton-on-Fosse Sewage Works</v>
      </c>
      <c r="H396" t="e" vm="2">
        <f>_xlfn.XLOOKUP(AllDataCorrected[[#This Row],[Site Name]],LocationsKey[Site Name],LocationsKey[District])</f>
        <v>#VALUE!</v>
      </c>
      <c r="I396" t="e" vm="14">
        <f>_xlfn.XLOOKUP(AllDataCorrected[[#This Row],[Site Name]],LocationsKey[Site Name],LocationsKey[Town])</f>
        <v>#VALUE!</v>
      </c>
      <c r="J396" t="str">
        <f>_xlfn.XLOOKUP(AllDataCorrected[[#This Row],[Site Name]],LocationsKey[Site Name], LocationsKey[Waterway])</f>
        <v>Stour</v>
      </c>
      <c r="K396" t="s">
        <v>335</v>
      </c>
      <c r="L396">
        <f>_xlfn.XLOOKUP(AllDataCorrected[[#This Row],[Site Name]],Tables!$B$12:$B$78, Tables!C$12:C$78)</f>
        <v>52.045653647058806</v>
      </c>
      <c r="M396">
        <f>_xlfn.XLOOKUP(AllDataCorrected[[#This Row],[Site Name]],Tables!$B$12:$B$78, Tables!D$12:D$78)</f>
        <v>-1.6719221470588235</v>
      </c>
      <c r="N396" t="s">
        <v>29</v>
      </c>
      <c r="O396">
        <v>787</v>
      </c>
      <c r="P396">
        <v>8.6</v>
      </c>
      <c r="Q396">
        <v>5</v>
      </c>
      <c r="R396" t="str">
        <f>IF(AllDataCorrected[[#This Row],[Nitrate (PPM)]]&gt;2, "4. Very high (&gt;2ppm)", IF(AllDataCorrected[[#This Row],[Nitrate (PPM)]]&gt;1, "3. High (1-2ppm)", IF(AllDataCorrected[[#This Row],[Nitrate (PPM)]]&gt;0.5, "2. Some evidence (0.5-1ppm)", IF(AllDataCorrected[[#This Row],[Nitrate (PPM)]]&gt;=0, "1. No evidence (&lt;0.5ppm)"))))</f>
        <v>4. Very high (&gt;2ppm)</v>
      </c>
      <c r="S396">
        <v>2.5</v>
      </c>
      <c r="T3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6">
        <v>0.3</v>
      </c>
      <c r="V396" t="s">
        <v>630</v>
      </c>
    </row>
    <row r="397" spans="1:22" x14ac:dyDescent="0.25">
      <c r="A397" t="s">
        <v>631</v>
      </c>
      <c r="B397" s="2">
        <v>45327</v>
      </c>
      <c r="C397" t="str" cm="1">
        <f t="array" ref="C3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7">
        <v>2023</v>
      </c>
      <c r="E397" s="1">
        <v>0.57499999999999996</v>
      </c>
      <c r="F3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7" t="str">
        <f>_xlfn.XLOOKUP(AllDataCorrected[[#This Row],[Location Name]], Locations[Location Name],Locations[Group As])</f>
        <v>Swiffen Bank</v>
      </c>
      <c r="H397" t="e" vm="2">
        <f>_xlfn.XLOOKUP(AllDataCorrected[[#This Row],[Site Name]],LocationsKey[Site Name],LocationsKey[District])</f>
        <v>#VALUE!</v>
      </c>
      <c r="I397" t="e" vm="13">
        <f>_xlfn.XLOOKUP(AllDataCorrected[[#This Row],[Site Name]],LocationsKey[Site Name],LocationsKey[Town])</f>
        <v>#VALUE!</v>
      </c>
      <c r="J397" t="str">
        <f>_xlfn.XLOOKUP(AllDataCorrected[[#This Row],[Site Name]],LocationsKey[Site Name], LocationsKey[Waterway])</f>
        <v>Avon</v>
      </c>
      <c r="K397" t="s">
        <v>443</v>
      </c>
      <c r="L397">
        <f>_xlfn.XLOOKUP(AllDataCorrected[[#This Row],[Site Name]],Tables!$B$12:$B$78, Tables!C$12:C$78)</f>
        <v>52.206446825000015</v>
      </c>
      <c r="M397">
        <f>_xlfn.XLOOKUP(AllDataCorrected[[#This Row],[Site Name]],Tables!$B$12:$B$78, Tables!D$12:D$78)</f>
        <v>-1.6541684000000003</v>
      </c>
      <c r="N397" t="s">
        <v>29</v>
      </c>
      <c r="O397">
        <v>699</v>
      </c>
      <c r="P397">
        <v>11.2</v>
      </c>
      <c r="Q397">
        <v>10</v>
      </c>
      <c r="R397" t="str">
        <f>IF(AllDataCorrected[[#This Row],[Nitrate (PPM)]]&gt;2, "4. Very high (&gt;2ppm)", IF(AllDataCorrected[[#This Row],[Nitrate (PPM)]]&gt;1, "3. High (1-2ppm)", IF(AllDataCorrected[[#This Row],[Nitrate (PPM)]]&gt;0.5, "2. Some evidence (0.5-1ppm)", IF(AllDataCorrected[[#This Row],[Nitrate (PPM)]]&gt;=0, "1. No evidence (&lt;0.5ppm)"))))</f>
        <v>4. Very high (&gt;2ppm)</v>
      </c>
      <c r="S397">
        <v>0.7</v>
      </c>
      <c r="T3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7">
        <v>0</v>
      </c>
    </row>
    <row r="398" spans="1:22" x14ac:dyDescent="0.25">
      <c r="A398" t="s">
        <v>632</v>
      </c>
      <c r="B398" s="2">
        <v>45327</v>
      </c>
      <c r="C398" t="str" cm="1">
        <f t="array" ref="C3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8">
        <v>2023</v>
      </c>
      <c r="E398" s="1">
        <v>0.59583333333333333</v>
      </c>
      <c r="F3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8" t="str">
        <f>_xlfn.XLOOKUP(AllDataCorrected[[#This Row],[Location Name]], Locations[Location Name],Locations[Group As])</f>
        <v>Alveston Weir</v>
      </c>
      <c r="H398" t="e" vm="2">
        <f>_xlfn.XLOOKUP(AllDataCorrected[[#This Row],[Site Name]],LocationsKey[Site Name],LocationsKey[District])</f>
        <v>#VALUE!</v>
      </c>
      <c r="I398" t="e" vm="13">
        <f>_xlfn.XLOOKUP(AllDataCorrected[[#This Row],[Site Name]],LocationsKey[Site Name],LocationsKey[Town])</f>
        <v>#VALUE!</v>
      </c>
      <c r="J398" t="str">
        <f>_xlfn.XLOOKUP(AllDataCorrected[[#This Row],[Site Name]],LocationsKey[Site Name], LocationsKey[Waterway])</f>
        <v>Avon</v>
      </c>
      <c r="K398" t="s">
        <v>633</v>
      </c>
      <c r="L398">
        <f>_xlfn.XLOOKUP(AllDataCorrected[[#This Row],[Site Name]],Tables!$B$12:$B$78, Tables!C$12:C$78)</f>
        <v>52.212366690476216</v>
      </c>
      <c r="M398">
        <f>_xlfn.XLOOKUP(AllDataCorrected[[#This Row],[Site Name]],Tables!$B$12:$B$78, Tables!D$12:D$78)</f>
        <v>-1.6602567619047619</v>
      </c>
      <c r="N398" t="s">
        <v>29</v>
      </c>
      <c r="O398">
        <v>704</v>
      </c>
      <c r="P398">
        <v>10.4</v>
      </c>
      <c r="Q398">
        <v>5</v>
      </c>
      <c r="R398" t="str">
        <f>IF(AllDataCorrected[[#This Row],[Nitrate (PPM)]]&gt;2, "4. Very high (&gt;2ppm)", IF(AllDataCorrected[[#This Row],[Nitrate (PPM)]]&gt;1, "3. High (1-2ppm)", IF(AllDataCorrected[[#This Row],[Nitrate (PPM)]]&gt;0.5, "2. Some evidence (0.5-1ppm)", IF(AllDataCorrected[[#This Row],[Nitrate (PPM)]]&gt;=0, "1. No evidence (&lt;0.5ppm)"))))</f>
        <v>4. Very high (&gt;2ppm)</v>
      </c>
      <c r="S398">
        <v>0.69</v>
      </c>
      <c r="T3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8">
        <v>-0.5</v>
      </c>
    </row>
    <row r="399" spans="1:22" x14ac:dyDescent="0.25">
      <c r="A399" t="s">
        <v>634</v>
      </c>
      <c r="B399" s="2">
        <v>45327</v>
      </c>
      <c r="C399" t="str" cm="1">
        <f t="array" ref="C3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9">
        <v>2023</v>
      </c>
      <c r="E399" s="1">
        <v>0.61458333333333337</v>
      </c>
      <c r="F3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9" t="str">
        <f>_xlfn.XLOOKUP(AllDataCorrected[[#This Row],[Location Name]], Locations[Location Name],Locations[Group As])</f>
        <v>Abbey Mill</v>
      </c>
      <c r="H399" t="e" vm="1">
        <f>_xlfn.XLOOKUP(AllDataCorrected[[#This Row],[Site Name]],LocationsKey[Site Name],LocationsKey[District])</f>
        <v>#VALUE!</v>
      </c>
      <c r="I399" t="e" vm="1">
        <f>_xlfn.XLOOKUP(AllDataCorrected[[#This Row],[Site Name]],LocationsKey[Site Name],LocationsKey[Town])</f>
        <v>#VALUE!</v>
      </c>
      <c r="J399" t="str">
        <f>_xlfn.XLOOKUP(AllDataCorrected[[#This Row],[Site Name]],LocationsKey[Site Name], LocationsKey[Waterway])</f>
        <v>Avon</v>
      </c>
      <c r="K399" t="s">
        <v>25</v>
      </c>
      <c r="L399">
        <f>_xlfn.XLOOKUP(AllDataCorrected[[#This Row],[Site Name]],Tables!$B$12:$B$78, Tables!C$12:C$78)</f>
        <v>51.991389555555564</v>
      </c>
      <c r="M399">
        <f>_xlfn.XLOOKUP(AllDataCorrected[[#This Row],[Site Name]],Tables!$B$12:$B$78, Tables!D$12:D$78)</f>
        <v>-2.1620794000000005</v>
      </c>
      <c r="N399" t="s">
        <v>23</v>
      </c>
      <c r="O399">
        <v>906</v>
      </c>
      <c r="P399">
        <v>9.6999999999999993</v>
      </c>
      <c r="Q399">
        <v>5</v>
      </c>
      <c r="R399" t="str">
        <f>IF(AllDataCorrected[[#This Row],[Nitrate (PPM)]]&gt;2, "4. Very high (&gt;2ppm)", IF(AllDataCorrected[[#This Row],[Nitrate (PPM)]]&gt;1, "3. High (1-2ppm)", IF(AllDataCorrected[[#This Row],[Nitrate (PPM)]]&gt;0.5, "2. Some evidence (0.5-1ppm)", IF(AllDataCorrected[[#This Row],[Nitrate (PPM)]]&gt;=0, "1. No evidence (&lt;0.5ppm)"))))</f>
        <v>4. Very high (&gt;2ppm)</v>
      </c>
      <c r="S399">
        <v>0.63</v>
      </c>
      <c r="T3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9">
        <v>0.5</v>
      </c>
      <c r="V399" t="s">
        <v>635</v>
      </c>
    </row>
    <row r="400" spans="1:22" x14ac:dyDescent="0.25">
      <c r="A400" t="s">
        <v>636</v>
      </c>
      <c r="B400" s="2">
        <v>45329</v>
      </c>
      <c r="C400" t="str" cm="1">
        <f t="array" ref="C4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0">
        <v>2023</v>
      </c>
      <c r="E400" s="1">
        <v>0.625</v>
      </c>
      <c r="F4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0" t="str">
        <f>_xlfn.XLOOKUP(AllDataCorrected[[#This Row],[Location Name]], Locations[Location Name],Locations[Group As])</f>
        <v>Stour Newbold Mill</v>
      </c>
      <c r="H400" t="e" vm="2">
        <f>_xlfn.XLOOKUP(AllDataCorrected[[#This Row],[Site Name]],LocationsKey[Site Name],LocationsKey[District])</f>
        <v>#VALUE!</v>
      </c>
      <c r="I400" t="e" vm="8">
        <f>_xlfn.XLOOKUP(AllDataCorrected[[#This Row],[Site Name]],LocationsKey[Site Name],LocationsKey[Town])</f>
        <v>#VALUE!</v>
      </c>
      <c r="J400" t="str">
        <f>_xlfn.XLOOKUP(AllDataCorrected[[#This Row],[Site Name]],LocationsKey[Site Name], LocationsKey[Waterway])</f>
        <v>Stour</v>
      </c>
      <c r="K400" t="s">
        <v>140</v>
      </c>
      <c r="L400">
        <f>_xlfn.XLOOKUP(AllDataCorrected[[#This Row],[Site Name]],Tables!$B$12:$B$78, Tables!C$12:C$78)</f>
        <v>52.113052370370362</v>
      </c>
      <c r="M400">
        <f>_xlfn.XLOOKUP(AllDataCorrected[[#This Row],[Site Name]],Tables!$B$12:$B$78, Tables!D$12:D$78)</f>
        <v>-1.6333685185185185</v>
      </c>
      <c r="N400" t="s">
        <v>66</v>
      </c>
      <c r="O400">
        <v>606</v>
      </c>
      <c r="P400">
        <v>8.1</v>
      </c>
      <c r="Q400">
        <v>2</v>
      </c>
      <c r="R400" t="str">
        <f>IF(AllDataCorrected[[#This Row],[Nitrate (PPM)]]&gt;2, "4. Very high (&gt;2ppm)", IF(AllDataCorrected[[#This Row],[Nitrate (PPM)]]&gt;1, "3. High (1-2ppm)", IF(AllDataCorrected[[#This Row],[Nitrate (PPM)]]&gt;0.5, "2. Some evidence (0.5-1ppm)", IF(AllDataCorrected[[#This Row],[Nitrate (PPM)]]&gt;=0, "1. No evidence (&lt;0.5ppm)"))))</f>
        <v>3. High (1-2ppm)</v>
      </c>
      <c r="S400">
        <v>0.25</v>
      </c>
      <c r="T4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0">
        <v>3.5</v>
      </c>
      <c r="V400" t="s">
        <v>637</v>
      </c>
    </row>
    <row r="401" spans="1:22" x14ac:dyDescent="0.25">
      <c r="A401" t="s">
        <v>638</v>
      </c>
      <c r="B401" s="2">
        <v>45330</v>
      </c>
      <c r="C401" t="str" cm="1">
        <f t="array" ref="C4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1">
        <v>2023</v>
      </c>
      <c r="E401" s="1">
        <v>0.47916666666666669</v>
      </c>
      <c r="F4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1" t="str">
        <f>_xlfn.XLOOKUP(AllDataCorrected[[#This Row],[Location Name]], Locations[Location Name],Locations[Group As])</f>
        <v>Stour Willington</v>
      </c>
      <c r="H401" t="e" vm="2">
        <f>_xlfn.XLOOKUP(AllDataCorrected[[#This Row],[Site Name]],LocationsKey[Site Name],LocationsKey[District])</f>
        <v>#VALUE!</v>
      </c>
      <c r="I401" t="str">
        <f>_xlfn.XLOOKUP(AllDataCorrected[[#This Row],[Site Name]],LocationsKey[Site Name],LocationsKey[Town])</f>
        <v>Willington</v>
      </c>
      <c r="J401" t="str">
        <f>_xlfn.XLOOKUP(AllDataCorrected[[#This Row],[Site Name]],LocationsKey[Site Name], LocationsKey[Waterway])</f>
        <v>Stour</v>
      </c>
      <c r="K401" t="s">
        <v>517</v>
      </c>
      <c r="L401">
        <f>_xlfn.XLOOKUP(AllDataCorrected[[#This Row],[Site Name]],Tables!$B$12:$B$78, Tables!C$12:C$78)</f>
        <v>52.053154375000005</v>
      </c>
      <c r="M401">
        <f>_xlfn.XLOOKUP(AllDataCorrected[[#This Row],[Site Name]],Tables!$B$12:$B$78, Tables!D$12:D$78)</f>
        <v>-1.6191991562500001</v>
      </c>
      <c r="N401" t="s">
        <v>23</v>
      </c>
      <c r="O401">
        <v>465</v>
      </c>
      <c r="P401">
        <v>8.6999999999999993</v>
      </c>
      <c r="Q401">
        <v>0.5</v>
      </c>
      <c r="R40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01">
        <v>0.28999999999999998</v>
      </c>
      <c r="T4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1">
        <v>1</v>
      </c>
    </row>
    <row r="402" spans="1:22" x14ac:dyDescent="0.25">
      <c r="A402" t="s">
        <v>639</v>
      </c>
      <c r="B402" s="2">
        <v>45330</v>
      </c>
      <c r="C402" t="str" cm="1">
        <f t="array" ref="C4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2">
        <v>2023</v>
      </c>
      <c r="E402" s="1">
        <v>0.5</v>
      </c>
      <c r="F4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2" t="str">
        <f>_xlfn.XLOOKUP(AllDataCorrected[[#This Row],[Location Name]], Locations[Location Name],Locations[Group As])</f>
        <v>Swilgate</v>
      </c>
      <c r="H402" t="e" vm="1">
        <f>_xlfn.XLOOKUP(AllDataCorrected[[#This Row],[Site Name]],LocationsKey[Site Name],LocationsKey[District])</f>
        <v>#VALUE!</v>
      </c>
      <c r="I402" t="e" vm="1">
        <f>_xlfn.XLOOKUP(AllDataCorrected[[#This Row],[Site Name]],LocationsKey[Site Name],LocationsKey[Town])</f>
        <v>#VALUE!</v>
      </c>
      <c r="J402" t="str">
        <f>_xlfn.XLOOKUP(AllDataCorrected[[#This Row],[Site Name]],LocationsKey[Site Name], LocationsKey[Waterway])</f>
        <v>Swilgate</v>
      </c>
      <c r="K402" t="s">
        <v>84</v>
      </c>
      <c r="L402">
        <f>_xlfn.XLOOKUP(AllDataCorrected[[#This Row],[Site Name]],Tables!$B$12:$B$78, Tables!C$12:C$78)</f>
        <v>51.9885442</v>
      </c>
      <c r="M402">
        <f>_xlfn.XLOOKUP(AllDataCorrected[[#This Row],[Site Name]],Tables!$B$12:$B$78, Tables!D$12:D$78)</f>
        <v>-2.1639010000000001</v>
      </c>
      <c r="N402" t="s">
        <v>23</v>
      </c>
      <c r="O402">
        <v>830</v>
      </c>
      <c r="P402">
        <v>9.6</v>
      </c>
      <c r="Q402">
        <v>3</v>
      </c>
      <c r="R402" t="str">
        <f>IF(AllDataCorrected[[#This Row],[Nitrate (PPM)]]&gt;2, "4. Very high (&gt;2ppm)", IF(AllDataCorrected[[#This Row],[Nitrate (PPM)]]&gt;1, "3. High (1-2ppm)", IF(AllDataCorrected[[#This Row],[Nitrate (PPM)]]&gt;0.5, "2. Some evidence (0.5-1ppm)", IF(AllDataCorrected[[#This Row],[Nitrate (PPM)]]&gt;=0, "1. No evidence (&lt;0.5ppm)"))))</f>
        <v>4. Very high (&gt;2ppm)</v>
      </c>
      <c r="S402">
        <v>0.45</v>
      </c>
      <c r="T40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2">
        <v>2</v>
      </c>
    </row>
    <row r="403" spans="1:22" x14ac:dyDescent="0.25">
      <c r="A403" t="s">
        <v>640</v>
      </c>
      <c r="B403" s="2">
        <v>45330</v>
      </c>
      <c r="C403" t="str" cm="1">
        <f t="array" ref="C4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3">
        <v>2023</v>
      </c>
      <c r="E403" s="1">
        <v>0.55625000000000002</v>
      </c>
      <c r="F4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3" t="str">
        <f>_xlfn.XLOOKUP(AllDataCorrected[[#This Row],[Location Name]], Locations[Location Name],Locations[Group As])</f>
        <v>Preston-on-Stour River Bridge</v>
      </c>
      <c r="H403" t="e" vm="2">
        <f>_xlfn.XLOOKUP(AllDataCorrected[[#This Row],[Site Name]],LocationsKey[Site Name],LocationsKey[District])</f>
        <v>#VALUE!</v>
      </c>
      <c r="I403" t="e" vm="9">
        <f>_xlfn.XLOOKUP(AllDataCorrected[[#This Row],[Site Name]],LocationsKey[Site Name],LocationsKey[Town])</f>
        <v>#VALUE!</v>
      </c>
      <c r="J403" t="str">
        <f>_xlfn.XLOOKUP(AllDataCorrected[[#This Row],[Site Name]],LocationsKey[Site Name], LocationsKey[Waterway])</f>
        <v>Stour</v>
      </c>
      <c r="K403" t="s">
        <v>163</v>
      </c>
      <c r="L403">
        <f>_xlfn.XLOOKUP(AllDataCorrected[[#This Row],[Site Name]],Tables!$B$12:$B$78, Tables!C$12:C$78)</f>
        <v>52.146529500000007</v>
      </c>
      <c r="M403">
        <f>_xlfn.XLOOKUP(AllDataCorrected[[#This Row],[Site Name]],Tables!$B$12:$B$78, Tables!D$12:D$78)</f>
        <v>-1.6996899999999999</v>
      </c>
      <c r="N403" t="s">
        <v>29</v>
      </c>
      <c r="O403">
        <v>547</v>
      </c>
      <c r="P403">
        <v>8.1</v>
      </c>
      <c r="Q403">
        <v>6</v>
      </c>
      <c r="R403" t="str">
        <f>IF(AllDataCorrected[[#This Row],[Nitrate (PPM)]]&gt;2, "4. Very high (&gt;2ppm)", IF(AllDataCorrected[[#This Row],[Nitrate (PPM)]]&gt;1, "3. High (1-2ppm)", IF(AllDataCorrected[[#This Row],[Nitrate (PPM)]]&gt;0.5, "2. Some evidence (0.5-1ppm)", IF(AllDataCorrected[[#This Row],[Nitrate (PPM)]]&gt;=0, "1. No evidence (&lt;0.5ppm)"))))</f>
        <v>4. Very high (&gt;2ppm)</v>
      </c>
      <c r="S403">
        <v>0.22</v>
      </c>
      <c r="T4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3">
        <v>2</v>
      </c>
      <c r="V403" t="s">
        <v>641</v>
      </c>
    </row>
    <row r="404" spans="1:22" x14ac:dyDescent="0.25">
      <c r="A404" t="s">
        <v>642</v>
      </c>
      <c r="B404" s="2">
        <v>45331</v>
      </c>
      <c r="C404" t="str" cm="1">
        <f t="array" ref="C4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4">
        <v>2023</v>
      </c>
      <c r="E404" s="1">
        <v>0.61458333333333337</v>
      </c>
      <c r="F4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4" t="str">
        <f>_xlfn.XLOOKUP(AllDataCorrected[[#This Row],[Location Name]], Locations[Location Name],Locations[Group As])</f>
        <v>Preston Bagot Canal</v>
      </c>
      <c r="H404" t="e" vm="2">
        <f>_xlfn.XLOOKUP(AllDataCorrected[[#This Row],[Site Name]],LocationsKey[Site Name],LocationsKey[District])</f>
        <v>#VALUE!</v>
      </c>
      <c r="I404" t="e" vm="19">
        <f>_xlfn.XLOOKUP(AllDataCorrected[[#This Row],[Site Name]],LocationsKey[Site Name],LocationsKey[Town])</f>
        <v>#VALUE!</v>
      </c>
      <c r="J404" t="str">
        <f>_xlfn.XLOOKUP(AllDataCorrected[[#This Row],[Site Name]],LocationsKey[Site Name], LocationsKey[Waterway])</f>
        <v>Preston Bagot Canal</v>
      </c>
      <c r="K404" t="s">
        <v>615</v>
      </c>
      <c r="L404">
        <f>_xlfn.XLOOKUP(AllDataCorrected[[#This Row],[Site Name]],Tables!$B$12:$B$78, Tables!C$12:C$78)</f>
        <v>52.286540000000002</v>
      </c>
      <c r="M404">
        <f>_xlfn.XLOOKUP(AllDataCorrected[[#This Row],[Site Name]],Tables!$B$12:$B$78, Tables!D$12:D$78)</f>
        <v>-1.74576</v>
      </c>
      <c r="N404" t="s">
        <v>23</v>
      </c>
      <c r="O404">
        <v>328</v>
      </c>
      <c r="P404">
        <v>11.5</v>
      </c>
      <c r="Q404">
        <v>2</v>
      </c>
      <c r="R404" t="str">
        <f>IF(AllDataCorrected[[#This Row],[Nitrate (PPM)]]&gt;2, "4. Very high (&gt;2ppm)", IF(AllDataCorrected[[#This Row],[Nitrate (PPM)]]&gt;1, "3. High (1-2ppm)", IF(AllDataCorrected[[#This Row],[Nitrate (PPM)]]&gt;0.5, "2. Some evidence (0.5-1ppm)", IF(AllDataCorrected[[#This Row],[Nitrate (PPM)]]&gt;=0, "1. No evidence (&lt;0.5ppm)"))))</f>
        <v>3. High (1-2ppm)</v>
      </c>
      <c r="S404">
        <v>0.37</v>
      </c>
      <c r="T4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4">
        <v>0</v>
      </c>
    </row>
    <row r="405" spans="1:22" x14ac:dyDescent="0.25">
      <c r="A405" t="s">
        <v>643</v>
      </c>
      <c r="B405" s="2">
        <v>45331</v>
      </c>
      <c r="C405" t="str" cm="1">
        <f t="array" ref="C4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5">
        <v>2023</v>
      </c>
      <c r="E405" s="1">
        <v>0.625</v>
      </c>
      <c r="F4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5" t="str">
        <f>_xlfn.XLOOKUP(AllDataCorrected[[#This Row],[Location Name]], Locations[Location Name],Locations[Group As])</f>
        <v>Preston Bagot Brook</v>
      </c>
      <c r="H405" t="e" vm="2">
        <f>_xlfn.XLOOKUP(AllDataCorrected[[#This Row],[Site Name]],LocationsKey[Site Name],LocationsKey[District])</f>
        <v>#VALUE!</v>
      </c>
      <c r="I405" t="e" vm="19">
        <f>_xlfn.XLOOKUP(AllDataCorrected[[#This Row],[Site Name]],LocationsKey[Site Name],LocationsKey[Town])</f>
        <v>#VALUE!</v>
      </c>
      <c r="J405" t="str">
        <f>_xlfn.XLOOKUP(AllDataCorrected[[#This Row],[Site Name]],LocationsKey[Site Name], LocationsKey[Waterway])</f>
        <v>Preston Bagot Brook</v>
      </c>
      <c r="K405" t="s">
        <v>618</v>
      </c>
      <c r="L405">
        <f>_xlfn.XLOOKUP(AllDataCorrected[[#This Row],[Site Name]],Tables!$B$12:$B$78, Tables!C$12:C$78)</f>
        <v>52.286200000000001</v>
      </c>
      <c r="M405">
        <f>_xlfn.XLOOKUP(AllDataCorrected[[#This Row],[Site Name]],Tables!$B$12:$B$78, Tables!D$12:D$78)</f>
        <v>-1.7478</v>
      </c>
      <c r="N405" t="s">
        <v>23</v>
      </c>
      <c r="O405">
        <v>243</v>
      </c>
      <c r="P405">
        <v>11.9</v>
      </c>
      <c r="Q405">
        <v>2</v>
      </c>
      <c r="R405" t="str">
        <f>IF(AllDataCorrected[[#This Row],[Nitrate (PPM)]]&gt;2, "4. Very high (&gt;2ppm)", IF(AllDataCorrected[[#This Row],[Nitrate (PPM)]]&gt;1, "3. High (1-2ppm)", IF(AllDataCorrected[[#This Row],[Nitrate (PPM)]]&gt;0.5, "2. Some evidence (0.5-1ppm)", IF(AllDataCorrected[[#This Row],[Nitrate (PPM)]]&gt;=0, "1. No evidence (&lt;0.5ppm)"))))</f>
        <v>3. High (1-2ppm)</v>
      </c>
      <c r="S405">
        <v>0.59</v>
      </c>
      <c r="T4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5">
        <v>0</v>
      </c>
    </row>
    <row r="406" spans="1:22" x14ac:dyDescent="0.25">
      <c r="A406" t="s">
        <v>644</v>
      </c>
      <c r="B406" s="2">
        <v>45332</v>
      </c>
      <c r="C406" t="str" cm="1">
        <f t="array" ref="C4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6">
        <v>2023</v>
      </c>
      <c r="E406" s="1">
        <v>0.5</v>
      </c>
      <c r="F4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6" t="str">
        <f>_xlfn.XLOOKUP(AllDataCorrected[[#This Row],[Location Name]], Locations[Location Name],Locations[Group As])</f>
        <v>Carrant Bredon Rd</v>
      </c>
      <c r="H406" t="e" vm="1">
        <f>_xlfn.XLOOKUP(AllDataCorrected[[#This Row],[Site Name]],LocationsKey[Site Name],LocationsKey[District])</f>
        <v>#VALUE!</v>
      </c>
      <c r="I406" t="e" vm="1">
        <f>_xlfn.XLOOKUP(AllDataCorrected[[#This Row],[Site Name]],LocationsKey[Site Name],LocationsKey[Town])</f>
        <v>#VALUE!</v>
      </c>
      <c r="J406" t="str">
        <f>_xlfn.XLOOKUP(AllDataCorrected[[#This Row],[Site Name]],LocationsKey[Site Name], LocationsKey[Waterway])</f>
        <v>Carrant</v>
      </c>
      <c r="K406" t="s">
        <v>600</v>
      </c>
      <c r="L406">
        <f>_xlfn.XLOOKUP(AllDataCorrected[[#This Row],[Site Name]],Tables!$B$12:$B$78, Tables!C$12:C$78)</f>
        <v>51.996416567567572</v>
      </c>
      <c r="M406">
        <f>_xlfn.XLOOKUP(AllDataCorrected[[#This Row],[Site Name]],Tables!$B$12:$B$78, Tables!D$12:D$78)</f>
        <v>-2.1556626756756749</v>
      </c>
      <c r="N406" t="s">
        <v>23</v>
      </c>
      <c r="O406">
        <v>437</v>
      </c>
      <c r="P406">
        <v>10</v>
      </c>
      <c r="Q406">
        <v>3</v>
      </c>
      <c r="R406" t="str">
        <f>IF(AllDataCorrected[[#This Row],[Nitrate (PPM)]]&gt;2, "4. Very high (&gt;2ppm)", IF(AllDataCorrected[[#This Row],[Nitrate (PPM)]]&gt;1, "3. High (1-2ppm)", IF(AllDataCorrected[[#This Row],[Nitrate (PPM)]]&gt;0.5, "2. Some evidence (0.5-1ppm)", IF(AllDataCorrected[[#This Row],[Nitrate (PPM)]]&gt;=0, "1. No evidence (&lt;0.5ppm)"))))</f>
        <v>4. Very high (&gt;2ppm)</v>
      </c>
      <c r="S406">
        <v>0.73</v>
      </c>
      <c r="T4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6">
        <v>2.15</v>
      </c>
      <c r="V406" t="s">
        <v>645</v>
      </c>
    </row>
    <row r="407" spans="1:22" x14ac:dyDescent="0.25">
      <c r="A407" t="s">
        <v>646</v>
      </c>
      <c r="B407" s="2">
        <v>45333</v>
      </c>
      <c r="C407" t="str" cm="1">
        <f t="array" ref="C4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7">
        <v>2023</v>
      </c>
      <c r="E407" s="1">
        <v>0.4236111111111111</v>
      </c>
      <c r="F4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7" t="str">
        <f>_xlfn.XLOOKUP(AllDataCorrected[[#This Row],[Location Name]], Locations[Location Name],Locations[Group As])</f>
        <v>Fell Mill Footbridge</v>
      </c>
      <c r="H407" t="e" vm="2">
        <f>_xlfn.XLOOKUP(AllDataCorrected[[#This Row],[Site Name]],LocationsKey[Site Name],LocationsKey[District])</f>
        <v>#VALUE!</v>
      </c>
      <c r="I407" t="e" vm="10">
        <f>_xlfn.XLOOKUP(AllDataCorrected[[#This Row],[Site Name]],LocationsKey[Site Name],LocationsKey[Town])</f>
        <v>#VALUE!</v>
      </c>
      <c r="J407" t="str">
        <f>_xlfn.XLOOKUP(AllDataCorrected[[#This Row],[Site Name]],LocationsKey[Site Name], LocationsKey[Waterway])</f>
        <v>Stour</v>
      </c>
      <c r="K407" t="s">
        <v>496</v>
      </c>
      <c r="L407">
        <f>_xlfn.XLOOKUP(AllDataCorrected[[#This Row],[Site Name]],Tables!$B$12:$B$78, Tables!C$12:C$78)</f>
        <v>52.067966827586183</v>
      </c>
      <c r="M407">
        <f>_xlfn.XLOOKUP(AllDataCorrected[[#This Row],[Site Name]],Tables!$B$12:$B$78, Tables!D$12:D$78)</f>
        <v>-1.6118101379310343</v>
      </c>
      <c r="N407" t="s">
        <v>29</v>
      </c>
      <c r="O407">
        <v>559</v>
      </c>
      <c r="P407">
        <v>8.5</v>
      </c>
      <c r="Q407">
        <v>10</v>
      </c>
      <c r="R407" t="str">
        <f>IF(AllDataCorrected[[#This Row],[Nitrate (PPM)]]&gt;2, "4. Very high (&gt;2ppm)", IF(AllDataCorrected[[#This Row],[Nitrate (PPM)]]&gt;1, "3. High (1-2ppm)", IF(AllDataCorrected[[#This Row],[Nitrate (PPM)]]&gt;0.5, "2. Some evidence (0.5-1ppm)", IF(AllDataCorrected[[#This Row],[Nitrate (PPM)]]&gt;=0, "1. No evidence (&lt;0.5ppm)"))))</f>
        <v>4. Very high (&gt;2ppm)</v>
      </c>
      <c r="S407">
        <v>0.71</v>
      </c>
      <c r="T4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7">
        <v>1.5</v>
      </c>
    </row>
    <row r="408" spans="1:22" x14ac:dyDescent="0.25">
      <c r="A408" t="s">
        <v>647</v>
      </c>
      <c r="B408" s="2">
        <v>45333</v>
      </c>
      <c r="C408" t="str" cm="1">
        <f t="array" ref="C4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8">
        <v>2023</v>
      </c>
      <c r="E408" s="1">
        <v>0.47916666666666669</v>
      </c>
      <c r="F4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8" t="str">
        <f>_xlfn.XLOOKUP(AllDataCorrected[[#This Row],[Location Name]], Locations[Location Name],Locations[Group As])</f>
        <v>The Ford, Langley</v>
      </c>
      <c r="H408" t="e" vm="2">
        <f>_xlfn.XLOOKUP(AllDataCorrected[[#This Row],[Site Name]],LocationsKey[Site Name],LocationsKey[District])</f>
        <v>#VALUE!</v>
      </c>
      <c r="I408" t="str">
        <f>_xlfn.XLOOKUP(AllDataCorrected[[#This Row],[Site Name]],LocationsKey[Site Name],LocationsKey[Town])</f>
        <v>Langley</v>
      </c>
      <c r="J408" t="str">
        <f>_xlfn.XLOOKUP(AllDataCorrected[[#This Row],[Site Name]],LocationsKey[Site Name], LocationsKey[Waterway])</f>
        <v>Langley Ford</v>
      </c>
      <c r="K408" t="s">
        <v>557</v>
      </c>
      <c r="L408">
        <f>_xlfn.XLOOKUP(AllDataCorrected[[#This Row],[Site Name]],Tables!$B$12:$B$78, Tables!C$12:C$78)</f>
        <v>52.261724821428579</v>
      </c>
      <c r="M408">
        <f>_xlfn.XLOOKUP(AllDataCorrected[[#This Row],[Site Name]],Tables!$B$12:$B$78, Tables!D$12:D$78)</f>
        <v>-1.719408857142857</v>
      </c>
      <c r="N408" t="s">
        <v>29</v>
      </c>
      <c r="O408">
        <v>446</v>
      </c>
      <c r="P408">
        <v>9.4</v>
      </c>
      <c r="Q408">
        <v>7</v>
      </c>
      <c r="R408" t="str">
        <f>IF(AllDataCorrected[[#This Row],[Nitrate (PPM)]]&gt;2, "4. Very high (&gt;2ppm)", IF(AllDataCorrected[[#This Row],[Nitrate (PPM)]]&gt;1, "3. High (1-2ppm)", IF(AllDataCorrected[[#This Row],[Nitrate (PPM)]]&gt;0.5, "2. Some evidence (0.5-1ppm)", IF(AllDataCorrected[[#This Row],[Nitrate (PPM)]]&gt;=0, "1. No evidence (&lt;0.5ppm)"))))</f>
        <v>4. Very high (&gt;2ppm)</v>
      </c>
      <c r="S408">
        <v>0.78</v>
      </c>
      <c r="T4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8">
        <v>0.4</v>
      </c>
      <c r="V408" t="s">
        <v>648</v>
      </c>
    </row>
    <row r="409" spans="1:22" x14ac:dyDescent="0.25">
      <c r="A409" t="s">
        <v>649</v>
      </c>
      <c r="B409" s="2">
        <v>45333</v>
      </c>
      <c r="C409" t="str" cm="1">
        <f t="array" ref="C4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9">
        <v>2023</v>
      </c>
      <c r="E409" s="1">
        <v>0.57986111111111116</v>
      </c>
      <c r="F4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9" t="str">
        <f>_xlfn.XLOOKUP(AllDataCorrected[[#This Row],[Location Name]], Locations[Location Name],Locations[Group As])</f>
        <v>Clifford Chambers Mill Bridge</v>
      </c>
      <c r="H409" t="e" vm="2">
        <f>_xlfn.XLOOKUP(AllDataCorrected[[#This Row],[Site Name]],LocationsKey[Site Name],LocationsKey[District])</f>
        <v>#VALUE!</v>
      </c>
      <c r="I409" t="e" vm="12">
        <f>_xlfn.XLOOKUP(AllDataCorrected[[#This Row],[Site Name]],LocationsKey[Site Name],LocationsKey[Town])</f>
        <v>#VALUE!</v>
      </c>
      <c r="J409" t="str">
        <f>_xlfn.XLOOKUP(AllDataCorrected[[#This Row],[Site Name]],LocationsKey[Site Name], LocationsKey[Waterway])</f>
        <v>Stour</v>
      </c>
      <c r="K409" t="s">
        <v>263</v>
      </c>
      <c r="L409">
        <f>_xlfn.XLOOKUP(AllDataCorrected[[#This Row],[Site Name]],Tables!$B$12:$B$78, Tables!C$12:C$78)</f>
        <v>52.166358517241363</v>
      </c>
      <c r="M409">
        <f>_xlfn.XLOOKUP(AllDataCorrected[[#This Row],[Site Name]],Tables!$B$12:$B$78, Tables!D$12:D$78)</f>
        <v>-1.7080419310344837</v>
      </c>
      <c r="N409" t="s">
        <v>66</v>
      </c>
      <c r="O409">
        <v>554</v>
      </c>
      <c r="P409">
        <v>11.3</v>
      </c>
      <c r="Q409">
        <v>4</v>
      </c>
      <c r="R409" t="str">
        <f>IF(AllDataCorrected[[#This Row],[Nitrate (PPM)]]&gt;2, "4. Very high (&gt;2ppm)", IF(AllDataCorrected[[#This Row],[Nitrate (PPM)]]&gt;1, "3. High (1-2ppm)", IF(AllDataCorrected[[#This Row],[Nitrate (PPM)]]&gt;0.5, "2. Some evidence (0.5-1ppm)", IF(AllDataCorrected[[#This Row],[Nitrate (PPM)]]&gt;=0, "1. No evidence (&lt;0.5ppm)"))))</f>
        <v>4. Very high (&gt;2ppm)</v>
      </c>
      <c r="S409">
        <v>0.4</v>
      </c>
      <c r="T4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9">
        <v>1.4</v>
      </c>
      <c r="V409" t="s">
        <v>650</v>
      </c>
    </row>
    <row r="410" spans="1:22" x14ac:dyDescent="0.25">
      <c r="A410" t="s">
        <v>651</v>
      </c>
      <c r="B410" s="2">
        <v>45333</v>
      </c>
      <c r="C410" t="str" cm="1">
        <f t="array" ref="C4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0">
        <v>2023</v>
      </c>
      <c r="E410" s="1">
        <v>0.61250000000000004</v>
      </c>
      <c r="F4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0" t="str">
        <f>_xlfn.XLOOKUP(AllDataCorrected[[#This Row],[Location Name]], Locations[Location Name],Locations[Group As])</f>
        <v>Black Bear</v>
      </c>
      <c r="H410" t="e" vm="1">
        <f>_xlfn.XLOOKUP(AllDataCorrected[[#This Row],[Site Name]],LocationsKey[Site Name],LocationsKey[District])</f>
        <v>#VALUE!</v>
      </c>
      <c r="I410" t="e" vm="1">
        <f>_xlfn.XLOOKUP(AllDataCorrected[[#This Row],[Site Name]],LocationsKey[Site Name],LocationsKey[Town])</f>
        <v>#VALUE!</v>
      </c>
      <c r="J410" t="str">
        <f>_xlfn.XLOOKUP(AllDataCorrected[[#This Row],[Site Name]],LocationsKey[Site Name], LocationsKey[Waterway])</f>
        <v>Avon</v>
      </c>
      <c r="K410" t="s">
        <v>567</v>
      </c>
      <c r="L410">
        <f>_xlfn.XLOOKUP(AllDataCorrected[[#This Row],[Site Name]],Tables!$B$12:$B$78, Tables!C$12:C$78)</f>
        <v>51.997435214285723</v>
      </c>
      <c r="M410">
        <f>_xlfn.XLOOKUP(AllDataCorrected[[#This Row],[Site Name]],Tables!$B$12:$B$78, Tables!D$12:D$78)</f>
        <v>-2.1562056785714288</v>
      </c>
      <c r="N410" t="s">
        <v>23</v>
      </c>
      <c r="O410">
        <v>415</v>
      </c>
      <c r="P410">
        <v>12</v>
      </c>
      <c r="Q410">
        <v>7</v>
      </c>
      <c r="R410" t="str">
        <f>IF(AllDataCorrected[[#This Row],[Nitrate (PPM)]]&gt;2, "4. Very high (&gt;2ppm)", IF(AllDataCorrected[[#This Row],[Nitrate (PPM)]]&gt;1, "3. High (1-2ppm)", IF(AllDataCorrected[[#This Row],[Nitrate (PPM)]]&gt;0.5, "2. Some evidence (0.5-1ppm)", IF(AllDataCorrected[[#This Row],[Nitrate (PPM)]]&gt;=0, "1. No evidence (&lt;0.5ppm)"))))</f>
        <v>4. Very high (&gt;2ppm)</v>
      </c>
      <c r="S410">
        <v>0.91</v>
      </c>
      <c r="T4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0">
        <v>3</v>
      </c>
      <c r="V410" t="s">
        <v>270</v>
      </c>
    </row>
    <row r="411" spans="1:22" x14ac:dyDescent="0.25">
      <c r="A411" t="s">
        <v>652</v>
      </c>
      <c r="B411" s="2">
        <v>45333</v>
      </c>
      <c r="C411" t="str" cm="1">
        <f t="array" ref="C4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1">
        <v>2023</v>
      </c>
      <c r="E411" s="1">
        <v>0.625</v>
      </c>
      <c r="F4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1" t="str">
        <f>_xlfn.XLOOKUP(AllDataCorrected[[#This Row],[Location Name]], Locations[Location Name],Locations[Group As])</f>
        <v>Sherbourne Brook 1</v>
      </c>
      <c r="H411" t="e" vm="2">
        <f>_xlfn.XLOOKUP(AllDataCorrected[[#This Row],[Site Name]],LocationsKey[Site Name],LocationsKey[District])</f>
        <v>#VALUE!</v>
      </c>
      <c r="I411" t="e" vm="16">
        <f>_xlfn.XLOOKUP(AllDataCorrected[[#This Row],[Site Name]],LocationsKey[Site Name],LocationsKey[Town])</f>
        <v>#VALUE!</v>
      </c>
      <c r="J411" t="str">
        <f>_xlfn.XLOOKUP(AllDataCorrected[[#This Row],[Site Name]],LocationsKey[Site Name], LocationsKey[Waterway])</f>
        <v>Sherbourne Brook</v>
      </c>
      <c r="K411" t="s">
        <v>570</v>
      </c>
      <c r="L411">
        <f>_xlfn.XLOOKUP(AllDataCorrected[[#This Row],[Site Name]],Tables!$B$12:$B$78, Tables!C$12:C$78)</f>
        <v>52.252500000000033</v>
      </c>
      <c r="M411">
        <f>_xlfn.XLOOKUP(AllDataCorrected[[#This Row],[Site Name]],Tables!$B$12:$B$78, Tables!D$12:D$78)</f>
        <v>-1.6685000000000012</v>
      </c>
      <c r="N411" t="s">
        <v>23</v>
      </c>
      <c r="O411">
        <v>801</v>
      </c>
      <c r="P411">
        <v>9.5</v>
      </c>
      <c r="Q411">
        <v>7</v>
      </c>
      <c r="R411" t="str">
        <f>IF(AllDataCorrected[[#This Row],[Nitrate (PPM)]]&gt;2, "4. Very high (&gt;2ppm)", IF(AllDataCorrected[[#This Row],[Nitrate (PPM)]]&gt;1, "3. High (1-2ppm)", IF(AllDataCorrected[[#This Row],[Nitrate (PPM)]]&gt;0.5, "2. Some evidence (0.5-1ppm)", IF(AllDataCorrected[[#This Row],[Nitrate (PPM)]]&gt;=0, "1. No evidence (&lt;0.5ppm)"))))</f>
        <v>4. Very high (&gt;2ppm)</v>
      </c>
      <c r="S411">
        <v>0.72</v>
      </c>
      <c r="T4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1">
        <v>0.5</v>
      </c>
    </row>
    <row r="412" spans="1:22" x14ac:dyDescent="0.25">
      <c r="A412" t="s">
        <v>653</v>
      </c>
      <c r="B412" s="2">
        <v>45333</v>
      </c>
      <c r="C412" t="str" cm="1">
        <f t="array" ref="C4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2">
        <v>2023</v>
      </c>
      <c r="E412" s="1">
        <v>0.63194444444444442</v>
      </c>
      <c r="F4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2" t="str">
        <f>_xlfn.XLOOKUP(AllDataCorrected[[#This Row],[Location Name]], Locations[Location Name],Locations[Group As])</f>
        <v>Stour Shipston Mill Bridge</v>
      </c>
      <c r="H412" t="e" vm="2">
        <f>_xlfn.XLOOKUP(AllDataCorrected[[#This Row],[Site Name]],LocationsKey[Site Name],LocationsKey[District])</f>
        <v>#VALUE!</v>
      </c>
      <c r="I412" t="e" vm="10">
        <f>_xlfn.XLOOKUP(AllDataCorrected[[#This Row],[Site Name]],LocationsKey[Site Name],LocationsKey[Town])</f>
        <v>#VALUE!</v>
      </c>
      <c r="J412" t="str">
        <f>_xlfn.XLOOKUP(AllDataCorrected[[#This Row],[Site Name]],LocationsKey[Site Name], LocationsKey[Waterway])</f>
        <v>Stour</v>
      </c>
      <c r="K412" t="s">
        <v>432</v>
      </c>
      <c r="L412">
        <f>_xlfn.XLOOKUP(AllDataCorrected[[#This Row],[Site Name]],Tables!$B$12:$B$78, Tables!C$12:C$78)</f>
        <v>52.06201572727273</v>
      </c>
      <c r="M412">
        <f>_xlfn.XLOOKUP(AllDataCorrected[[#This Row],[Site Name]],Tables!$B$12:$B$78, Tables!D$12:D$78)</f>
        <v>-1.6218167272727273</v>
      </c>
      <c r="N412" t="s">
        <v>23</v>
      </c>
      <c r="O412">
        <v>472</v>
      </c>
      <c r="P412">
        <v>8</v>
      </c>
      <c r="Q412">
        <v>5</v>
      </c>
      <c r="R412" t="str">
        <f>IF(AllDataCorrected[[#This Row],[Nitrate (PPM)]]&gt;2, "4. Very high (&gt;2ppm)", IF(AllDataCorrected[[#This Row],[Nitrate (PPM)]]&gt;1, "3. High (1-2ppm)", IF(AllDataCorrected[[#This Row],[Nitrate (PPM)]]&gt;0.5, "2. Some evidence (0.5-1ppm)", IF(AllDataCorrected[[#This Row],[Nitrate (PPM)]]&gt;=0, "1. No evidence (&lt;0.5ppm)"))))</f>
        <v>4. Very high (&gt;2ppm)</v>
      </c>
      <c r="S412">
        <v>0.46</v>
      </c>
      <c r="T4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2">
        <v>1</v>
      </c>
    </row>
    <row r="413" spans="1:22" x14ac:dyDescent="0.25">
      <c r="A413" t="s">
        <v>654</v>
      </c>
      <c r="B413" s="2">
        <v>45333</v>
      </c>
      <c r="C413" t="str" cm="1">
        <f t="array" ref="C4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3">
        <v>2023</v>
      </c>
      <c r="E413" s="1">
        <v>0.63541666666666663</v>
      </c>
      <c r="F4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3" t="str">
        <f>_xlfn.XLOOKUP(AllDataCorrected[[#This Row],[Location Name]], Locations[Location Name],Locations[Group As])</f>
        <v>Bell Brook 1</v>
      </c>
      <c r="H413" t="e" vm="2">
        <f>_xlfn.XLOOKUP(AllDataCorrected[[#This Row],[Site Name]],LocationsKey[Site Name],LocationsKey[District])</f>
        <v>#VALUE!</v>
      </c>
      <c r="I413" t="e" vm="15">
        <f>_xlfn.XLOOKUP(AllDataCorrected[[#This Row],[Site Name]],LocationsKey[Site Name],LocationsKey[Town])</f>
        <v>#VALUE!</v>
      </c>
      <c r="J413" t="str">
        <f>_xlfn.XLOOKUP(AllDataCorrected[[#This Row],[Site Name]],LocationsKey[Site Name], LocationsKey[Waterway])</f>
        <v>Bell Brook</v>
      </c>
      <c r="K413" t="s">
        <v>534</v>
      </c>
      <c r="L413">
        <f>_xlfn.XLOOKUP(AllDataCorrected[[#This Row],[Site Name]],Tables!$B$12:$B$78, Tables!C$12:C$78)</f>
        <v>52.24489999999998</v>
      </c>
      <c r="M413">
        <f>_xlfn.XLOOKUP(AllDataCorrected[[#This Row],[Site Name]],Tables!$B$12:$B$78, Tables!D$12:D$78)</f>
        <v>-1.6617000000000013</v>
      </c>
      <c r="N413" t="s">
        <v>23</v>
      </c>
      <c r="O413">
        <v>545</v>
      </c>
      <c r="P413">
        <v>9</v>
      </c>
      <c r="Q413">
        <v>5</v>
      </c>
      <c r="R413" t="str">
        <f>IF(AllDataCorrected[[#This Row],[Nitrate (PPM)]]&gt;2, "4. Very high (&gt;2ppm)", IF(AllDataCorrected[[#This Row],[Nitrate (PPM)]]&gt;1, "3. High (1-2ppm)", IF(AllDataCorrected[[#This Row],[Nitrate (PPM)]]&gt;0.5, "2. Some evidence (0.5-1ppm)", IF(AllDataCorrected[[#This Row],[Nitrate (PPM)]]&gt;=0, "1. No evidence (&lt;0.5ppm)"))))</f>
        <v>4. Very high (&gt;2ppm)</v>
      </c>
      <c r="S413">
        <v>0.47</v>
      </c>
      <c r="T4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3">
        <v>0.5</v>
      </c>
    </row>
    <row r="414" spans="1:22" x14ac:dyDescent="0.25">
      <c r="A414" t="s">
        <v>655</v>
      </c>
      <c r="B414" s="2">
        <v>45333</v>
      </c>
      <c r="C414" t="str" cm="1">
        <f t="array" ref="C4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4">
        <v>2023</v>
      </c>
      <c r="E414" s="1">
        <v>0.67083333333333328</v>
      </c>
      <c r="F4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4" t="str">
        <f>_xlfn.XLOOKUP(AllDataCorrected[[#This Row],[Location Name]], Locations[Location Name],Locations[Group As])</f>
        <v>Abbey Mill</v>
      </c>
      <c r="H414" t="e" vm="1">
        <f>_xlfn.XLOOKUP(AllDataCorrected[[#This Row],[Site Name]],LocationsKey[Site Name],LocationsKey[District])</f>
        <v>#VALUE!</v>
      </c>
      <c r="I414" t="e" vm="1">
        <f>_xlfn.XLOOKUP(AllDataCorrected[[#This Row],[Site Name]],LocationsKey[Site Name],LocationsKey[Town])</f>
        <v>#VALUE!</v>
      </c>
      <c r="J414" t="str">
        <f>_xlfn.XLOOKUP(AllDataCorrected[[#This Row],[Site Name]],LocationsKey[Site Name], LocationsKey[Waterway])</f>
        <v>Avon</v>
      </c>
      <c r="K414" t="s">
        <v>25</v>
      </c>
      <c r="L414">
        <f>_xlfn.XLOOKUP(AllDataCorrected[[#This Row],[Site Name]],Tables!$B$12:$B$78, Tables!C$12:C$78)</f>
        <v>51.991389555555564</v>
      </c>
      <c r="M414">
        <f>_xlfn.XLOOKUP(AllDataCorrected[[#This Row],[Site Name]],Tables!$B$12:$B$78, Tables!D$12:D$78)</f>
        <v>-2.1620794000000005</v>
      </c>
      <c r="N414" t="s">
        <v>23</v>
      </c>
      <c r="O414">
        <v>430</v>
      </c>
      <c r="P414">
        <v>9.8000000000000007</v>
      </c>
      <c r="Q414">
        <v>4</v>
      </c>
      <c r="R414" t="str">
        <f>IF(AllDataCorrected[[#This Row],[Nitrate (PPM)]]&gt;2, "4. Very high (&gt;2ppm)", IF(AllDataCorrected[[#This Row],[Nitrate (PPM)]]&gt;1, "3. High (1-2ppm)", IF(AllDataCorrected[[#This Row],[Nitrate (PPM)]]&gt;0.5, "2. Some evidence (0.5-1ppm)", IF(AllDataCorrected[[#This Row],[Nitrate (PPM)]]&gt;=0, "1. No evidence (&lt;0.5ppm)"))))</f>
        <v>4. Very high (&gt;2ppm)</v>
      </c>
      <c r="S414">
        <v>0.71</v>
      </c>
      <c r="T4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4">
        <v>2.5</v>
      </c>
      <c r="V414" t="s">
        <v>656</v>
      </c>
    </row>
    <row r="415" spans="1:22" x14ac:dyDescent="0.25">
      <c r="A415" t="s">
        <v>1743</v>
      </c>
      <c r="B415" s="2">
        <v>45333</v>
      </c>
      <c r="C415" t="str" cm="1">
        <f t="array" ref="C4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5">
        <v>2023</v>
      </c>
      <c r="F41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5" t="str">
        <f>_xlfn.XLOOKUP(AllDataCorrected[[#This Row],[Location Name]], Locations[Location Name],Locations[Group As])</f>
        <v>Site 1  :  Middle Street</v>
      </c>
      <c r="H415" t="e" vm="2">
        <f>_xlfn.XLOOKUP(AllDataCorrected[[#This Row],[Site Name]],LocationsKey[Site Name],LocationsKey[District])</f>
        <v>#VALUE!</v>
      </c>
      <c r="I415" t="e" vm="11">
        <f>_xlfn.XLOOKUP(AllDataCorrected[[#This Row],[Site Name]],LocationsKey[Site Name],LocationsKey[Town])</f>
        <v>#VALUE!</v>
      </c>
      <c r="J415" t="str">
        <f>_xlfn.XLOOKUP(AllDataCorrected[[#This Row],[Site Name]],LocationsKey[Site Name], LocationsKey[Waterway])</f>
        <v>Fosseway Brook</v>
      </c>
      <c r="K415" t="s">
        <v>1859</v>
      </c>
      <c r="L415">
        <f>_xlfn.XLOOKUP(AllDataCorrected[[#This Row],[Site Name]],Tables!$B$12:$B$78, Tables!C$12:C$78)</f>
        <v>52.090077380952394</v>
      </c>
      <c r="M415">
        <f>_xlfn.XLOOKUP(AllDataCorrected[[#This Row],[Site Name]],Tables!$B$12:$B$78, Tables!D$12:D$78)</f>
        <v>-1.6926051666666673</v>
      </c>
      <c r="N415" t="s">
        <v>66</v>
      </c>
      <c r="O415">
        <v>607</v>
      </c>
      <c r="P415">
        <v>10.4</v>
      </c>
      <c r="Q415">
        <v>2</v>
      </c>
      <c r="R415" t="str">
        <f>IF(AllDataCorrected[[#This Row],[Nitrate (PPM)]]&gt;2, "4. Very high (&gt;2ppm)", IF(AllDataCorrected[[#This Row],[Nitrate (PPM)]]&gt;1, "3. High (1-2ppm)", IF(AllDataCorrected[[#This Row],[Nitrate (PPM)]]&gt;0.5, "2. Some evidence (0.5-1ppm)", IF(AllDataCorrected[[#This Row],[Nitrate (PPM)]]&gt;=0, "1. No evidence (&lt;0.5ppm)"))))</f>
        <v>3. High (1-2ppm)</v>
      </c>
      <c r="S415">
        <v>0.36</v>
      </c>
      <c r="T4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5">
        <v>0</v>
      </c>
      <c r="V415" t="s">
        <v>1894</v>
      </c>
    </row>
    <row r="416" spans="1:22" x14ac:dyDescent="0.25">
      <c r="A416" t="s">
        <v>1462</v>
      </c>
      <c r="B416" s="2">
        <v>45333</v>
      </c>
      <c r="C416" t="str" cm="1">
        <f t="array" ref="C4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6">
        <v>2023</v>
      </c>
      <c r="F41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6" t="str">
        <f>_xlfn.XLOOKUP(AllDataCorrected[[#This Row],[Location Name]], Locations[Location Name],Locations[Group As])</f>
        <v>Site 1  :  Middle Street</v>
      </c>
      <c r="H416" t="e" vm="2">
        <f>_xlfn.XLOOKUP(AllDataCorrected[[#This Row],[Site Name]],LocationsKey[Site Name],LocationsKey[District])</f>
        <v>#VALUE!</v>
      </c>
      <c r="I416" t="e" vm="11">
        <f>_xlfn.XLOOKUP(AllDataCorrected[[#This Row],[Site Name]],LocationsKey[Site Name],LocationsKey[Town])</f>
        <v>#VALUE!</v>
      </c>
      <c r="J416" t="str">
        <f>_xlfn.XLOOKUP(AllDataCorrected[[#This Row],[Site Name]],LocationsKey[Site Name], LocationsKey[Waterway])</f>
        <v>Fosseway Brook</v>
      </c>
      <c r="K416" t="s">
        <v>1373</v>
      </c>
      <c r="L416">
        <f>_xlfn.XLOOKUP(AllDataCorrected[[#This Row],[Site Name]],Tables!$B$12:$B$78, Tables!C$12:C$78)</f>
        <v>52.090077380952394</v>
      </c>
      <c r="M416">
        <f>_xlfn.XLOOKUP(AllDataCorrected[[#This Row],[Site Name]],Tables!$B$12:$B$78, Tables!D$12:D$78)</f>
        <v>-1.6926051666666673</v>
      </c>
      <c r="N416" t="s">
        <v>66</v>
      </c>
      <c r="O416">
        <v>607</v>
      </c>
      <c r="P416">
        <v>10.4</v>
      </c>
      <c r="Q416">
        <v>2</v>
      </c>
      <c r="R416" t="str">
        <f>IF(AllDataCorrected[[#This Row],[Nitrate (PPM)]]&gt;2, "4. Very high (&gt;2ppm)", IF(AllDataCorrected[[#This Row],[Nitrate (PPM)]]&gt;1, "3. High (1-2ppm)", IF(AllDataCorrected[[#This Row],[Nitrate (PPM)]]&gt;0.5, "2. Some evidence (0.5-1ppm)", IF(AllDataCorrected[[#This Row],[Nitrate (PPM)]]&gt;=0, "1. No evidence (&lt;0.5ppm)"))))</f>
        <v>3. High (1-2ppm)</v>
      </c>
      <c r="S416">
        <v>0.36</v>
      </c>
      <c r="T4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16" t="s">
        <v>1463</v>
      </c>
    </row>
    <row r="417" spans="1:22" x14ac:dyDescent="0.25">
      <c r="A417" t="s">
        <v>1753</v>
      </c>
      <c r="B417" s="2">
        <v>45333</v>
      </c>
      <c r="C417" t="str" cm="1">
        <f t="array" ref="C4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7">
        <v>2023</v>
      </c>
      <c r="F4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7" t="str">
        <f>_xlfn.XLOOKUP(AllDataCorrected[[#This Row],[Location Name]], Locations[Location Name],Locations[Group As])</f>
        <v>Site 3  :  Severn Trent Water processing plant outflow</v>
      </c>
      <c r="H417" t="e" vm="2">
        <f>_xlfn.XLOOKUP(AllDataCorrected[[#This Row],[Site Name]],LocationsKey[Site Name],LocationsKey[District])</f>
        <v>#VALUE!</v>
      </c>
      <c r="I417" t="e" vm="11">
        <f>_xlfn.XLOOKUP(AllDataCorrected[[#This Row],[Site Name]],LocationsKey[Site Name],LocationsKey[Town])</f>
        <v>#VALUE!</v>
      </c>
      <c r="J417" t="str">
        <f>_xlfn.XLOOKUP(AllDataCorrected[[#This Row],[Site Name]],LocationsKey[Site Name], LocationsKey[Waterway])</f>
        <v>Fosseway Brook</v>
      </c>
      <c r="K417" t="s">
        <v>1861</v>
      </c>
      <c r="L417">
        <f>_xlfn.XLOOKUP(AllDataCorrected[[#This Row],[Site Name]],Tables!$B$12:$B$78, Tables!C$12:C$78)</f>
        <v>52.094341024390218</v>
      </c>
      <c r="M417">
        <f>_xlfn.XLOOKUP(AllDataCorrected[[#This Row],[Site Name]],Tables!$B$12:$B$78, Tables!D$12:D$78)</f>
        <v>-1.6731015853658531</v>
      </c>
      <c r="N417" t="s">
        <v>29</v>
      </c>
      <c r="O417">
        <v>744</v>
      </c>
      <c r="P417">
        <v>10.199999999999999</v>
      </c>
      <c r="Q417">
        <v>5</v>
      </c>
      <c r="R417" t="str">
        <f>IF(AllDataCorrected[[#This Row],[Nitrate (PPM)]]&gt;2, "4. Very high (&gt;2ppm)", IF(AllDataCorrected[[#This Row],[Nitrate (PPM)]]&gt;1, "3. High (1-2ppm)", IF(AllDataCorrected[[#This Row],[Nitrate (PPM)]]&gt;0.5, "2. Some evidence (0.5-1ppm)", IF(AllDataCorrected[[#This Row],[Nitrate (PPM)]]&gt;=0, "1. No evidence (&lt;0.5ppm)"))))</f>
        <v>4. Very high (&gt;2ppm)</v>
      </c>
      <c r="S417">
        <v>2.13</v>
      </c>
      <c r="T4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7">
        <v>0</v>
      </c>
      <c r="V417" t="s">
        <v>1901</v>
      </c>
    </row>
    <row r="418" spans="1:22" x14ac:dyDescent="0.25">
      <c r="A418" t="s">
        <v>1448</v>
      </c>
      <c r="B418" s="2">
        <v>45333</v>
      </c>
      <c r="C418" t="str" cm="1">
        <f t="array" ref="C4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8">
        <v>2023</v>
      </c>
      <c r="F4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8" t="str">
        <f>_xlfn.XLOOKUP(AllDataCorrected[[#This Row],[Location Name]], Locations[Location Name],Locations[Group As])</f>
        <v>Site 3  :  Severn Trent Water processing plant outflow</v>
      </c>
      <c r="H418" t="e" vm="2">
        <f>_xlfn.XLOOKUP(AllDataCorrected[[#This Row],[Site Name]],LocationsKey[Site Name],LocationsKey[District])</f>
        <v>#VALUE!</v>
      </c>
      <c r="I418" t="e" vm="11">
        <f>_xlfn.XLOOKUP(AllDataCorrected[[#This Row],[Site Name]],LocationsKey[Site Name],LocationsKey[Town])</f>
        <v>#VALUE!</v>
      </c>
      <c r="J418" t="str">
        <f>_xlfn.XLOOKUP(AllDataCorrected[[#This Row],[Site Name]],LocationsKey[Site Name], LocationsKey[Waterway])</f>
        <v>Fosseway Brook</v>
      </c>
      <c r="K418" t="s">
        <v>1368</v>
      </c>
      <c r="L418">
        <f>_xlfn.XLOOKUP(AllDataCorrected[[#This Row],[Site Name]],Tables!$B$12:$B$78, Tables!C$12:C$78)</f>
        <v>52.094341024390218</v>
      </c>
      <c r="M418">
        <f>_xlfn.XLOOKUP(AllDataCorrected[[#This Row],[Site Name]],Tables!$B$12:$B$78, Tables!D$12:D$78)</f>
        <v>-1.6731015853658531</v>
      </c>
      <c r="N418" t="s">
        <v>29</v>
      </c>
      <c r="O418">
        <v>744</v>
      </c>
      <c r="P418">
        <v>10.199999999999999</v>
      </c>
      <c r="Q418">
        <v>5</v>
      </c>
      <c r="R418" t="str">
        <f>IF(AllDataCorrected[[#This Row],[Nitrate (PPM)]]&gt;2, "4. Very high (&gt;2ppm)", IF(AllDataCorrected[[#This Row],[Nitrate (PPM)]]&gt;1, "3. High (1-2ppm)", IF(AllDataCorrected[[#This Row],[Nitrate (PPM)]]&gt;0.5, "2. Some evidence (0.5-1ppm)", IF(AllDataCorrected[[#This Row],[Nitrate (PPM)]]&gt;=0, "1. No evidence (&lt;0.5ppm)"))))</f>
        <v>4. Very high (&gt;2ppm)</v>
      </c>
      <c r="S418">
        <v>2.13</v>
      </c>
      <c r="T4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18" t="s">
        <v>1369</v>
      </c>
    </row>
    <row r="419" spans="1:22" x14ac:dyDescent="0.25">
      <c r="A419" t="s">
        <v>657</v>
      </c>
      <c r="B419" s="2">
        <v>45336</v>
      </c>
      <c r="C419" t="str" cm="1">
        <f t="array" ref="C4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9">
        <v>2023</v>
      </c>
      <c r="E419" s="1">
        <v>0.11458333333333333</v>
      </c>
      <c r="F4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9" t="str">
        <f>_xlfn.XLOOKUP(AllDataCorrected[[#This Row],[Location Name]], Locations[Location Name],Locations[Group As])</f>
        <v>Swiffen Bank</v>
      </c>
      <c r="H419" t="e" vm="2">
        <f>_xlfn.XLOOKUP(AllDataCorrected[[#This Row],[Site Name]],LocationsKey[Site Name],LocationsKey[District])</f>
        <v>#VALUE!</v>
      </c>
      <c r="I419" t="e" vm="13">
        <f>_xlfn.XLOOKUP(AllDataCorrected[[#This Row],[Site Name]],LocationsKey[Site Name],LocationsKey[Town])</f>
        <v>#VALUE!</v>
      </c>
      <c r="J419" t="str">
        <f>_xlfn.XLOOKUP(AllDataCorrected[[#This Row],[Site Name]],LocationsKey[Site Name], LocationsKey[Waterway])</f>
        <v>Avon</v>
      </c>
      <c r="K419" t="s">
        <v>284</v>
      </c>
      <c r="L419">
        <f>_xlfn.XLOOKUP(AllDataCorrected[[#This Row],[Site Name]],Tables!$B$12:$B$78, Tables!C$12:C$78)</f>
        <v>52.206446825000015</v>
      </c>
      <c r="M419">
        <f>_xlfn.XLOOKUP(AllDataCorrected[[#This Row],[Site Name]],Tables!$B$12:$B$78, Tables!D$12:D$78)</f>
        <v>-1.6541684000000003</v>
      </c>
      <c r="N419" t="s">
        <v>29</v>
      </c>
      <c r="O419">
        <v>535</v>
      </c>
      <c r="P419">
        <v>13.4</v>
      </c>
      <c r="Q419">
        <v>5</v>
      </c>
      <c r="R419" t="str">
        <f>IF(AllDataCorrected[[#This Row],[Nitrate (PPM)]]&gt;2, "4. Very high (&gt;2ppm)", IF(AllDataCorrected[[#This Row],[Nitrate (PPM)]]&gt;1, "3. High (1-2ppm)", IF(AllDataCorrected[[#This Row],[Nitrate (PPM)]]&gt;0.5, "2. Some evidence (0.5-1ppm)", IF(AllDataCorrected[[#This Row],[Nitrate (PPM)]]&gt;=0, "1. No evidence (&lt;0.5ppm)"))))</f>
        <v>4. Very high (&gt;2ppm)</v>
      </c>
      <c r="S419">
        <v>0.67</v>
      </c>
      <c r="T4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9">
        <v>1.5</v>
      </c>
      <c r="V419" t="s">
        <v>658</v>
      </c>
    </row>
    <row r="420" spans="1:22" x14ac:dyDescent="0.25">
      <c r="A420" t="s">
        <v>659</v>
      </c>
      <c r="B420" s="2">
        <v>45336</v>
      </c>
      <c r="C420" t="str" cm="1">
        <f t="array" ref="C4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0">
        <v>2023</v>
      </c>
      <c r="E420" s="1">
        <v>0.59722222222222221</v>
      </c>
      <c r="F4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0" t="str">
        <f>_xlfn.XLOOKUP(AllDataCorrected[[#This Row],[Location Name]], Locations[Location Name],Locations[Group As])</f>
        <v>Stour Stretton-on-Fosse Village</v>
      </c>
      <c r="H420" t="e" vm="2">
        <f>_xlfn.XLOOKUP(AllDataCorrected[[#This Row],[Site Name]],LocationsKey[Site Name],LocationsKey[District])</f>
        <v>#VALUE!</v>
      </c>
      <c r="I420" t="e" vm="14">
        <f>_xlfn.XLOOKUP(AllDataCorrected[[#This Row],[Site Name]],LocationsKey[Site Name],LocationsKey[Town])</f>
        <v>#VALUE!</v>
      </c>
      <c r="J420" t="str">
        <f>_xlfn.XLOOKUP(AllDataCorrected[[#This Row],[Site Name]],LocationsKey[Site Name], LocationsKey[Waterway])</f>
        <v>Stour</v>
      </c>
      <c r="K420" t="s">
        <v>544</v>
      </c>
      <c r="L420">
        <f>_xlfn.XLOOKUP(AllDataCorrected[[#This Row],[Site Name]],Tables!$B$12:$B$78, Tables!C$12:C$78)</f>
        <v>52.046517558823524</v>
      </c>
      <c r="M420">
        <f>_xlfn.XLOOKUP(AllDataCorrected[[#This Row],[Site Name]],Tables!$B$12:$B$78, Tables!D$12:D$78)</f>
        <v>-1.6734143529411767</v>
      </c>
      <c r="N420" t="s">
        <v>66</v>
      </c>
      <c r="O420">
        <v>418</v>
      </c>
      <c r="P420">
        <v>11.2</v>
      </c>
      <c r="Q420">
        <v>2</v>
      </c>
      <c r="R420" t="str">
        <f>IF(AllDataCorrected[[#This Row],[Nitrate (PPM)]]&gt;2, "4. Very high (&gt;2ppm)", IF(AllDataCorrected[[#This Row],[Nitrate (PPM)]]&gt;1, "3. High (1-2ppm)", IF(AllDataCorrected[[#This Row],[Nitrate (PPM)]]&gt;0.5, "2. Some evidence (0.5-1ppm)", IF(AllDataCorrected[[#This Row],[Nitrate (PPM)]]&gt;=0, "1. No evidence (&lt;0.5ppm)"))))</f>
        <v>3. High (1-2ppm)</v>
      </c>
      <c r="S420">
        <v>0.31</v>
      </c>
      <c r="T4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0">
        <v>0.45</v>
      </c>
    </row>
    <row r="421" spans="1:22" x14ac:dyDescent="0.25">
      <c r="A421" t="s">
        <v>660</v>
      </c>
      <c r="B421" s="2">
        <v>45336</v>
      </c>
      <c r="C421" t="str" cm="1">
        <f t="array" ref="C4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1">
        <v>2023</v>
      </c>
      <c r="E421" s="1">
        <v>0.61319444444444449</v>
      </c>
      <c r="F4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1" t="str">
        <f>_xlfn.XLOOKUP(AllDataCorrected[[#This Row],[Location Name]], Locations[Location Name],Locations[Group As])</f>
        <v>Stour Stretton-on-Fosse Sewage Works</v>
      </c>
      <c r="H421" t="e" vm="2">
        <f>_xlfn.XLOOKUP(AllDataCorrected[[#This Row],[Site Name]],LocationsKey[Site Name],LocationsKey[District])</f>
        <v>#VALUE!</v>
      </c>
      <c r="I421" t="e" vm="14">
        <f>_xlfn.XLOOKUP(AllDataCorrected[[#This Row],[Site Name]],LocationsKey[Site Name],LocationsKey[Town])</f>
        <v>#VALUE!</v>
      </c>
      <c r="J421" t="str">
        <f>_xlfn.XLOOKUP(AllDataCorrected[[#This Row],[Site Name]],LocationsKey[Site Name], LocationsKey[Waterway])</f>
        <v>Stour</v>
      </c>
      <c r="K421" t="s">
        <v>335</v>
      </c>
      <c r="L421">
        <f>_xlfn.XLOOKUP(AllDataCorrected[[#This Row],[Site Name]],Tables!$B$12:$B$78, Tables!C$12:C$78)</f>
        <v>52.045653647058806</v>
      </c>
      <c r="M421">
        <f>_xlfn.XLOOKUP(AllDataCorrected[[#This Row],[Site Name]],Tables!$B$12:$B$78, Tables!D$12:D$78)</f>
        <v>-1.6719221470588235</v>
      </c>
      <c r="N421" t="s">
        <v>29</v>
      </c>
      <c r="O421">
        <v>414</v>
      </c>
      <c r="P421">
        <v>11.2</v>
      </c>
      <c r="Q421">
        <v>3</v>
      </c>
      <c r="R421" t="str">
        <f>IF(AllDataCorrected[[#This Row],[Nitrate (PPM)]]&gt;2, "4. Very high (&gt;2ppm)", IF(AllDataCorrected[[#This Row],[Nitrate (PPM)]]&gt;1, "3. High (1-2ppm)", IF(AllDataCorrected[[#This Row],[Nitrate (PPM)]]&gt;0.5, "2. Some evidence (0.5-1ppm)", IF(AllDataCorrected[[#This Row],[Nitrate (PPM)]]&gt;=0, "1. No evidence (&lt;0.5ppm)"))))</f>
        <v>4. Very high (&gt;2ppm)</v>
      </c>
      <c r="S421">
        <v>0.13</v>
      </c>
      <c r="T4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1">
        <v>0.6</v>
      </c>
    </row>
    <row r="422" spans="1:22" x14ac:dyDescent="0.25">
      <c r="A422" t="s">
        <v>661</v>
      </c>
      <c r="B422" s="2">
        <v>45336</v>
      </c>
      <c r="C422" t="str" cm="1">
        <f t="array" ref="C4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2">
        <v>2023</v>
      </c>
      <c r="E422" s="1">
        <v>0.64722222222222225</v>
      </c>
      <c r="F4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2" t="str">
        <f>_xlfn.XLOOKUP(AllDataCorrected[[#This Row],[Location Name]], Locations[Location Name],Locations[Group As])</f>
        <v>Alveston Weir</v>
      </c>
      <c r="H422" t="e" vm="2">
        <f>_xlfn.XLOOKUP(AllDataCorrected[[#This Row],[Site Name]],LocationsKey[Site Name],LocationsKey[District])</f>
        <v>#VALUE!</v>
      </c>
      <c r="I422" t="e" vm="13">
        <f>_xlfn.XLOOKUP(AllDataCorrected[[#This Row],[Site Name]],LocationsKey[Site Name],LocationsKey[Town])</f>
        <v>#VALUE!</v>
      </c>
      <c r="J422" t="str">
        <f>_xlfn.XLOOKUP(AllDataCorrected[[#This Row],[Site Name]],LocationsKey[Site Name], LocationsKey[Waterway])</f>
        <v>Avon</v>
      </c>
      <c r="K422" t="s">
        <v>286</v>
      </c>
      <c r="L422">
        <f>_xlfn.XLOOKUP(AllDataCorrected[[#This Row],[Site Name]],Tables!$B$12:$B$78, Tables!C$12:C$78)</f>
        <v>52.212366690476216</v>
      </c>
      <c r="M422">
        <f>_xlfn.XLOOKUP(AllDataCorrected[[#This Row],[Site Name]],Tables!$B$12:$B$78, Tables!D$12:D$78)</f>
        <v>-1.6602567619047619</v>
      </c>
      <c r="N422" t="s">
        <v>29</v>
      </c>
      <c r="O422">
        <v>469</v>
      </c>
      <c r="P422">
        <v>10.7</v>
      </c>
      <c r="Q422">
        <v>5</v>
      </c>
      <c r="R422" t="str">
        <f>IF(AllDataCorrected[[#This Row],[Nitrate (PPM)]]&gt;2, "4. Very high (&gt;2ppm)", IF(AllDataCorrected[[#This Row],[Nitrate (PPM)]]&gt;1, "3. High (1-2ppm)", IF(AllDataCorrected[[#This Row],[Nitrate (PPM)]]&gt;0.5, "2. Some evidence (0.5-1ppm)", IF(AllDataCorrected[[#This Row],[Nitrate (PPM)]]&gt;=0, "1. No evidence (&lt;0.5ppm)"))))</f>
        <v>4. Very high (&gt;2ppm)</v>
      </c>
      <c r="S422">
        <v>0.59</v>
      </c>
      <c r="T4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2">
        <v>1.5</v>
      </c>
      <c r="V422" t="s">
        <v>662</v>
      </c>
    </row>
    <row r="423" spans="1:22" x14ac:dyDescent="0.25">
      <c r="A423" t="s">
        <v>663</v>
      </c>
      <c r="B423" s="2">
        <v>45336</v>
      </c>
      <c r="C423" t="str" cm="1">
        <f t="array" ref="C4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3">
        <v>2023</v>
      </c>
      <c r="E423" s="1">
        <v>0.70833333333333337</v>
      </c>
      <c r="F4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3" t="str">
        <f>_xlfn.XLOOKUP(AllDataCorrected[[#This Row],[Location Name]], Locations[Location Name],Locations[Group As])</f>
        <v>Stour Newbold Mill</v>
      </c>
      <c r="H423" t="e" vm="2">
        <f>_xlfn.XLOOKUP(AllDataCorrected[[#This Row],[Site Name]],LocationsKey[Site Name],LocationsKey[District])</f>
        <v>#VALUE!</v>
      </c>
      <c r="I423" t="e" vm="8">
        <f>_xlfn.XLOOKUP(AllDataCorrected[[#This Row],[Site Name]],LocationsKey[Site Name],LocationsKey[Town])</f>
        <v>#VALUE!</v>
      </c>
      <c r="J423" t="str">
        <f>_xlfn.XLOOKUP(AllDataCorrected[[#This Row],[Site Name]],LocationsKey[Site Name], LocationsKey[Waterway])</f>
        <v>Stour</v>
      </c>
      <c r="K423" t="s">
        <v>140</v>
      </c>
      <c r="L423">
        <f>_xlfn.XLOOKUP(AllDataCorrected[[#This Row],[Site Name]],Tables!$B$12:$B$78, Tables!C$12:C$78)</f>
        <v>52.113052370370362</v>
      </c>
      <c r="M423">
        <f>_xlfn.XLOOKUP(AllDataCorrected[[#This Row],[Site Name]],Tables!$B$12:$B$78, Tables!D$12:D$78)</f>
        <v>-1.6333685185185185</v>
      </c>
      <c r="N423" t="s">
        <v>66</v>
      </c>
      <c r="O423">
        <v>513</v>
      </c>
      <c r="P423">
        <v>11.2</v>
      </c>
      <c r="Q423">
        <v>2</v>
      </c>
      <c r="R423" t="str">
        <f>IF(AllDataCorrected[[#This Row],[Nitrate (PPM)]]&gt;2, "4. Very high (&gt;2ppm)", IF(AllDataCorrected[[#This Row],[Nitrate (PPM)]]&gt;1, "3. High (1-2ppm)", IF(AllDataCorrected[[#This Row],[Nitrate (PPM)]]&gt;0.5, "2. Some evidence (0.5-1ppm)", IF(AllDataCorrected[[#This Row],[Nitrate (PPM)]]&gt;=0, "1. No evidence (&lt;0.5ppm)"))))</f>
        <v>3. High (1-2ppm)</v>
      </c>
      <c r="S423">
        <v>0.1</v>
      </c>
      <c r="T42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23">
        <v>3.5</v>
      </c>
      <c r="V423" t="s">
        <v>664</v>
      </c>
    </row>
    <row r="424" spans="1:22" x14ac:dyDescent="0.25">
      <c r="A424" t="s">
        <v>665</v>
      </c>
      <c r="B424" s="2">
        <v>45337</v>
      </c>
      <c r="C424" t="str" cm="1">
        <f t="array" ref="C4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4">
        <v>2023</v>
      </c>
      <c r="E424" s="1">
        <v>0.49861111111111112</v>
      </c>
      <c r="F4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24" t="str">
        <f>_xlfn.XLOOKUP(AllDataCorrected[[#This Row],[Location Name]], Locations[Location Name],Locations[Group As])</f>
        <v>Stour Willington</v>
      </c>
      <c r="H424" t="e" vm="2">
        <f>_xlfn.XLOOKUP(AllDataCorrected[[#This Row],[Site Name]],LocationsKey[Site Name],LocationsKey[District])</f>
        <v>#VALUE!</v>
      </c>
      <c r="I424" t="str">
        <f>_xlfn.XLOOKUP(AllDataCorrected[[#This Row],[Site Name]],LocationsKey[Site Name],LocationsKey[Town])</f>
        <v>Willington</v>
      </c>
      <c r="J424" t="str">
        <f>_xlfn.XLOOKUP(AllDataCorrected[[#This Row],[Site Name]],LocationsKey[Site Name], LocationsKey[Waterway])</f>
        <v>Stour</v>
      </c>
      <c r="K424" t="s">
        <v>517</v>
      </c>
      <c r="L424">
        <f>_xlfn.XLOOKUP(AllDataCorrected[[#This Row],[Site Name]],Tables!$B$12:$B$78, Tables!C$12:C$78)</f>
        <v>52.053154375000005</v>
      </c>
      <c r="M424">
        <f>_xlfn.XLOOKUP(AllDataCorrected[[#This Row],[Site Name]],Tables!$B$12:$B$78, Tables!D$12:D$78)</f>
        <v>-1.6191991562500001</v>
      </c>
      <c r="N424" t="s">
        <v>23</v>
      </c>
      <c r="O424">
        <v>523</v>
      </c>
      <c r="P424">
        <v>12.4</v>
      </c>
      <c r="Q424">
        <v>0.5</v>
      </c>
      <c r="R424"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24">
        <v>0.23</v>
      </c>
      <c r="T4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4">
        <v>0.75</v>
      </c>
      <c r="V424" t="s">
        <v>666</v>
      </c>
    </row>
    <row r="425" spans="1:22" x14ac:dyDescent="0.25">
      <c r="A425" t="s">
        <v>667</v>
      </c>
      <c r="B425" s="2">
        <v>45337</v>
      </c>
      <c r="C425" t="str" cm="1">
        <f t="array" ref="C4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5">
        <v>2023</v>
      </c>
      <c r="E425" s="1">
        <v>0.52986111111111112</v>
      </c>
      <c r="F4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5" t="str">
        <f>_xlfn.XLOOKUP(AllDataCorrected[[#This Row],[Location Name]], Locations[Location Name],Locations[Group As])</f>
        <v>Preston-on-Stour River Bridge</v>
      </c>
      <c r="H425" t="e" vm="2">
        <f>_xlfn.XLOOKUP(AllDataCorrected[[#This Row],[Site Name]],LocationsKey[Site Name],LocationsKey[District])</f>
        <v>#VALUE!</v>
      </c>
      <c r="I425" t="e" vm="9">
        <f>_xlfn.XLOOKUP(AllDataCorrected[[#This Row],[Site Name]],LocationsKey[Site Name],LocationsKey[Town])</f>
        <v>#VALUE!</v>
      </c>
      <c r="J425" t="str">
        <f>_xlfn.XLOOKUP(AllDataCorrected[[#This Row],[Site Name]],LocationsKey[Site Name], LocationsKey[Waterway])</f>
        <v>Stour</v>
      </c>
      <c r="K425" t="s">
        <v>163</v>
      </c>
      <c r="L425">
        <f>_xlfn.XLOOKUP(AllDataCorrected[[#This Row],[Site Name]],Tables!$B$12:$B$78, Tables!C$12:C$78)</f>
        <v>52.146529500000007</v>
      </c>
      <c r="M425">
        <f>_xlfn.XLOOKUP(AllDataCorrected[[#This Row],[Site Name]],Tables!$B$12:$B$78, Tables!D$12:D$78)</f>
        <v>-1.6996899999999999</v>
      </c>
      <c r="N425" t="s">
        <v>29</v>
      </c>
      <c r="O425">
        <v>548</v>
      </c>
      <c r="P425">
        <v>11.3</v>
      </c>
      <c r="Q425">
        <v>7</v>
      </c>
      <c r="R425" t="str">
        <f>IF(AllDataCorrected[[#This Row],[Nitrate (PPM)]]&gt;2, "4. Very high (&gt;2ppm)", IF(AllDataCorrected[[#This Row],[Nitrate (PPM)]]&gt;1, "3. High (1-2ppm)", IF(AllDataCorrected[[#This Row],[Nitrate (PPM)]]&gt;0.5, "2. Some evidence (0.5-1ppm)", IF(AllDataCorrected[[#This Row],[Nitrate (PPM)]]&gt;=0, "1. No evidence (&lt;0.5ppm)"))))</f>
        <v>4. Very high (&gt;2ppm)</v>
      </c>
      <c r="S425">
        <v>0.25</v>
      </c>
      <c r="T4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5">
        <v>2</v>
      </c>
      <c r="V425" t="s">
        <v>668</v>
      </c>
    </row>
    <row r="426" spans="1:22" x14ac:dyDescent="0.25">
      <c r="A426" t="s">
        <v>669</v>
      </c>
      <c r="B426" s="2">
        <v>45338</v>
      </c>
      <c r="C426" t="str" cm="1">
        <f t="array" ref="C4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6">
        <v>2023</v>
      </c>
      <c r="E426" s="1">
        <v>0.59722222222222221</v>
      </c>
      <c r="F4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6" t="str">
        <f>_xlfn.XLOOKUP(AllDataCorrected[[#This Row],[Location Name]], Locations[Location Name],Locations[Group As])</f>
        <v>Preston Bagot Canal</v>
      </c>
      <c r="H426" t="e" vm="2">
        <f>_xlfn.XLOOKUP(AllDataCorrected[[#This Row],[Site Name]],LocationsKey[Site Name],LocationsKey[District])</f>
        <v>#VALUE!</v>
      </c>
      <c r="I426" t="e" vm="19">
        <f>_xlfn.XLOOKUP(AllDataCorrected[[#This Row],[Site Name]],LocationsKey[Site Name],LocationsKey[Town])</f>
        <v>#VALUE!</v>
      </c>
      <c r="J426" t="str">
        <f>_xlfn.XLOOKUP(AllDataCorrected[[#This Row],[Site Name]],LocationsKey[Site Name], LocationsKey[Waterway])</f>
        <v>Preston Bagot Canal</v>
      </c>
      <c r="K426" t="s">
        <v>615</v>
      </c>
      <c r="L426">
        <f>_xlfn.XLOOKUP(AllDataCorrected[[#This Row],[Site Name]],Tables!$B$12:$B$78, Tables!C$12:C$78)</f>
        <v>52.286540000000002</v>
      </c>
      <c r="M426">
        <f>_xlfn.XLOOKUP(AllDataCorrected[[#This Row],[Site Name]],Tables!$B$12:$B$78, Tables!D$12:D$78)</f>
        <v>-1.74576</v>
      </c>
      <c r="N426" t="s">
        <v>23</v>
      </c>
      <c r="O426">
        <v>308</v>
      </c>
      <c r="P426">
        <v>11.6</v>
      </c>
      <c r="Q426">
        <v>2</v>
      </c>
      <c r="R426" t="str">
        <f>IF(AllDataCorrected[[#This Row],[Nitrate (PPM)]]&gt;2, "4. Very high (&gt;2ppm)", IF(AllDataCorrected[[#This Row],[Nitrate (PPM)]]&gt;1, "3. High (1-2ppm)", IF(AllDataCorrected[[#This Row],[Nitrate (PPM)]]&gt;0.5, "2. Some evidence (0.5-1ppm)", IF(AllDataCorrected[[#This Row],[Nitrate (PPM)]]&gt;=0, "1. No evidence (&lt;0.5ppm)"))))</f>
        <v>3. High (1-2ppm)</v>
      </c>
      <c r="S426">
        <v>0.22</v>
      </c>
      <c r="T4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6">
        <v>0</v>
      </c>
    </row>
    <row r="427" spans="1:22" x14ac:dyDescent="0.25">
      <c r="A427" t="s">
        <v>670</v>
      </c>
      <c r="B427" s="2">
        <v>45338</v>
      </c>
      <c r="C427" t="str" cm="1">
        <f t="array" ref="C4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7">
        <v>2023</v>
      </c>
      <c r="E427" s="1">
        <v>0.61111111111111116</v>
      </c>
      <c r="F4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7" t="str">
        <f>_xlfn.XLOOKUP(AllDataCorrected[[#This Row],[Location Name]], Locations[Location Name],Locations[Group As])</f>
        <v>Preston Bagot Brook</v>
      </c>
      <c r="H427" t="e" vm="2">
        <f>_xlfn.XLOOKUP(AllDataCorrected[[#This Row],[Site Name]],LocationsKey[Site Name],LocationsKey[District])</f>
        <v>#VALUE!</v>
      </c>
      <c r="I427" t="e" vm="19">
        <f>_xlfn.XLOOKUP(AllDataCorrected[[#This Row],[Site Name]],LocationsKey[Site Name],LocationsKey[Town])</f>
        <v>#VALUE!</v>
      </c>
      <c r="J427" t="str">
        <f>_xlfn.XLOOKUP(AllDataCorrected[[#This Row],[Site Name]],LocationsKey[Site Name], LocationsKey[Waterway])</f>
        <v>Preston Bagot Brook</v>
      </c>
      <c r="K427" t="s">
        <v>618</v>
      </c>
      <c r="L427">
        <f>_xlfn.XLOOKUP(AllDataCorrected[[#This Row],[Site Name]],Tables!$B$12:$B$78, Tables!C$12:C$78)</f>
        <v>52.286200000000001</v>
      </c>
      <c r="M427">
        <f>_xlfn.XLOOKUP(AllDataCorrected[[#This Row],[Site Name]],Tables!$B$12:$B$78, Tables!D$12:D$78)</f>
        <v>-1.7478</v>
      </c>
      <c r="N427" t="s">
        <v>23</v>
      </c>
      <c r="O427">
        <v>353</v>
      </c>
      <c r="P427">
        <v>12.4</v>
      </c>
      <c r="Q427">
        <v>2</v>
      </c>
      <c r="R427" t="str">
        <f>IF(AllDataCorrected[[#This Row],[Nitrate (PPM)]]&gt;2, "4. Very high (&gt;2ppm)", IF(AllDataCorrected[[#This Row],[Nitrate (PPM)]]&gt;1, "3. High (1-2ppm)", IF(AllDataCorrected[[#This Row],[Nitrate (PPM)]]&gt;0.5, "2. Some evidence (0.5-1ppm)", IF(AllDataCorrected[[#This Row],[Nitrate (PPM)]]&gt;=0, "1. No evidence (&lt;0.5ppm)"))))</f>
        <v>3. High (1-2ppm)</v>
      </c>
      <c r="S427">
        <v>0.56000000000000005</v>
      </c>
      <c r="T4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7">
        <v>0</v>
      </c>
    </row>
    <row r="428" spans="1:22" x14ac:dyDescent="0.25">
      <c r="A428" t="s">
        <v>671</v>
      </c>
      <c r="B428" s="2">
        <v>45338</v>
      </c>
      <c r="C428" t="str" cm="1">
        <f t="array" ref="C4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8">
        <v>2023</v>
      </c>
      <c r="E428" s="1">
        <v>0.625</v>
      </c>
      <c r="F4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8" t="str">
        <f>_xlfn.XLOOKUP(AllDataCorrected[[#This Row],[Location Name]], Locations[Location Name],Locations[Group As])</f>
        <v>Sherbourne Brook 1</v>
      </c>
      <c r="H428" t="e" vm="2">
        <f>_xlfn.XLOOKUP(AllDataCorrected[[#This Row],[Site Name]],LocationsKey[Site Name],LocationsKey[District])</f>
        <v>#VALUE!</v>
      </c>
      <c r="I428" t="e" vm="16">
        <f>_xlfn.XLOOKUP(AllDataCorrected[[#This Row],[Site Name]],LocationsKey[Site Name],LocationsKey[Town])</f>
        <v>#VALUE!</v>
      </c>
      <c r="J428" t="str">
        <f>_xlfn.XLOOKUP(AllDataCorrected[[#This Row],[Site Name]],LocationsKey[Site Name], LocationsKey[Waterway])</f>
        <v>Sherbourne Brook</v>
      </c>
      <c r="K428" t="s">
        <v>570</v>
      </c>
      <c r="L428">
        <f>_xlfn.XLOOKUP(AllDataCorrected[[#This Row],[Site Name]],Tables!$B$12:$B$78, Tables!C$12:C$78)</f>
        <v>52.252500000000033</v>
      </c>
      <c r="M428">
        <f>_xlfn.XLOOKUP(AllDataCorrected[[#This Row],[Site Name]],Tables!$B$12:$B$78, Tables!D$12:D$78)</f>
        <v>-1.6685000000000012</v>
      </c>
      <c r="N428" t="s">
        <v>23</v>
      </c>
      <c r="O428">
        <v>776</v>
      </c>
      <c r="P428">
        <v>11.4</v>
      </c>
      <c r="Q428">
        <v>5</v>
      </c>
      <c r="R428" t="str">
        <f>IF(AllDataCorrected[[#This Row],[Nitrate (PPM)]]&gt;2, "4. Very high (&gt;2ppm)", IF(AllDataCorrected[[#This Row],[Nitrate (PPM)]]&gt;1, "3. High (1-2ppm)", IF(AllDataCorrected[[#This Row],[Nitrate (PPM)]]&gt;0.5, "2. Some evidence (0.5-1ppm)", IF(AllDataCorrected[[#This Row],[Nitrate (PPM)]]&gt;=0, "1. No evidence (&lt;0.5ppm)"))))</f>
        <v>4. Very high (&gt;2ppm)</v>
      </c>
      <c r="S428">
        <v>0.73</v>
      </c>
      <c r="T4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8">
        <v>0.5</v>
      </c>
    </row>
    <row r="429" spans="1:22" x14ac:dyDescent="0.25">
      <c r="A429" t="s">
        <v>672</v>
      </c>
      <c r="B429" s="2">
        <v>45338</v>
      </c>
      <c r="C429" t="str" cm="1">
        <f t="array" ref="C4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9">
        <v>2023</v>
      </c>
      <c r="E429" s="1">
        <v>0.63541666666666663</v>
      </c>
      <c r="F4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9" t="str">
        <f>_xlfn.XLOOKUP(AllDataCorrected[[#This Row],[Location Name]], Locations[Location Name],Locations[Group As])</f>
        <v>Bell Brook 1</v>
      </c>
      <c r="H429" t="e" vm="2">
        <f>_xlfn.XLOOKUP(AllDataCorrected[[#This Row],[Site Name]],LocationsKey[Site Name],LocationsKey[District])</f>
        <v>#VALUE!</v>
      </c>
      <c r="I429" t="e" vm="15">
        <f>_xlfn.XLOOKUP(AllDataCorrected[[#This Row],[Site Name]],LocationsKey[Site Name],LocationsKey[Town])</f>
        <v>#VALUE!</v>
      </c>
      <c r="J429" t="str">
        <f>_xlfn.XLOOKUP(AllDataCorrected[[#This Row],[Site Name]],LocationsKey[Site Name], LocationsKey[Waterway])</f>
        <v>Bell Brook</v>
      </c>
      <c r="K429" t="s">
        <v>534</v>
      </c>
      <c r="L429">
        <f>_xlfn.XLOOKUP(AllDataCorrected[[#This Row],[Site Name]],Tables!$B$12:$B$78, Tables!C$12:C$78)</f>
        <v>52.24489999999998</v>
      </c>
      <c r="M429">
        <f>_xlfn.XLOOKUP(AllDataCorrected[[#This Row],[Site Name]],Tables!$B$12:$B$78, Tables!D$12:D$78)</f>
        <v>-1.6617000000000013</v>
      </c>
      <c r="N429" t="s">
        <v>23</v>
      </c>
      <c r="O429">
        <v>542</v>
      </c>
      <c r="P429">
        <v>10.6</v>
      </c>
      <c r="Q429">
        <v>4</v>
      </c>
      <c r="R429" t="str">
        <f>IF(AllDataCorrected[[#This Row],[Nitrate (PPM)]]&gt;2, "4. Very high (&gt;2ppm)", IF(AllDataCorrected[[#This Row],[Nitrate (PPM)]]&gt;1, "3. High (1-2ppm)", IF(AllDataCorrected[[#This Row],[Nitrate (PPM)]]&gt;0.5, "2. Some evidence (0.5-1ppm)", IF(AllDataCorrected[[#This Row],[Nitrate (PPM)]]&gt;=0, "1. No evidence (&lt;0.5ppm)"))))</f>
        <v>4. Very high (&gt;2ppm)</v>
      </c>
      <c r="S429">
        <v>0.16</v>
      </c>
      <c r="T4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9">
        <v>0.5</v>
      </c>
    </row>
    <row r="430" spans="1:22" x14ac:dyDescent="0.25">
      <c r="A430" t="s">
        <v>673</v>
      </c>
      <c r="B430" s="2">
        <v>45338</v>
      </c>
      <c r="C430" t="str" cm="1">
        <f t="array" ref="C4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0">
        <v>2023</v>
      </c>
      <c r="E430" s="1">
        <v>0.66666666666666663</v>
      </c>
      <c r="F4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0" t="str">
        <f>_xlfn.XLOOKUP(AllDataCorrected[[#This Row],[Location Name]], Locations[Location Name],Locations[Group As])</f>
        <v>Swilgate</v>
      </c>
      <c r="H430" t="e" vm="1">
        <f>_xlfn.XLOOKUP(AllDataCorrected[[#This Row],[Site Name]],LocationsKey[Site Name],LocationsKey[District])</f>
        <v>#VALUE!</v>
      </c>
      <c r="I430" t="e" vm="1">
        <f>_xlfn.XLOOKUP(AllDataCorrected[[#This Row],[Site Name]],LocationsKey[Site Name],LocationsKey[Town])</f>
        <v>#VALUE!</v>
      </c>
      <c r="J430" t="str">
        <f>_xlfn.XLOOKUP(AllDataCorrected[[#This Row],[Site Name]],LocationsKey[Site Name], LocationsKey[Waterway])</f>
        <v>Swilgate</v>
      </c>
      <c r="K430" t="s">
        <v>84</v>
      </c>
      <c r="L430">
        <f>_xlfn.XLOOKUP(AllDataCorrected[[#This Row],[Site Name]],Tables!$B$12:$B$78, Tables!C$12:C$78)</f>
        <v>51.9885442</v>
      </c>
      <c r="M430">
        <f>_xlfn.XLOOKUP(AllDataCorrected[[#This Row],[Site Name]],Tables!$B$12:$B$78, Tables!D$12:D$78)</f>
        <v>-2.1639010000000001</v>
      </c>
      <c r="N430" t="s">
        <v>23</v>
      </c>
      <c r="O430">
        <v>757</v>
      </c>
      <c r="P430">
        <v>13.6</v>
      </c>
      <c r="Q430">
        <v>3</v>
      </c>
      <c r="R430" t="str">
        <f>IF(AllDataCorrected[[#This Row],[Nitrate (PPM)]]&gt;2, "4. Very high (&gt;2ppm)", IF(AllDataCorrected[[#This Row],[Nitrate (PPM)]]&gt;1, "3. High (1-2ppm)", IF(AllDataCorrected[[#This Row],[Nitrate (PPM)]]&gt;0.5, "2. Some evidence (0.5-1ppm)", IF(AllDataCorrected[[#This Row],[Nitrate (PPM)]]&gt;=0, "1. No evidence (&lt;0.5ppm)"))))</f>
        <v>4. Very high (&gt;2ppm)</v>
      </c>
      <c r="S430">
        <v>0.39</v>
      </c>
      <c r="T4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0">
        <v>2</v>
      </c>
      <c r="V430" t="s">
        <v>270</v>
      </c>
    </row>
    <row r="431" spans="1:22" x14ac:dyDescent="0.25">
      <c r="A431" t="s">
        <v>1744</v>
      </c>
      <c r="B431" s="2">
        <v>45338</v>
      </c>
      <c r="C431" t="str" cm="1">
        <f t="array" ref="C4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1">
        <v>2023</v>
      </c>
      <c r="F43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1" t="str">
        <f>_xlfn.XLOOKUP(AllDataCorrected[[#This Row],[Location Name]], Locations[Location Name],Locations[Group As])</f>
        <v>Site 1  :  Middle Street</v>
      </c>
      <c r="H431" t="e" vm="2">
        <f>_xlfn.XLOOKUP(AllDataCorrected[[#This Row],[Site Name]],LocationsKey[Site Name],LocationsKey[District])</f>
        <v>#VALUE!</v>
      </c>
      <c r="I431" t="e" vm="11">
        <f>_xlfn.XLOOKUP(AllDataCorrected[[#This Row],[Site Name]],LocationsKey[Site Name],LocationsKey[Town])</f>
        <v>#VALUE!</v>
      </c>
      <c r="J431" t="str">
        <f>_xlfn.XLOOKUP(AllDataCorrected[[#This Row],[Site Name]],LocationsKey[Site Name], LocationsKey[Waterway])</f>
        <v>Fosseway Brook</v>
      </c>
      <c r="K431" t="s">
        <v>1859</v>
      </c>
      <c r="L431">
        <f>_xlfn.XLOOKUP(AllDataCorrected[[#This Row],[Site Name]],Tables!$B$12:$B$78, Tables!C$12:C$78)</f>
        <v>52.090077380952394</v>
      </c>
      <c r="M431">
        <f>_xlfn.XLOOKUP(AllDataCorrected[[#This Row],[Site Name]],Tables!$B$12:$B$78, Tables!D$12:D$78)</f>
        <v>-1.6926051666666673</v>
      </c>
      <c r="N431" t="s">
        <v>66</v>
      </c>
      <c r="O431">
        <v>584</v>
      </c>
      <c r="P431">
        <v>12.3</v>
      </c>
      <c r="Q431">
        <v>3</v>
      </c>
      <c r="R431" t="str">
        <f>IF(AllDataCorrected[[#This Row],[Nitrate (PPM)]]&gt;2, "4. Very high (&gt;2ppm)", IF(AllDataCorrected[[#This Row],[Nitrate (PPM)]]&gt;1, "3. High (1-2ppm)", IF(AllDataCorrected[[#This Row],[Nitrate (PPM)]]&gt;0.5, "2. Some evidence (0.5-1ppm)", IF(AllDataCorrected[[#This Row],[Nitrate (PPM)]]&gt;=0, "1. No evidence (&lt;0.5ppm)"))))</f>
        <v>4. Very high (&gt;2ppm)</v>
      </c>
      <c r="S431">
        <v>0.08</v>
      </c>
      <c r="T4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31">
        <v>0</v>
      </c>
      <c r="V431" t="s">
        <v>1895</v>
      </c>
    </row>
    <row r="432" spans="1:22" x14ac:dyDescent="0.25">
      <c r="A432" t="s">
        <v>1461</v>
      </c>
      <c r="B432" s="2">
        <v>45338</v>
      </c>
      <c r="C432" t="str" cm="1">
        <f t="array" ref="C4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2">
        <v>2023</v>
      </c>
      <c r="F43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2" t="str">
        <f>_xlfn.XLOOKUP(AllDataCorrected[[#This Row],[Location Name]], Locations[Location Name],Locations[Group As])</f>
        <v>Site 1  :  Middle Street</v>
      </c>
      <c r="H432" t="e" vm="2">
        <f>_xlfn.XLOOKUP(AllDataCorrected[[#This Row],[Site Name]],LocationsKey[Site Name],LocationsKey[District])</f>
        <v>#VALUE!</v>
      </c>
      <c r="I432" t="e" vm="11">
        <f>_xlfn.XLOOKUP(AllDataCorrected[[#This Row],[Site Name]],LocationsKey[Site Name],LocationsKey[Town])</f>
        <v>#VALUE!</v>
      </c>
      <c r="J432" t="str">
        <f>_xlfn.XLOOKUP(AllDataCorrected[[#This Row],[Site Name]],LocationsKey[Site Name], LocationsKey[Waterway])</f>
        <v>Fosseway Brook</v>
      </c>
      <c r="K432" t="s">
        <v>1373</v>
      </c>
      <c r="L432">
        <f>_xlfn.XLOOKUP(AllDataCorrected[[#This Row],[Site Name]],Tables!$B$12:$B$78, Tables!C$12:C$78)</f>
        <v>52.090077380952394</v>
      </c>
      <c r="M432">
        <f>_xlfn.XLOOKUP(AllDataCorrected[[#This Row],[Site Name]],Tables!$B$12:$B$78, Tables!D$12:D$78)</f>
        <v>-1.6926051666666673</v>
      </c>
      <c r="N432" t="s">
        <v>66</v>
      </c>
      <c r="O432">
        <v>584</v>
      </c>
      <c r="P432">
        <v>12.3</v>
      </c>
      <c r="Q432">
        <v>3</v>
      </c>
      <c r="R432" t="str">
        <f>IF(AllDataCorrected[[#This Row],[Nitrate (PPM)]]&gt;2, "4. Very high (&gt;2ppm)", IF(AllDataCorrected[[#This Row],[Nitrate (PPM)]]&gt;1, "3. High (1-2ppm)", IF(AllDataCorrected[[#This Row],[Nitrate (PPM)]]&gt;0.5, "2. Some evidence (0.5-1ppm)", IF(AllDataCorrected[[#This Row],[Nitrate (PPM)]]&gt;=0, "1. No evidence (&lt;0.5ppm)"))))</f>
        <v>4. Very high (&gt;2ppm)</v>
      </c>
      <c r="S432">
        <v>0.08</v>
      </c>
      <c r="T432"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432" t="s">
        <v>1458</v>
      </c>
    </row>
    <row r="433" spans="1:22" x14ac:dyDescent="0.25">
      <c r="A433" t="s">
        <v>1749</v>
      </c>
      <c r="B433" s="2">
        <v>45338</v>
      </c>
      <c r="C433" t="str" cm="1">
        <f t="array" ref="C4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3">
        <v>2023</v>
      </c>
      <c r="F43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3" t="str">
        <f>_xlfn.XLOOKUP(AllDataCorrected[[#This Row],[Location Name]], Locations[Location Name],Locations[Group As])</f>
        <v>Site 2  :  Cross Leys culvert</v>
      </c>
      <c r="H433" t="e" vm="2">
        <f>_xlfn.XLOOKUP(AllDataCorrected[[#This Row],[Site Name]],LocationsKey[Site Name],LocationsKey[District])</f>
        <v>#VALUE!</v>
      </c>
      <c r="I433" t="e" vm="11">
        <f>_xlfn.XLOOKUP(AllDataCorrected[[#This Row],[Site Name]],LocationsKey[Site Name],LocationsKey[Town])</f>
        <v>#VALUE!</v>
      </c>
      <c r="J433" t="str">
        <f>_xlfn.XLOOKUP(AllDataCorrected[[#This Row],[Site Name]],LocationsKey[Site Name], LocationsKey[Waterway])</f>
        <v>Fosseway Brook</v>
      </c>
      <c r="K433" t="s">
        <v>1860</v>
      </c>
      <c r="L433">
        <f>_xlfn.XLOOKUP(AllDataCorrected[[#This Row],[Site Name]],Tables!$B$12:$B$78, Tables!C$12:C$78)</f>
        <v>52.092990199999988</v>
      </c>
      <c r="M433">
        <f>_xlfn.XLOOKUP(AllDataCorrected[[#This Row],[Site Name]],Tables!$B$12:$B$78, Tables!D$12:D$78)</f>
        <v>-1.6862810999999998</v>
      </c>
      <c r="N433" t="s">
        <v>66</v>
      </c>
      <c r="O433">
        <v>592</v>
      </c>
      <c r="P433">
        <v>11</v>
      </c>
      <c r="Q433">
        <v>2</v>
      </c>
      <c r="R433" t="str">
        <f>IF(AllDataCorrected[[#This Row],[Nitrate (PPM)]]&gt;2, "4. Very high (&gt;2ppm)", IF(AllDataCorrected[[#This Row],[Nitrate (PPM)]]&gt;1, "3. High (1-2ppm)", IF(AllDataCorrected[[#This Row],[Nitrate (PPM)]]&gt;0.5, "2. Some evidence (0.5-1ppm)", IF(AllDataCorrected[[#This Row],[Nitrate (PPM)]]&gt;=0, "1. No evidence (&lt;0.5ppm)"))))</f>
        <v>3. High (1-2ppm)</v>
      </c>
      <c r="S433">
        <v>0.17</v>
      </c>
      <c r="T4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3">
        <v>0</v>
      </c>
      <c r="V433" t="s">
        <v>1899</v>
      </c>
    </row>
    <row r="434" spans="1:22" x14ac:dyDescent="0.25">
      <c r="A434" t="s">
        <v>1453</v>
      </c>
      <c r="B434" s="2">
        <v>45338</v>
      </c>
      <c r="C434" t="str" cm="1">
        <f t="array" ref="C4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4">
        <v>2023</v>
      </c>
      <c r="F43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4" t="str">
        <f>_xlfn.XLOOKUP(AllDataCorrected[[#This Row],[Location Name]], Locations[Location Name],Locations[Group As])</f>
        <v>Site 2  :  Cross Leys culvert</v>
      </c>
      <c r="H434" t="e" vm="2">
        <f>_xlfn.XLOOKUP(AllDataCorrected[[#This Row],[Site Name]],LocationsKey[Site Name],LocationsKey[District])</f>
        <v>#VALUE!</v>
      </c>
      <c r="I434" t="e" vm="11">
        <f>_xlfn.XLOOKUP(AllDataCorrected[[#This Row],[Site Name]],LocationsKey[Site Name],LocationsKey[Town])</f>
        <v>#VALUE!</v>
      </c>
      <c r="J434" t="str">
        <f>_xlfn.XLOOKUP(AllDataCorrected[[#This Row],[Site Name]],LocationsKey[Site Name], LocationsKey[Waterway])</f>
        <v>Fosseway Brook</v>
      </c>
      <c r="K434" t="s">
        <v>1371</v>
      </c>
      <c r="L434">
        <f>_xlfn.XLOOKUP(AllDataCorrected[[#This Row],[Site Name]],Tables!$B$12:$B$78, Tables!C$12:C$78)</f>
        <v>52.092990199999988</v>
      </c>
      <c r="M434">
        <f>_xlfn.XLOOKUP(AllDataCorrected[[#This Row],[Site Name]],Tables!$B$12:$B$78, Tables!D$12:D$78)</f>
        <v>-1.6862810999999998</v>
      </c>
      <c r="N434" t="s">
        <v>66</v>
      </c>
      <c r="O434">
        <v>592</v>
      </c>
      <c r="P434">
        <v>11</v>
      </c>
      <c r="Q434">
        <v>2</v>
      </c>
      <c r="R434" t="str">
        <f>IF(AllDataCorrected[[#This Row],[Nitrate (PPM)]]&gt;2, "4. Very high (&gt;2ppm)", IF(AllDataCorrected[[#This Row],[Nitrate (PPM)]]&gt;1, "3. High (1-2ppm)", IF(AllDataCorrected[[#This Row],[Nitrate (PPM)]]&gt;0.5, "2. Some evidence (0.5-1ppm)", IF(AllDataCorrected[[#This Row],[Nitrate (PPM)]]&gt;=0, "1. No evidence (&lt;0.5ppm)"))))</f>
        <v>3. High (1-2ppm)</v>
      </c>
      <c r="S434">
        <v>0.17</v>
      </c>
      <c r="T4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34" t="s">
        <v>1445</v>
      </c>
    </row>
    <row r="435" spans="1:22" x14ac:dyDescent="0.25">
      <c r="A435" t="s">
        <v>1754</v>
      </c>
      <c r="B435" s="2">
        <v>45338</v>
      </c>
      <c r="C435" t="str" cm="1">
        <f t="array" ref="C4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5">
        <v>2023</v>
      </c>
      <c r="F43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5" t="str">
        <f>_xlfn.XLOOKUP(AllDataCorrected[[#This Row],[Location Name]], Locations[Location Name],Locations[Group As])</f>
        <v>Site 3  :  Severn Trent Water processing plant outflow</v>
      </c>
      <c r="H435" t="e" vm="2">
        <f>_xlfn.XLOOKUP(AllDataCorrected[[#This Row],[Site Name]],LocationsKey[Site Name],LocationsKey[District])</f>
        <v>#VALUE!</v>
      </c>
      <c r="I435" t="e" vm="11">
        <f>_xlfn.XLOOKUP(AllDataCorrected[[#This Row],[Site Name]],LocationsKey[Site Name],LocationsKey[Town])</f>
        <v>#VALUE!</v>
      </c>
      <c r="J435" t="str">
        <f>_xlfn.XLOOKUP(AllDataCorrected[[#This Row],[Site Name]],LocationsKey[Site Name], LocationsKey[Waterway])</f>
        <v>Fosseway Brook</v>
      </c>
      <c r="K435" t="s">
        <v>1861</v>
      </c>
      <c r="L435">
        <f>_xlfn.XLOOKUP(AllDataCorrected[[#This Row],[Site Name]],Tables!$B$12:$B$78, Tables!C$12:C$78)</f>
        <v>52.094341024390218</v>
      </c>
      <c r="M435">
        <f>_xlfn.XLOOKUP(AllDataCorrected[[#This Row],[Site Name]],Tables!$B$12:$B$78, Tables!D$12:D$78)</f>
        <v>-1.6731015853658531</v>
      </c>
      <c r="N435" t="s">
        <v>29</v>
      </c>
      <c r="O435">
        <v>640</v>
      </c>
      <c r="P435">
        <v>10.9</v>
      </c>
      <c r="Q435">
        <v>5</v>
      </c>
      <c r="R435" t="str">
        <f>IF(AllDataCorrected[[#This Row],[Nitrate (PPM)]]&gt;2, "4. Very high (&gt;2ppm)", IF(AllDataCorrected[[#This Row],[Nitrate (PPM)]]&gt;1, "3. High (1-2ppm)", IF(AllDataCorrected[[#This Row],[Nitrate (PPM)]]&gt;0.5, "2. Some evidence (0.5-1ppm)", IF(AllDataCorrected[[#This Row],[Nitrate (PPM)]]&gt;=0, "1. No evidence (&lt;0.5ppm)"))))</f>
        <v>4. Very high (&gt;2ppm)</v>
      </c>
      <c r="S435">
        <v>2.2599999999999998</v>
      </c>
      <c r="T4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5">
        <v>0</v>
      </c>
      <c r="V435" t="s">
        <v>1902</v>
      </c>
    </row>
    <row r="436" spans="1:22" x14ac:dyDescent="0.25">
      <c r="A436" t="s">
        <v>1447</v>
      </c>
      <c r="B436" s="2">
        <v>45338</v>
      </c>
      <c r="C436" t="str" cm="1">
        <f t="array" ref="C4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6">
        <v>2023</v>
      </c>
      <c r="F43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6" t="str">
        <f>_xlfn.XLOOKUP(AllDataCorrected[[#This Row],[Location Name]], Locations[Location Name],Locations[Group As])</f>
        <v>Site 3  :  Severn Trent Water processing plant outflow</v>
      </c>
      <c r="H436" t="e" vm="2">
        <f>_xlfn.XLOOKUP(AllDataCorrected[[#This Row],[Site Name]],LocationsKey[Site Name],LocationsKey[District])</f>
        <v>#VALUE!</v>
      </c>
      <c r="I436" t="e" vm="11">
        <f>_xlfn.XLOOKUP(AllDataCorrected[[#This Row],[Site Name]],LocationsKey[Site Name],LocationsKey[Town])</f>
        <v>#VALUE!</v>
      </c>
      <c r="J436" t="str">
        <f>_xlfn.XLOOKUP(AllDataCorrected[[#This Row],[Site Name]],LocationsKey[Site Name], LocationsKey[Waterway])</f>
        <v>Fosseway Brook</v>
      </c>
      <c r="K436" t="s">
        <v>1368</v>
      </c>
      <c r="L436">
        <f>_xlfn.XLOOKUP(AllDataCorrected[[#This Row],[Site Name]],Tables!$B$12:$B$78, Tables!C$12:C$78)</f>
        <v>52.094341024390218</v>
      </c>
      <c r="M436">
        <f>_xlfn.XLOOKUP(AllDataCorrected[[#This Row],[Site Name]],Tables!$B$12:$B$78, Tables!D$12:D$78)</f>
        <v>-1.6731015853658531</v>
      </c>
      <c r="N436" t="s">
        <v>29</v>
      </c>
      <c r="O436">
        <v>640</v>
      </c>
      <c r="P436">
        <v>10.9</v>
      </c>
      <c r="Q436">
        <v>5</v>
      </c>
      <c r="R436" t="str">
        <f>IF(AllDataCorrected[[#This Row],[Nitrate (PPM)]]&gt;2, "4. Very high (&gt;2ppm)", IF(AllDataCorrected[[#This Row],[Nitrate (PPM)]]&gt;1, "3. High (1-2ppm)", IF(AllDataCorrected[[#This Row],[Nitrate (PPM)]]&gt;0.5, "2. Some evidence (0.5-1ppm)", IF(AllDataCorrected[[#This Row],[Nitrate (PPM)]]&gt;=0, "1. No evidence (&lt;0.5ppm)"))))</f>
        <v>4. Very high (&gt;2ppm)</v>
      </c>
      <c r="S436">
        <v>2.2599999999999998</v>
      </c>
      <c r="T4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36" t="s">
        <v>1445</v>
      </c>
    </row>
    <row r="437" spans="1:22" x14ac:dyDescent="0.25">
      <c r="A437" t="s">
        <v>674</v>
      </c>
      <c r="B437" s="2">
        <v>45339</v>
      </c>
      <c r="C437" t="str" cm="1">
        <f t="array" ref="C4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7">
        <v>2023</v>
      </c>
      <c r="E437" s="1">
        <v>0.47013888888888888</v>
      </c>
      <c r="F4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37" t="str">
        <f>_xlfn.XLOOKUP(AllDataCorrected[[#This Row],[Location Name]], Locations[Location Name],Locations[Group As])</f>
        <v>Stour Cherington Sewage Works</v>
      </c>
      <c r="H437" t="e" vm="2">
        <f>_xlfn.XLOOKUP(AllDataCorrected[[#This Row],[Site Name]],LocationsKey[Site Name],LocationsKey[District])</f>
        <v>#VALUE!</v>
      </c>
      <c r="I437" t="str">
        <f>_xlfn.XLOOKUP(AllDataCorrected[[#This Row],[Site Name]],LocationsKey[Site Name],LocationsKey[Town])</f>
        <v>Cherington</v>
      </c>
      <c r="J437" t="str">
        <f>_xlfn.XLOOKUP(AllDataCorrected[[#This Row],[Site Name]],LocationsKey[Site Name], LocationsKey[Waterway])</f>
        <v>Stour</v>
      </c>
      <c r="K437" t="s">
        <v>675</v>
      </c>
      <c r="L437">
        <f>_xlfn.XLOOKUP(AllDataCorrected[[#This Row],[Site Name]],Tables!$B$12:$B$78, Tables!C$12:C$78)</f>
        <v>52.029943500000002</v>
      </c>
      <c r="M437">
        <f>_xlfn.XLOOKUP(AllDataCorrected[[#This Row],[Site Name]],Tables!$B$12:$B$78, Tables!D$12:D$78)</f>
        <v>-1.5807020000000001</v>
      </c>
      <c r="N437" t="s">
        <v>29</v>
      </c>
      <c r="O437">
        <v>574</v>
      </c>
      <c r="P437">
        <v>11.1</v>
      </c>
      <c r="Q437">
        <v>0.5</v>
      </c>
      <c r="R43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37">
        <v>0.33</v>
      </c>
      <c r="T4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7">
        <v>0.5</v>
      </c>
      <c r="V437" t="s">
        <v>676</v>
      </c>
    </row>
    <row r="438" spans="1:22" x14ac:dyDescent="0.25">
      <c r="A438" t="s">
        <v>677</v>
      </c>
      <c r="B438" s="2">
        <v>45339</v>
      </c>
      <c r="C438" t="str" cm="1">
        <f t="array" ref="C4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8">
        <v>2023</v>
      </c>
      <c r="E438" s="1">
        <v>0.54166666666666663</v>
      </c>
      <c r="F4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8" t="str">
        <f>_xlfn.XLOOKUP(AllDataCorrected[[#This Row],[Location Name]], Locations[Location Name],Locations[Group As])</f>
        <v>Clifford Chambers Mill Bridge</v>
      </c>
      <c r="H438" t="e" vm="2">
        <f>_xlfn.XLOOKUP(AllDataCorrected[[#This Row],[Site Name]],LocationsKey[Site Name],LocationsKey[District])</f>
        <v>#VALUE!</v>
      </c>
      <c r="I438" t="e" vm="12">
        <f>_xlfn.XLOOKUP(AllDataCorrected[[#This Row],[Site Name]],LocationsKey[Site Name],LocationsKey[Town])</f>
        <v>#VALUE!</v>
      </c>
      <c r="J438" t="str">
        <f>_xlfn.XLOOKUP(AllDataCorrected[[#This Row],[Site Name]],LocationsKey[Site Name], LocationsKey[Waterway])</f>
        <v>Stour</v>
      </c>
      <c r="K438" t="s">
        <v>263</v>
      </c>
      <c r="L438">
        <f>_xlfn.XLOOKUP(AllDataCorrected[[#This Row],[Site Name]],Tables!$B$12:$B$78, Tables!C$12:C$78)</f>
        <v>52.166358517241363</v>
      </c>
      <c r="M438">
        <f>_xlfn.XLOOKUP(AllDataCorrected[[#This Row],[Site Name]],Tables!$B$12:$B$78, Tables!D$12:D$78)</f>
        <v>-1.7080419310344837</v>
      </c>
      <c r="N438" t="s">
        <v>66</v>
      </c>
      <c r="O438">
        <v>551</v>
      </c>
      <c r="P438">
        <v>14.9</v>
      </c>
      <c r="Q438">
        <v>5</v>
      </c>
      <c r="R438" t="str">
        <f>IF(AllDataCorrected[[#This Row],[Nitrate (PPM)]]&gt;2, "4. Very high (&gt;2ppm)", IF(AllDataCorrected[[#This Row],[Nitrate (PPM)]]&gt;1, "3. High (1-2ppm)", IF(AllDataCorrected[[#This Row],[Nitrate (PPM)]]&gt;0.5, "2. Some evidence (0.5-1ppm)", IF(AllDataCorrected[[#This Row],[Nitrate (PPM)]]&gt;=0, "1. No evidence (&lt;0.5ppm)"))))</f>
        <v>4. Very high (&gt;2ppm)</v>
      </c>
      <c r="S438">
        <v>0.33</v>
      </c>
      <c r="T4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8">
        <v>1.3</v>
      </c>
    </row>
    <row r="439" spans="1:22" x14ac:dyDescent="0.25">
      <c r="A439" t="s">
        <v>678</v>
      </c>
      <c r="B439" s="2">
        <v>45339</v>
      </c>
      <c r="C439" t="str" cm="1">
        <f t="array" ref="C4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9">
        <v>2023</v>
      </c>
      <c r="E439" s="1">
        <v>0.65555555555555556</v>
      </c>
      <c r="F4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9" t="str">
        <f>_xlfn.XLOOKUP(AllDataCorrected[[#This Row],[Location Name]], Locations[Location Name],Locations[Group As])</f>
        <v>Black Bear</v>
      </c>
      <c r="H439" t="e" vm="1">
        <f>_xlfn.XLOOKUP(AllDataCorrected[[#This Row],[Site Name]],LocationsKey[Site Name],LocationsKey[District])</f>
        <v>#VALUE!</v>
      </c>
      <c r="I439" t="e" vm="1">
        <f>_xlfn.XLOOKUP(AllDataCorrected[[#This Row],[Site Name]],LocationsKey[Site Name],LocationsKey[Town])</f>
        <v>#VALUE!</v>
      </c>
      <c r="J439" t="str">
        <f>_xlfn.XLOOKUP(AllDataCorrected[[#This Row],[Site Name]],LocationsKey[Site Name], LocationsKey[Waterway])</f>
        <v>Avon</v>
      </c>
      <c r="K439" t="s">
        <v>567</v>
      </c>
      <c r="L439">
        <f>_xlfn.XLOOKUP(AllDataCorrected[[#This Row],[Site Name]],Tables!$B$12:$B$78, Tables!C$12:C$78)</f>
        <v>51.997435214285723</v>
      </c>
      <c r="M439">
        <f>_xlfn.XLOOKUP(AllDataCorrected[[#This Row],[Site Name]],Tables!$B$12:$B$78, Tables!D$12:D$78)</f>
        <v>-2.1562056785714288</v>
      </c>
      <c r="N439" t="s">
        <v>23</v>
      </c>
      <c r="O439">
        <v>504</v>
      </c>
      <c r="P439">
        <v>12.7</v>
      </c>
      <c r="Q439">
        <v>5</v>
      </c>
      <c r="R439" t="str">
        <f>IF(AllDataCorrected[[#This Row],[Nitrate (PPM)]]&gt;2, "4. Very high (&gt;2ppm)", IF(AllDataCorrected[[#This Row],[Nitrate (PPM)]]&gt;1, "3. High (1-2ppm)", IF(AllDataCorrected[[#This Row],[Nitrate (PPM)]]&gt;0.5, "2. Some evidence (0.5-1ppm)", IF(AllDataCorrected[[#This Row],[Nitrate (PPM)]]&gt;=0, "1. No evidence (&lt;0.5ppm)"))))</f>
        <v>4. Very high (&gt;2ppm)</v>
      </c>
      <c r="S439">
        <v>0.89</v>
      </c>
      <c r="T4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9">
        <v>2.5</v>
      </c>
      <c r="V439" t="s">
        <v>270</v>
      </c>
    </row>
    <row r="440" spans="1:22" x14ac:dyDescent="0.25">
      <c r="A440" t="s">
        <v>679</v>
      </c>
      <c r="B440" s="2">
        <v>45339</v>
      </c>
      <c r="C440" t="str" cm="1">
        <f t="array" ref="C4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0">
        <v>2023</v>
      </c>
      <c r="E440" s="1">
        <v>0.70138888888888884</v>
      </c>
      <c r="F4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0" t="str">
        <f>_xlfn.XLOOKUP(AllDataCorrected[[#This Row],[Location Name]], Locations[Location Name],Locations[Group As])</f>
        <v>Pershore Leisure Centre</v>
      </c>
      <c r="H440" t="e" vm="17">
        <f>_xlfn.XLOOKUP(AllDataCorrected[[#This Row],[Site Name]],LocationsKey[Site Name],LocationsKey[District])</f>
        <v>#VALUE!</v>
      </c>
      <c r="I440" t="e" vm="18">
        <f>_xlfn.XLOOKUP(AllDataCorrected[[#This Row],[Site Name]],LocationsKey[Site Name],LocationsKey[Town])</f>
        <v>#VALUE!</v>
      </c>
      <c r="J440" t="str">
        <f>_xlfn.XLOOKUP(AllDataCorrected[[#This Row],[Site Name]],LocationsKey[Site Name], LocationsKey[Waterway])</f>
        <v>Avon</v>
      </c>
      <c r="K440" t="s">
        <v>583</v>
      </c>
      <c r="L440">
        <f>_xlfn.XLOOKUP(AllDataCorrected[[#This Row],[Site Name]],Tables!$B$12:$B$78, Tables!C$12:C$78)</f>
        <v>52.108220000000003</v>
      </c>
      <c r="M440">
        <f>_xlfn.XLOOKUP(AllDataCorrected[[#This Row],[Site Name]],Tables!$B$12:$B$78, Tables!D$12:D$78)</f>
        <v>-2.0715195</v>
      </c>
      <c r="O440">
        <v>634</v>
      </c>
      <c r="P440">
        <v>12.5</v>
      </c>
      <c r="Q440">
        <v>5</v>
      </c>
      <c r="R440" t="str">
        <f>IF(AllDataCorrected[[#This Row],[Nitrate (PPM)]]&gt;2, "4. Very high (&gt;2ppm)", IF(AllDataCorrected[[#This Row],[Nitrate (PPM)]]&gt;1, "3. High (1-2ppm)", IF(AllDataCorrected[[#This Row],[Nitrate (PPM)]]&gt;0.5, "2. Some evidence (0.5-1ppm)", IF(AllDataCorrected[[#This Row],[Nitrate (PPM)]]&gt;=0, "1. No evidence (&lt;0.5ppm)"))))</f>
        <v>4. Very high (&gt;2ppm)</v>
      </c>
      <c r="S440">
        <v>0.5</v>
      </c>
      <c r="T4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0">
        <v>3.48</v>
      </c>
      <c r="V440" t="s">
        <v>680</v>
      </c>
    </row>
    <row r="441" spans="1:22" x14ac:dyDescent="0.25">
      <c r="A441" t="s">
        <v>681</v>
      </c>
      <c r="B441" s="2">
        <v>45339</v>
      </c>
      <c r="C441" t="str" cm="1">
        <f t="array" ref="C4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1">
        <v>2023</v>
      </c>
      <c r="E441" s="1">
        <v>0.71458333333333335</v>
      </c>
      <c r="F4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1" t="str">
        <f>_xlfn.XLOOKUP(AllDataCorrected[[#This Row],[Location Name]], Locations[Location Name],Locations[Group As])</f>
        <v>Pershore Bridges</v>
      </c>
      <c r="H441" t="e" vm="17">
        <f>_xlfn.XLOOKUP(AllDataCorrected[[#This Row],[Site Name]],LocationsKey[Site Name],LocationsKey[District])</f>
        <v>#VALUE!</v>
      </c>
      <c r="I441" t="e" vm="18">
        <f>_xlfn.XLOOKUP(AllDataCorrected[[#This Row],[Site Name]],LocationsKey[Site Name],LocationsKey[Town])</f>
        <v>#VALUE!</v>
      </c>
      <c r="J441" t="str">
        <f>_xlfn.XLOOKUP(AllDataCorrected[[#This Row],[Site Name]],LocationsKey[Site Name], LocationsKey[Waterway])</f>
        <v>Avon</v>
      </c>
      <c r="K441" t="s">
        <v>581</v>
      </c>
      <c r="L441">
        <f>_xlfn.XLOOKUP(AllDataCorrected[[#This Row],[Site Name]],Tables!$B$12:$B$78, Tables!C$12:C$78)</f>
        <v>52.104196285714281</v>
      </c>
      <c r="M441">
        <f>_xlfn.XLOOKUP(AllDataCorrected[[#This Row],[Site Name]],Tables!$B$12:$B$78, Tables!D$12:D$78)</f>
        <v>-2.0709292857142856</v>
      </c>
      <c r="O441">
        <v>533</v>
      </c>
      <c r="P441">
        <v>12.5</v>
      </c>
      <c r="Q441">
        <v>5</v>
      </c>
      <c r="R441" t="str">
        <f>IF(AllDataCorrected[[#This Row],[Nitrate (PPM)]]&gt;2, "4. Very high (&gt;2ppm)", IF(AllDataCorrected[[#This Row],[Nitrate (PPM)]]&gt;1, "3. High (1-2ppm)", IF(AllDataCorrected[[#This Row],[Nitrate (PPM)]]&gt;0.5, "2. Some evidence (0.5-1ppm)", IF(AllDataCorrected[[#This Row],[Nitrate (PPM)]]&gt;=0, "1. No evidence (&lt;0.5ppm)"))))</f>
        <v>4. Very high (&gt;2ppm)</v>
      </c>
      <c r="S441">
        <v>0.48</v>
      </c>
      <c r="T4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1">
        <v>3.48</v>
      </c>
      <c r="V441" t="s">
        <v>682</v>
      </c>
    </row>
    <row r="442" spans="1:22" x14ac:dyDescent="0.25">
      <c r="A442" t="s">
        <v>683</v>
      </c>
      <c r="B442" s="2">
        <v>45340</v>
      </c>
      <c r="C442" t="str" cm="1">
        <f t="array" ref="C4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2">
        <v>2023</v>
      </c>
      <c r="E442" s="1">
        <v>0.47916666666666669</v>
      </c>
      <c r="F4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2" t="str">
        <f>_xlfn.XLOOKUP(AllDataCorrected[[#This Row],[Location Name]], Locations[Location Name],Locations[Group As])</f>
        <v>Carrant Bredon Rd</v>
      </c>
      <c r="H442" t="e" vm="1">
        <f>_xlfn.XLOOKUP(AllDataCorrected[[#This Row],[Site Name]],LocationsKey[Site Name],LocationsKey[District])</f>
        <v>#VALUE!</v>
      </c>
      <c r="I442" t="e" vm="1">
        <f>_xlfn.XLOOKUP(AllDataCorrected[[#This Row],[Site Name]],LocationsKey[Site Name],LocationsKey[Town])</f>
        <v>#VALUE!</v>
      </c>
      <c r="J442" t="str">
        <f>_xlfn.XLOOKUP(AllDataCorrected[[#This Row],[Site Name]],LocationsKey[Site Name], LocationsKey[Waterway])</f>
        <v>Carrant</v>
      </c>
      <c r="K442" t="s">
        <v>600</v>
      </c>
      <c r="L442">
        <f>_xlfn.XLOOKUP(AllDataCorrected[[#This Row],[Site Name]],Tables!$B$12:$B$78, Tables!C$12:C$78)</f>
        <v>51.996416567567572</v>
      </c>
      <c r="M442">
        <f>_xlfn.XLOOKUP(AllDataCorrected[[#This Row],[Site Name]],Tables!$B$12:$B$78, Tables!D$12:D$78)</f>
        <v>-2.1556626756756749</v>
      </c>
      <c r="N442" t="s">
        <v>23</v>
      </c>
      <c r="O442">
        <v>519</v>
      </c>
      <c r="P442">
        <v>13.4</v>
      </c>
      <c r="Q442">
        <v>4</v>
      </c>
      <c r="R442" t="str">
        <f>IF(AllDataCorrected[[#This Row],[Nitrate (PPM)]]&gt;2, "4. Very high (&gt;2ppm)", IF(AllDataCorrected[[#This Row],[Nitrate (PPM)]]&gt;1, "3. High (1-2ppm)", IF(AllDataCorrected[[#This Row],[Nitrate (PPM)]]&gt;0.5, "2. Some evidence (0.5-1ppm)", IF(AllDataCorrected[[#This Row],[Nitrate (PPM)]]&gt;=0, "1. No evidence (&lt;0.5ppm)"))))</f>
        <v>4. Very high (&gt;2ppm)</v>
      </c>
      <c r="S442">
        <v>0.37</v>
      </c>
      <c r="T4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2">
        <v>1.42</v>
      </c>
      <c r="V442" t="s">
        <v>684</v>
      </c>
    </row>
    <row r="443" spans="1:22" x14ac:dyDescent="0.25">
      <c r="A443" t="s">
        <v>685</v>
      </c>
      <c r="B443" s="2">
        <v>45340</v>
      </c>
      <c r="C443" t="str" cm="1">
        <f t="array" ref="C4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3">
        <v>2023</v>
      </c>
      <c r="E443" s="1">
        <v>0.54861111111111116</v>
      </c>
      <c r="F4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3" t="str">
        <f>_xlfn.XLOOKUP(AllDataCorrected[[#This Row],[Location Name]], Locations[Location Name],Locations[Group As])</f>
        <v>The Ford, Langley</v>
      </c>
      <c r="H443" t="e" vm="2">
        <f>_xlfn.XLOOKUP(AllDataCorrected[[#This Row],[Site Name]],LocationsKey[Site Name],LocationsKey[District])</f>
        <v>#VALUE!</v>
      </c>
      <c r="I443" t="str">
        <f>_xlfn.XLOOKUP(AllDataCorrected[[#This Row],[Site Name]],LocationsKey[Site Name],LocationsKey[Town])</f>
        <v>Langley</v>
      </c>
      <c r="J443" t="str">
        <f>_xlfn.XLOOKUP(AllDataCorrected[[#This Row],[Site Name]],LocationsKey[Site Name], LocationsKey[Waterway])</f>
        <v>Langley Ford</v>
      </c>
      <c r="K443" t="s">
        <v>557</v>
      </c>
      <c r="L443">
        <f>_xlfn.XLOOKUP(AllDataCorrected[[#This Row],[Site Name]],Tables!$B$12:$B$78, Tables!C$12:C$78)</f>
        <v>52.261724821428579</v>
      </c>
      <c r="M443">
        <f>_xlfn.XLOOKUP(AllDataCorrected[[#This Row],[Site Name]],Tables!$B$12:$B$78, Tables!D$12:D$78)</f>
        <v>-1.719408857142857</v>
      </c>
      <c r="N443" t="s">
        <v>29</v>
      </c>
      <c r="O443">
        <v>199</v>
      </c>
      <c r="P443">
        <v>12.3</v>
      </c>
      <c r="Q443">
        <v>2</v>
      </c>
      <c r="R443" t="str">
        <f>IF(AllDataCorrected[[#This Row],[Nitrate (PPM)]]&gt;2, "4. Very high (&gt;2ppm)", IF(AllDataCorrected[[#This Row],[Nitrate (PPM)]]&gt;1, "3. High (1-2ppm)", IF(AllDataCorrected[[#This Row],[Nitrate (PPM)]]&gt;0.5, "2. Some evidence (0.5-1ppm)", IF(AllDataCorrected[[#This Row],[Nitrate (PPM)]]&gt;=0, "1. No evidence (&lt;0.5ppm)"))))</f>
        <v>3. High (1-2ppm)</v>
      </c>
      <c r="S443">
        <v>1.06</v>
      </c>
      <c r="T4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3">
        <v>0.91400000000000003</v>
      </c>
      <c r="V443" t="s">
        <v>686</v>
      </c>
    </row>
    <row r="444" spans="1:22" x14ac:dyDescent="0.25">
      <c r="A444" t="s">
        <v>687</v>
      </c>
      <c r="B444" s="2">
        <v>45340</v>
      </c>
      <c r="C444" t="str" cm="1">
        <f t="array" ref="C4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4">
        <v>2023</v>
      </c>
      <c r="E444" s="1">
        <v>0.65972222222222221</v>
      </c>
      <c r="F44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4" t="str">
        <f>_xlfn.XLOOKUP(AllDataCorrected[[#This Row],[Location Name]], Locations[Location Name],Locations[Group As])</f>
        <v>Fell Mill Footbridge</v>
      </c>
      <c r="H444" t="e" vm="2">
        <f>_xlfn.XLOOKUP(AllDataCorrected[[#This Row],[Site Name]],LocationsKey[Site Name],LocationsKey[District])</f>
        <v>#VALUE!</v>
      </c>
      <c r="I444" t="e" vm="10">
        <f>_xlfn.XLOOKUP(AllDataCorrected[[#This Row],[Site Name]],LocationsKey[Site Name],LocationsKey[Town])</f>
        <v>#VALUE!</v>
      </c>
      <c r="J444" t="str">
        <f>_xlfn.XLOOKUP(AllDataCorrected[[#This Row],[Site Name]],LocationsKey[Site Name], LocationsKey[Waterway])</f>
        <v>Stour</v>
      </c>
      <c r="K444" t="s">
        <v>496</v>
      </c>
      <c r="L444">
        <f>_xlfn.XLOOKUP(AllDataCorrected[[#This Row],[Site Name]],Tables!$B$12:$B$78, Tables!C$12:C$78)</f>
        <v>52.067966827586183</v>
      </c>
      <c r="M444">
        <f>_xlfn.XLOOKUP(AllDataCorrected[[#This Row],[Site Name]],Tables!$B$12:$B$78, Tables!D$12:D$78)</f>
        <v>-1.6118101379310343</v>
      </c>
      <c r="N444" t="s">
        <v>29</v>
      </c>
      <c r="O444">
        <v>272</v>
      </c>
      <c r="P444">
        <v>12</v>
      </c>
      <c r="Q444">
        <v>2</v>
      </c>
      <c r="R444" t="str">
        <f>IF(AllDataCorrected[[#This Row],[Nitrate (PPM)]]&gt;2, "4. Very high (&gt;2ppm)", IF(AllDataCorrected[[#This Row],[Nitrate (PPM)]]&gt;1, "3. High (1-2ppm)", IF(AllDataCorrected[[#This Row],[Nitrate (PPM)]]&gt;0.5, "2. Some evidence (0.5-1ppm)", IF(AllDataCorrected[[#This Row],[Nitrate (PPM)]]&gt;=0, "1. No evidence (&lt;0.5ppm)"))))</f>
        <v>3. High (1-2ppm)</v>
      </c>
      <c r="S444">
        <v>0.11</v>
      </c>
      <c r="T4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4">
        <v>3</v>
      </c>
    </row>
    <row r="445" spans="1:22" x14ac:dyDescent="0.25">
      <c r="A445" t="s">
        <v>688</v>
      </c>
      <c r="B445" s="2">
        <v>45340</v>
      </c>
      <c r="C445" t="str" cm="1">
        <f t="array" ref="C4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5">
        <v>2023</v>
      </c>
      <c r="E445" s="1">
        <v>0.73958333333333337</v>
      </c>
      <c r="F4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5" t="str">
        <f>_xlfn.XLOOKUP(AllDataCorrected[[#This Row],[Location Name]], Locations[Location Name],Locations[Group As])</f>
        <v>Stour Shipston Mill Bridge</v>
      </c>
      <c r="H445" t="e" vm="2">
        <f>_xlfn.XLOOKUP(AllDataCorrected[[#This Row],[Site Name]],LocationsKey[Site Name],LocationsKey[District])</f>
        <v>#VALUE!</v>
      </c>
      <c r="I445" t="e" vm="10">
        <f>_xlfn.XLOOKUP(AllDataCorrected[[#This Row],[Site Name]],LocationsKey[Site Name],LocationsKey[Town])</f>
        <v>#VALUE!</v>
      </c>
      <c r="J445" t="str">
        <f>_xlfn.XLOOKUP(AllDataCorrected[[#This Row],[Site Name]],LocationsKey[Site Name], LocationsKey[Waterway])</f>
        <v>Stour</v>
      </c>
      <c r="K445" t="s">
        <v>432</v>
      </c>
      <c r="L445">
        <f>_xlfn.XLOOKUP(AllDataCorrected[[#This Row],[Site Name]],Tables!$B$12:$B$78, Tables!C$12:C$78)</f>
        <v>52.06201572727273</v>
      </c>
      <c r="M445">
        <f>_xlfn.XLOOKUP(AllDataCorrected[[#This Row],[Site Name]],Tables!$B$12:$B$78, Tables!D$12:D$78)</f>
        <v>-1.6218167272727273</v>
      </c>
      <c r="N445" t="s">
        <v>23</v>
      </c>
      <c r="O445">
        <v>384</v>
      </c>
      <c r="P445">
        <v>9.1999999999999993</v>
      </c>
      <c r="Q445">
        <v>4</v>
      </c>
      <c r="R445" t="str">
        <f>IF(AllDataCorrected[[#This Row],[Nitrate (PPM)]]&gt;2, "4. Very high (&gt;2ppm)", IF(AllDataCorrected[[#This Row],[Nitrate (PPM)]]&gt;1, "3. High (1-2ppm)", IF(AllDataCorrected[[#This Row],[Nitrate (PPM)]]&gt;0.5, "2. Some evidence (0.5-1ppm)", IF(AllDataCorrected[[#This Row],[Nitrate (PPM)]]&gt;=0, "1. No evidence (&lt;0.5ppm)"))))</f>
        <v>4. Very high (&gt;2ppm)</v>
      </c>
      <c r="S445">
        <v>0.18</v>
      </c>
      <c r="T4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5">
        <v>2.5</v>
      </c>
    </row>
    <row r="446" spans="1:22" x14ac:dyDescent="0.25">
      <c r="A446" t="s">
        <v>689</v>
      </c>
      <c r="B446" s="2">
        <v>45341</v>
      </c>
      <c r="C446" t="str" cm="1">
        <f t="array" ref="C4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6">
        <v>2023</v>
      </c>
      <c r="E446" s="1">
        <v>0.37430555555555556</v>
      </c>
      <c r="F4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6" t="str">
        <f>_xlfn.XLOOKUP(AllDataCorrected[[#This Row],[Location Name]], Locations[Location Name],Locations[Group As])</f>
        <v>Stour Stretton-on-Fosse Village</v>
      </c>
      <c r="H446" t="e" vm="2">
        <f>_xlfn.XLOOKUP(AllDataCorrected[[#This Row],[Site Name]],LocationsKey[Site Name],LocationsKey[District])</f>
        <v>#VALUE!</v>
      </c>
      <c r="I446" t="e" vm="14">
        <f>_xlfn.XLOOKUP(AllDataCorrected[[#This Row],[Site Name]],LocationsKey[Site Name],LocationsKey[Town])</f>
        <v>#VALUE!</v>
      </c>
      <c r="J446" t="str">
        <f>_xlfn.XLOOKUP(AllDataCorrected[[#This Row],[Site Name]],LocationsKey[Site Name], LocationsKey[Waterway])</f>
        <v>Stour</v>
      </c>
      <c r="K446" t="s">
        <v>544</v>
      </c>
      <c r="L446">
        <f>_xlfn.XLOOKUP(AllDataCorrected[[#This Row],[Site Name]],Tables!$B$12:$B$78, Tables!C$12:C$78)</f>
        <v>52.046517558823524</v>
      </c>
      <c r="M446">
        <f>_xlfn.XLOOKUP(AllDataCorrected[[#This Row],[Site Name]],Tables!$B$12:$B$78, Tables!D$12:D$78)</f>
        <v>-1.6734143529411767</v>
      </c>
      <c r="N446" t="s">
        <v>66</v>
      </c>
      <c r="O446">
        <v>483</v>
      </c>
      <c r="P446">
        <v>10</v>
      </c>
      <c r="Q446">
        <v>2</v>
      </c>
      <c r="R446" t="str">
        <f>IF(AllDataCorrected[[#This Row],[Nitrate (PPM)]]&gt;2, "4. Very high (&gt;2ppm)", IF(AllDataCorrected[[#This Row],[Nitrate (PPM)]]&gt;1, "3. High (1-2ppm)", IF(AllDataCorrected[[#This Row],[Nitrate (PPM)]]&gt;0.5, "2. Some evidence (0.5-1ppm)", IF(AllDataCorrected[[#This Row],[Nitrate (PPM)]]&gt;=0, "1. No evidence (&lt;0.5ppm)"))))</f>
        <v>3. High (1-2ppm)</v>
      </c>
      <c r="S446">
        <v>0.73</v>
      </c>
      <c r="T4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6">
        <v>0.25</v>
      </c>
    </row>
    <row r="447" spans="1:22" x14ac:dyDescent="0.25">
      <c r="A447" t="s">
        <v>690</v>
      </c>
      <c r="B447" s="2">
        <v>45341</v>
      </c>
      <c r="C447" t="str" cm="1">
        <f t="array" ref="C4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7">
        <v>2023</v>
      </c>
      <c r="E447" s="1">
        <v>0.38750000000000001</v>
      </c>
      <c r="F4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7" t="str">
        <f>_xlfn.XLOOKUP(AllDataCorrected[[#This Row],[Location Name]], Locations[Location Name],Locations[Group As])</f>
        <v>Stour Stretton-on-Fosse Sewage Works</v>
      </c>
      <c r="H447" t="e" vm="2">
        <f>_xlfn.XLOOKUP(AllDataCorrected[[#This Row],[Site Name]],LocationsKey[Site Name],LocationsKey[District])</f>
        <v>#VALUE!</v>
      </c>
      <c r="I447" t="e" vm="14">
        <f>_xlfn.XLOOKUP(AllDataCorrected[[#This Row],[Site Name]],LocationsKey[Site Name],LocationsKey[Town])</f>
        <v>#VALUE!</v>
      </c>
      <c r="J447" t="str">
        <f>_xlfn.XLOOKUP(AllDataCorrected[[#This Row],[Site Name]],LocationsKey[Site Name], LocationsKey[Waterway])</f>
        <v>Stour</v>
      </c>
      <c r="K447" t="s">
        <v>335</v>
      </c>
      <c r="L447">
        <f>_xlfn.XLOOKUP(AllDataCorrected[[#This Row],[Site Name]],Tables!$B$12:$B$78, Tables!C$12:C$78)</f>
        <v>52.045653647058806</v>
      </c>
      <c r="M447">
        <f>_xlfn.XLOOKUP(AllDataCorrected[[#This Row],[Site Name]],Tables!$B$12:$B$78, Tables!D$12:D$78)</f>
        <v>-1.6719221470588235</v>
      </c>
      <c r="N447" t="s">
        <v>29</v>
      </c>
      <c r="O447">
        <v>513</v>
      </c>
      <c r="P447">
        <v>9.1999999999999993</v>
      </c>
      <c r="Q447">
        <v>2</v>
      </c>
      <c r="R447" t="str">
        <f>IF(AllDataCorrected[[#This Row],[Nitrate (PPM)]]&gt;2, "4. Very high (&gt;2ppm)", IF(AllDataCorrected[[#This Row],[Nitrate (PPM)]]&gt;1, "3. High (1-2ppm)", IF(AllDataCorrected[[#This Row],[Nitrate (PPM)]]&gt;0.5, "2. Some evidence (0.5-1ppm)", IF(AllDataCorrected[[#This Row],[Nitrate (PPM)]]&gt;=0, "1. No evidence (&lt;0.5ppm)"))))</f>
        <v>3. High (1-2ppm)</v>
      </c>
      <c r="S447">
        <v>0.85</v>
      </c>
      <c r="T4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7">
        <v>0.3</v>
      </c>
    </row>
    <row r="448" spans="1:22" x14ac:dyDescent="0.25">
      <c r="A448" t="s">
        <v>691</v>
      </c>
      <c r="B448" s="2">
        <v>45341</v>
      </c>
      <c r="C448" t="str" cm="1">
        <f t="array" ref="C4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8">
        <v>2023</v>
      </c>
      <c r="E448" s="1">
        <v>0.6694444444444444</v>
      </c>
      <c r="F4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8" t="str">
        <f>_xlfn.XLOOKUP(AllDataCorrected[[#This Row],[Location Name]], Locations[Location Name],Locations[Group As])</f>
        <v>Abbey Mill</v>
      </c>
      <c r="H448" t="e" vm="1">
        <f>_xlfn.XLOOKUP(AllDataCorrected[[#This Row],[Site Name]],LocationsKey[Site Name],LocationsKey[District])</f>
        <v>#VALUE!</v>
      </c>
      <c r="I448" t="e" vm="1">
        <f>_xlfn.XLOOKUP(AllDataCorrected[[#This Row],[Site Name]],LocationsKey[Site Name],LocationsKey[Town])</f>
        <v>#VALUE!</v>
      </c>
      <c r="J448" t="str">
        <f>_xlfn.XLOOKUP(AllDataCorrected[[#This Row],[Site Name]],LocationsKey[Site Name], LocationsKey[Waterway])</f>
        <v>Avon</v>
      </c>
      <c r="K448" t="s">
        <v>25</v>
      </c>
      <c r="L448">
        <f>_xlfn.XLOOKUP(AllDataCorrected[[#This Row],[Site Name]],Tables!$B$12:$B$78, Tables!C$12:C$78)</f>
        <v>51.991389555555564</v>
      </c>
      <c r="M448">
        <f>_xlfn.XLOOKUP(AllDataCorrected[[#This Row],[Site Name]],Tables!$B$12:$B$78, Tables!D$12:D$78)</f>
        <v>-2.1620794000000005</v>
      </c>
      <c r="N448" t="s">
        <v>23</v>
      </c>
      <c r="O448">
        <v>469</v>
      </c>
      <c r="P448">
        <v>11.6</v>
      </c>
      <c r="Q448">
        <v>4</v>
      </c>
      <c r="R448" t="str">
        <f>IF(AllDataCorrected[[#This Row],[Nitrate (PPM)]]&gt;2, "4. Very high (&gt;2ppm)", IF(AllDataCorrected[[#This Row],[Nitrate (PPM)]]&gt;1, "3. High (1-2ppm)", IF(AllDataCorrected[[#This Row],[Nitrate (PPM)]]&gt;0.5, "2. Some evidence (0.5-1ppm)", IF(AllDataCorrected[[#This Row],[Nitrate (PPM)]]&gt;=0, "1. No evidence (&lt;0.5ppm)"))))</f>
        <v>4. Very high (&gt;2ppm)</v>
      </c>
      <c r="S448">
        <v>0.6</v>
      </c>
      <c r="T4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8">
        <v>2.2999999999999998</v>
      </c>
      <c r="V448" t="s">
        <v>692</v>
      </c>
    </row>
    <row r="449" spans="1:22" x14ac:dyDescent="0.25">
      <c r="A449" t="s">
        <v>693</v>
      </c>
      <c r="B449" s="2">
        <v>45343</v>
      </c>
      <c r="C449" t="str" cm="1">
        <f t="array" ref="C4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9">
        <v>2023</v>
      </c>
      <c r="E449" s="1">
        <v>0.625</v>
      </c>
      <c r="F4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9" t="str">
        <f>_xlfn.XLOOKUP(AllDataCorrected[[#This Row],[Location Name]], Locations[Location Name],Locations[Group As])</f>
        <v>Swiffen Bank</v>
      </c>
      <c r="H449" t="e" vm="2">
        <f>_xlfn.XLOOKUP(AllDataCorrected[[#This Row],[Site Name]],LocationsKey[Site Name],LocationsKey[District])</f>
        <v>#VALUE!</v>
      </c>
      <c r="I449" t="e" vm="13">
        <f>_xlfn.XLOOKUP(AllDataCorrected[[#This Row],[Site Name]],LocationsKey[Site Name],LocationsKey[Town])</f>
        <v>#VALUE!</v>
      </c>
      <c r="J449" t="str">
        <f>_xlfn.XLOOKUP(AllDataCorrected[[#This Row],[Site Name]],LocationsKey[Site Name], LocationsKey[Waterway])</f>
        <v>Avon</v>
      </c>
      <c r="K449" t="s">
        <v>284</v>
      </c>
      <c r="L449">
        <f>_xlfn.XLOOKUP(AllDataCorrected[[#This Row],[Site Name]],Tables!$B$12:$B$78, Tables!C$12:C$78)</f>
        <v>52.206446825000015</v>
      </c>
      <c r="M449">
        <f>_xlfn.XLOOKUP(AllDataCorrected[[#This Row],[Site Name]],Tables!$B$12:$B$78, Tables!D$12:D$78)</f>
        <v>-1.6541684000000003</v>
      </c>
      <c r="N449" t="s">
        <v>29</v>
      </c>
      <c r="O449">
        <v>496</v>
      </c>
      <c r="P449">
        <v>12.6</v>
      </c>
      <c r="Q449">
        <v>5</v>
      </c>
      <c r="R449" t="str">
        <f>IF(AllDataCorrected[[#This Row],[Nitrate (PPM)]]&gt;2, "4. Very high (&gt;2ppm)", IF(AllDataCorrected[[#This Row],[Nitrate (PPM)]]&gt;1, "3. High (1-2ppm)", IF(AllDataCorrected[[#This Row],[Nitrate (PPM)]]&gt;0.5, "2. Some evidence (0.5-1ppm)", IF(AllDataCorrected[[#This Row],[Nitrate (PPM)]]&gt;=0, "1. No evidence (&lt;0.5ppm)"))))</f>
        <v>4. Very high (&gt;2ppm)</v>
      </c>
      <c r="S449">
        <v>0.56000000000000005</v>
      </c>
      <c r="T4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9">
        <v>1.8</v>
      </c>
      <c r="V449" t="s">
        <v>694</v>
      </c>
    </row>
    <row r="450" spans="1:22" x14ac:dyDescent="0.25">
      <c r="A450" t="s">
        <v>695</v>
      </c>
      <c r="B450" s="2">
        <v>45343</v>
      </c>
      <c r="C450" t="str" cm="1">
        <f t="array" ref="C4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0">
        <v>2023</v>
      </c>
      <c r="E450" s="1">
        <v>0.64583333333333337</v>
      </c>
      <c r="F4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0" t="str">
        <f>_xlfn.XLOOKUP(AllDataCorrected[[#This Row],[Location Name]], Locations[Location Name],Locations[Group As])</f>
        <v>Alveston Weir</v>
      </c>
      <c r="H450" t="e" vm="2">
        <f>_xlfn.XLOOKUP(AllDataCorrected[[#This Row],[Site Name]],LocationsKey[Site Name],LocationsKey[District])</f>
        <v>#VALUE!</v>
      </c>
      <c r="I450" t="e" vm="13">
        <f>_xlfn.XLOOKUP(AllDataCorrected[[#This Row],[Site Name]],LocationsKey[Site Name],LocationsKey[Town])</f>
        <v>#VALUE!</v>
      </c>
      <c r="J450" t="str">
        <f>_xlfn.XLOOKUP(AllDataCorrected[[#This Row],[Site Name]],LocationsKey[Site Name], LocationsKey[Waterway])</f>
        <v>Avon</v>
      </c>
      <c r="K450" t="s">
        <v>286</v>
      </c>
      <c r="L450">
        <f>_xlfn.XLOOKUP(AllDataCorrected[[#This Row],[Site Name]],Tables!$B$12:$B$78, Tables!C$12:C$78)</f>
        <v>52.212366690476216</v>
      </c>
      <c r="M450">
        <f>_xlfn.XLOOKUP(AllDataCorrected[[#This Row],[Site Name]],Tables!$B$12:$B$78, Tables!D$12:D$78)</f>
        <v>-1.6602567619047619</v>
      </c>
      <c r="N450" t="s">
        <v>29</v>
      </c>
      <c r="O450">
        <v>498</v>
      </c>
      <c r="P450">
        <v>11.4</v>
      </c>
      <c r="Q450">
        <v>5</v>
      </c>
      <c r="R450" t="str">
        <f>IF(AllDataCorrected[[#This Row],[Nitrate (PPM)]]&gt;2, "4. Very high (&gt;2ppm)", IF(AllDataCorrected[[#This Row],[Nitrate (PPM)]]&gt;1, "3. High (1-2ppm)", IF(AllDataCorrected[[#This Row],[Nitrate (PPM)]]&gt;0.5, "2. Some evidence (0.5-1ppm)", IF(AllDataCorrected[[#This Row],[Nitrate (PPM)]]&gt;=0, "1. No evidence (&lt;0.5ppm)"))))</f>
        <v>4. Very high (&gt;2ppm)</v>
      </c>
      <c r="S450">
        <v>0.48</v>
      </c>
      <c r="T45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0">
        <v>1.8</v>
      </c>
      <c r="V450" t="s">
        <v>696</v>
      </c>
    </row>
    <row r="451" spans="1:22" x14ac:dyDescent="0.25">
      <c r="A451" t="s">
        <v>697</v>
      </c>
      <c r="B451" s="2">
        <v>45343</v>
      </c>
      <c r="C451" t="str" cm="1">
        <f t="array" ref="C4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1">
        <v>2023</v>
      </c>
      <c r="E451" s="1">
        <v>0.66666666666666663</v>
      </c>
      <c r="F4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1" t="str">
        <f>_xlfn.XLOOKUP(AllDataCorrected[[#This Row],[Location Name]], Locations[Location Name],Locations[Group As])</f>
        <v>Stour Newbold Mill</v>
      </c>
      <c r="H451" t="e" vm="2">
        <f>_xlfn.XLOOKUP(AllDataCorrected[[#This Row],[Site Name]],LocationsKey[Site Name],LocationsKey[District])</f>
        <v>#VALUE!</v>
      </c>
      <c r="I451" t="e" vm="8">
        <f>_xlfn.XLOOKUP(AllDataCorrected[[#This Row],[Site Name]],LocationsKey[Site Name],LocationsKey[Town])</f>
        <v>#VALUE!</v>
      </c>
      <c r="J451" t="str">
        <f>_xlfn.XLOOKUP(AllDataCorrected[[#This Row],[Site Name]],LocationsKey[Site Name], LocationsKey[Waterway])</f>
        <v>Stour</v>
      </c>
      <c r="K451" t="s">
        <v>140</v>
      </c>
      <c r="L451">
        <f>_xlfn.XLOOKUP(AllDataCorrected[[#This Row],[Site Name]],Tables!$B$12:$B$78, Tables!C$12:C$78)</f>
        <v>52.113052370370362</v>
      </c>
      <c r="M451">
        <f>_xlfn.XLOOKUP(AllDataCorrected[[#This Row],[Site Name]],Tables!$B$12:$B$78, Tables!D$12:D$78)</f>
        <v>-1.6333685185185185</v>
      </c>
      <c r="N451" t="s">
        <v>66</v>
      </c>
      <c r="O451">
        <v>483</v>
      </c>
      <c r="P451">
        <v>12.1</v>
      </c>
      <c r="Q451">
        <v>2</v>
      </c>
      <c r="R451" t="str">
        <f>IF(AllDataCorrected[[#This Row],[Nitrate (PPM)]]&gt;2, "4. Very high (&gt;2ppm)", IF(AllDataCorrected[[#This Row],[Nitrate (PPM)]]&gt;1, "3. High (1-2ppm)", IF(AllDataCorrected[[#This Row],[Nitrate (PPM)]]&gt;0.5, "2. Some evidence (0.5-1ppm)", IF(AllDataCorrected[[#This Row],[Nitrate (PPM)]]&gt;=0, "1. No evidence (&lt;0.5ppm)"))))</f>
        <v>3. High (1-2ppm)</v>
      </c>
      <c r="S451">
        <v>0.22</v>
      </c>
      <c r="T4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1">
        <v>3.5</v>
      </c>
      <c r="V451" t="s">
        <v>698</v>
      </c>
    </row>
    <row r="452" spans="1:22" x14ac:dyDescent="0.25">
      <c r="A452" t="s">
        <v>699</v>
      </c>
      <c r="B452" s="2">
        <v>45344</v>
      </c>
      <c r="C452" t="str" cm="1">
        <f t="array" ref="C4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2">
        <v>2023</v>
      </c>
      <c r="E452" s="1">
        <v>0.49444444444444446</v>
      </c>
      <c r="F4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2" t="str">
        <f>_xlfn.XLOOKUP(AllDataCorrected[[#This Row],[Location Name]], Locations[Location Name],Locations[Group As])</f>
        <v>Stour Willington</v>
      </c>
      <c r="H452" t="e" vm="2">
        <f>_xlfn.XLOOKUP(AllDataCorrected[[#This Row],[Site Name]],LocationsKey[Site Name],LocationsKey[District])</f>
        <v>#VALUE!</v>
      </c>
      <c r="I452" t="str">
        <f>_xlfn.XLOOKUP(AllDataCorrected[[#This Row],[Site Name]],LocationsKey[Site Name],LocationsKey[Town])</f>
        <v>Willington</v>
      </c>
      <c r="J452" t="str">
        <f>_xlfn.XLOOKUP(AllDataCorrected[[#This Row],[Site Name]],LocationsKey[Site Name], LocationsKey[Waterway])</f>
        <v>Stour</v>
      </c>
      <c r="K452" t="s">
        <v>517</v>
      </c>
      <c r="L452">
        <f>_xlfn.XLOOKUP(AllDataCorrected[[#This Row],[Site Name]],Tables!$B$12:$B$78, Tables!C$12:C$78)</f>
        <v>52.053154375000005</v>
      </c>
      <c r="M452">
        <f>_xlfn.XLOOKUP(AllDataCorrected[[#This Row],[Site Name]],Tables!$B$12:$B$78, Tables!D$12:D$78)</f>
        <v>-1.6191991562500001</v>
      </c>
      <c r="N452" t="s">
        <v>23</v>
      </c>
      <c r="O452">
        <v>427</v>
      </c>
      <c r="P452">
        <v>10.4</v>
      </c>
      <c r="Q452">
        <v>0.2</v>
      </c>
      <c r="R45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52">
        <v>0.16</v>
      </c>
      <c r="T4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2">
        <v>1.25</v>
      </c>
      <c r="V452" t="s">
        <v>666</v>
      </c>
    </row>
    <row r="453" spans="1:22" x14ac:dyDescent="0.25">
      <c r="A453" t="s">
        <v>700</v>
      </c>
      <c r="B453" s="2">
        <v>45344</v>
      </c>
      <c r="C453" t="str" cm="1">
        <f t="array" ref="C4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3">
        <v>2023</v>
      </c>
      <c r="E453" s="1">
        <v>0.5625</v>
      </c>
      <c r="F4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3" t="str">
        <f>_xlfn.XLOOKUP(AllDataCorrected[[#This Row],[Location Name]], Locations[Location Name],Locations[Group As])</f>
        <v>Swilgate</v>
      </c>
      <c r="H453" t="e" vm="1">
        <f>_xlfn.XLOOKUP(AllDataCorrected[[#This Row],[Site Name]],LocationsKey[Site Name],LocationsKey[District])</f>
        <v>#VALUE!</v>
      </c>
      <c r="I453" t="e" vm="1">
        <f>_xlfn.XLOOKUP(AllDataCorrected[[#This Row],[Site Name]],LocationsKey[Site Name],LocationsKey[Town])</f>
        <v>#VALUE!</v>
      </c>
      <c r="J453" t="str">
        <f>_xlfn.XLOOKUP(AllDataCorrected[[#This Row],[Site Name]],LocationsKey[Site Name], LocationsKey[Waterway])</f>
        <v>Swilgate</v>
      </c>
      <c r="K453" t="s">
        <v>84</v>
      </c>
      <c r="L453">
        <f>_xlfn.XLOOKUP(AllDataCorrected[[#This Row],[Site Name]],Tables!$B$12:$B$78, Tables!C$12:C$78)</f>
        <v>51.9885442</v>
      </c>
      <c r="M453">
        <f>_xlfn.XLOOKUP(AllDataCorrected[[#This Row],[Site Name]],Tables!$B$12:$B$78, Tables!D$12:D$78)</f>
        <v>-2.1639010000000001</v>
      </c>
      <c r="N453" t="s">
        <v>23</v>
      </c>
      <c r="O453">
        <v>709</v>
      </c>
      <c r="P453">
        <v>9.5</v>
      </c>
      <c r="Q453">
        <v>3</v>
      </c>
      <c r="R453" t="str">
        <f>IF(AllDataCorrected[[#This Row],[Nitrate (PPM)]]&gt;2, "4. Very high (&gt;2ppm)", IF(AllDataCorrected[[#This Row],[Nitrate (PPM)]]&gt;1, "3. High (1-2ppm)", IF(AllDataCorrected[[#This Row],[Nitrate (PPM)]]&gt;0.5, "2. Some evidence (0.5-1ppm)", IF(AllDataCorrected[[#This Row],[Nitrate (PPM)]]&gt;=0, "1. No evidence (&lt;0.5ppm)"))))</f>
        <v>4. Very high (&gt;2ppm)</v>
      </c>
      <c r="S453">
        <v>0.47</v>
      </c>
      <c r="T4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3">
        <v>2.5</v>
      </c>
      <c r="V453" t="s">
        <v>291</v>
      </c>
    </row>
    <row r="454" spans="1:22" x14ac:dyDescent="0.25">
      <c r="A454" t="s">
        <v>701</v>
      </c>
      <c r="B454" s="2">
        <v>45345</v>
      </c>
      <c r="C454" t="str" cm="1">
        <f t="array" ref="C4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4">
        <v>2023</v>
      </c>
      <c r="E454" s="1">
        <v>0.4375</v>
      </c>
      <c r="F4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4" t="str">
        <f>_xlfn.XLOOKUP(AllDataCorrected[[#This Row],[Location Name]], Locations[Location Name],Locations[Group As])</f>
        <v>Mill Bridge Peopleton</v>
      </c>
      <c r="H454" t="e" vm="17">
        <f>_xlfn.XLOOKUP(AllDataCorrected[[#This Row],[Site Name]],LocationsKey[Site Name],LocationsKey[District])</f>
        <v>#VALUE!</v>
      </c>
      <c r="I454" t="str">
        <f>_xlfn.XLOOKUP(AllDataCorrected[[#This Row],[Site Name]],LocationsKey[Site Name],LocationsKey[Town])</f>
        <v>Peopleton</v>
      </c>
      <c r="J454" t="str">
        <f>_xlfn.XLOOKUP(AllDataCorrected[[#This Row],[Site Name]],LocationsKey[Site Name], LocationsKey[Waterway])</f>
        <v>Bow Brook</v>
      </c>
      <c r="K454" t="s">
        <v>702</v>
      </c>
      <c r="L454">
        <f>_xlfn.XLOOKUP(AllDataCorrected[[#This Row],[Site Name]],Tables!$B$12:$B$78, Tables!C$12:C$78)</f>
        <v>52.15202992857143</v>
      </c>
      <c r="M454">
        <f>_xlfn.XLOOKUP(AllDataCorrected[[#This Row],[Site Name]],Tables!$B$12:$B$78, Tables!D$12:D$78)</f>
        <v>-2.0954780000000004</v>
      </c>
      <c r="N454" t="s">
        <v>29</v>
      </c>
      <c r="O454">
        <v>305</v>
      </c>
      <c r="P454">
        <v>6.9</v>
      </c>
      <c r="S454">
        <v>0.21</v>
      </c>
      <c r="T45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4">
        <v>2</v>
      </c>
      <c r="V454" t="s">
        <v>703</v>
      </c>
    </row>
    <row r="455" spans="1:22" x14ac:dyDescent="0.25">
      <c r="A455" t="s">
        <v>704</v>
      </c>
      <c r="B455" s="2">
        <v>45345</v>
      </c>
      <c r="C455" t="str" cm="1">
        <f t="array" ref="C4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5">
        <v>2023</v>
      </c>
      <c r="E455" s="1">
        <v>0.60416666666666663</v>
      </c>
      <c r="F4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5" t="str">
        <f>_xlfn.XLOOKUP(AllDataCorrected[[#This Row],[Location Name]], Locations[Location Name],Locations[Group As])</f>
        <v>Preston Bagot Canal</v>
      </c>
      <c r="H455" t="e" vm="2">
        <f>_xlfn.XLOOKUP(AllDataCorrected[[#This Row],[Site Name]],LocationsKey[Site Name],LocationsKey[District])</f>
        <v>#VALUE!</v>
      </c>
      <c r="I455" t="e" vm="19">
        <f>_xlfn.XLOOKUP(AllDataCorrected[[#This Row],[Site Name]],LocationsKey[Site Name],LocationsKey[Town])</f>
        <v>#VALUE!</v>
      </c>
      <c r="J455" t="str">
        <f>_xlfn.XLOOKUP(AllDataCorrected[[#This Row],[Site Name]],LocationsKey[Site Name], LocationsKey[Waterway])</f>
        <v>Preston Bagot Canal</v>
      </c>
      <c r="K455" t="s">
        <v>615</v>
      </c>
      <c r="L455">
        <f>_xlfn.XLOOKUP(AllDataCorrected[[#This Row],[Site Name]],Tables!$B$12:$B$78, Tables!C$12:C$78)</f>
        <v>52.286540000000002</v>
      </c>
      <c r="M455">
        <f>_xlfn.XLOOKUP(AllDataCorrected[[#This Row],[Site Name]],Tables!$B$12:$B$78, Tables!D$12:D$78)</f>
        <v>-1.74576</v>
      </c>
      <c r="N455" t="s">
        <v>23</v>
      </c>
      <c r="O455">
        <v>22</v>
      </c>
      <c r="P455">
        <v>10.1</v>
      </c>
      <c r="Q455">
        <v>2</v>
      </c>
      <c r="R455" t="str">
        <f>IF(AllDataCorrected[[#This Row],[Nitrate (PPM)]]&gt;2, "4. Very high (&gt;2ppm)", IF(AllDataCorrected[[#This Row],[Nitrate (PPM)]]&gt;1, "3. High (1-2ppm)", IF(AllDataCorrected[[#This Row],[Nitrate (PPM)]]&gt;0.5, "2. Some evidence (0.5-1ppm)", IF(AllDataCorrected[[#This Row],[Nitrate (PPM)]]&gt;=0, "1. No evidence (&lt;0.5ppm)"))))</f>
        <v>3. High (1-2ppm)</v>
      </c>
      <c r="S455">
        <v>0.3</v>
      </c>
      <c r="T4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5">
        <v>0</v>
      </c>
      <c r="V455" t="s">
        <v>705</v>
      </c>
    </row>
    <row r="456" spans="1:22" x14ac:dyDescent="0.25">
      <c r="A456" t="s">
        <v>706</v>
      </c>
      <c r="B456" s="2">
        <v>45345</v>
      </c>
      <c r="C456" t="str" cm="1">
        <f t="array" ref="C4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6">
        <v>2023</v>
      </c>
      <c r="E456" s="1">
        <v>0.61111111111111116</v>
      </c>
      <c r="F4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6" t="str">
        <f>_xlfn.XLOOKUP(AllDataCorrected[[#This Row],[Location Name]], Locations[Location Name],Locations[Group As])</f>
        <v>Preston Bagot Brook</v>
      </c>
      <c r="H456" t="e" vm="2">
        <f>_xlfn.XLOOKUP(AllDataCorrected[[#This Row],[Site Name]],LocationsKey[Site Name],LocationsKey[District])</f>
        <v>#VALUE!</v>
      </c>
      <c r="I456" t="e" vm="19">
        <f>_xlfn.XLOOKUP(AllDataCorrected[[#This Row],[Site Name]],LocationsKey[Site Name],LocationsKey[Town])</f>
        <v>#VALUE!</v>
      </c>
      <c r="J456" t="str">
        <f>_xlfn.XLOOKUP(AllDataCorrected[[#This Row],[Site Name]],LocationsKey[Site Name], LocationsKey[Waterway])</f>
        <v>Preston Bagot Brook</v>
      </c>
      <c r="K456" t="s">
        <v>618</v>
      </c>
      <c r="L456">
        <f>_xlfn.XLOOKUP(AllDataCorrected[[#This Row],[Site Name]],Tables!$B$12:$B$78, Tables!C$12:C$78)</f>
        <v>52.286200000000001</v>
      </c>
      <c r="M456">
        <f>_xlfn.XLOOKUP(AllDataCorrected[[#This Row],[Site Name]],Tables!$B$12:$B$78, Tables!D$12:D$78)</f>
        <v>-1.7478</v>
      </c>
      <c r="N456" t="s">
        <v>23</v>
      </c>
      <c r="O456">
        <v>390</v>
      </c>
      <c r="P456">
        <v>11.2</v>
      </c>
      <c r="Q456">
        <v>2</v>
      </c>
      <c r="R456" t="str">
        <f>IF(AllDataCorrected[[#This Row],[Nitrate (PPM)]]&gt;2, "4. Very high (&gt;2ppm)", IF(AllDataCorrected[[#This Row],[Nitrate (PPM)]]&gt;1, "3. High (1-2ppm)", IF(AllDataCorrected[[#This Row],[Nitrate (PPM)]]&gt;0.5, "2. Some evidence (0.5-1ppm)", IF(AllDataCorrected[[#This Row],[Nitrate (PPM)]]&gt;=0, "1. No evidence (&lt;0.5ppm)"))))</f>
        <v>3. High (1-2ppm)</v>
      </c>
      <c r="S456">
        <v>0.56000000000000005</v>
      </c>
      <c r="T4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6">
        <v>0</v>
      </c>
      <c r="V456" t="s">
        <v>705</v>
      </c>
    </row>
    <row r="457" spans="1:22" x14ac:dyDescent="0.25">
      <c r="A457" t="s">
        <v>707</v>
      </c>
      <c r="B457" s="2">
        <v>45345</v>
      </c>
      <c r="C457" t="str" cm="1">
        <f t="array" ref="C4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7">
        <v>2023</v>
      </c>
      <c r="E457" s="1">
        <v>0.7006944444444444</v>
      </c>
      <c r="F4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7" t="str">
        <f>_xlfn.XLOOKUP(AllDataCorrected[[#This Row],[Location Name]], Locations[Location Name],Locations[Group As])</f>
        <v>Preston-on-Stour River Bridge</v>
      </c>
      <c r="H457" t="e" vm="2">
        <f>_xlfn.XLOOKUP(AllDataCorrected[[#This Row],[Site Name]],LocationsKey[Site Name],LocationsKey[District])</f>
        <v>#VALUE!</v>
      </c>
      <c r="I457" t="e" vm="9">
        <f>_xlfn.XLOOKUP(AllDataCorrected[[#This Row],[Site Name]],LocationsKey[Site Name],LocationsKey[Town])</f>
        <v>#VALUE!</v>
      </c>
      <c r="J457" t="str">
        <f>_xlfn.XLOOKUP(AllDataCorrected[[#This Row],[Site Name]],LocationsKey[Site Name], LocationsKey[Waterway])</f>
        <v>Stour</v>
      </c>
      <c r="K457" t="s">
        <v>163</v>
      </c>
      <c r="L457">
        <f>_xlfn.XLOOKUP(AllDataCorrected[[#This Row],[Site Name]],Tables!$B$12:$B$78, Tables!C$12:C$78)</f>
        <v>52.146529500000007</v>
      </c>
      <c r="M457">
        <f>_xlfn.XLOOKUP(AllDataCorrected[[#This Row],[Site Name]],Tables!$B$12:$B$78, Tables!D$12:D$78)</f>
        <v>-1.6996899999999999</v>
      </c>
      <c r="N457" t="s">
        <v>29</v>
      </c>
      <c r="O457">
        <v>436</v>
      </c>
      <c r="P457">
        <v>7.6</v>
      </c>
      <c r="Q457">
        <v>5</v>
      </c>
      <c r="R457" t="str">
        <f>IF(AllDataCorrected[[#This Row],[Nitrate (PPM)]]&gt;2, "4. Very high (&gt;2ppm)", IF(AllDataCorrected[[#This Row],[Nitrate (PPM)]]&gt;1, "3. High (1-2ppm)", IF(AllDataCorrected[[#This Row],[Nitrate (PPM)]]&gt;0.5, "2. Some evidence (0.5-1ppm)", IF(AllDataCorrected[[#This Row],[Nitrate (PPM)]]&gt;=0, "1. No evidence (&lt;0.5ppm)"))))</f>
        <v>4. Very high (&gt;2ppm)</v>
      </c>
      <c r="S457">
        <v>0.28000000000000003</v>
      </c>
      <c r="T4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7">
        <v>2</v>
      </c>
      <c r="V457" t="s">
        <v>708</v>
      </c>
    </row>
    <row r="458" spans="1:22" x14ac:dyDescent="0.25">
      <c r="A458" t="s">
        <v>709</v>
      </c>
      <c r="B458" s="2">
        <v>45346</v>
      </c>
      <c r="C458" t="str" cm="1">
        <f t="array" ref="C4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8">
        <v>2023</v>
      </c>
      <c r="E458" s="1">
        <v>0.46180555555555558</v>
      </c>
      <c r="F4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8" t="str">
        <f>_xlfn.XLOOKUP(AllDataCorrected[[#This Row],[Location Name]], Locations[Location Name],Locations[Group As])</f>
        <v>Black Bear</v>
      </c>
      <c r="H458" t="e" vm="1">
        <f>_xlfn.XLOOKUP(AllDataCorrected[[#This Row],[Site Name]],LocationsKey[Site Name],LocationsKey[District])</f>
        <v>#VALUE!</v>
      </c>
      <c r="I458" t="e" vm="1">
        <f>_xlfn.XLOOKUP(AllDataCorrected[[#This Row],[Site Name]],LocationsKey[Site Name],LocationsKey[Town])</f>
        <v>#VALUE!</v>
      </c>
      <c r="J458" t="str">
        <f>_xlfn.XLOOKUP(AllDataCorrected[[#This Row],[Site Name]],LocationsKey[Site Name], LocationsKey[Waterway])</f>
        <v>Avon</v>
      </c>
      <c r="K458" t="s">
        <v>567</v>
      </c>
      <c r="L458">
        <f>_xlfn.XLOOKUP(AllDataCorrected[[#This Row],[Site Name]],Tables!$B$12:$B$78, Tables!C$12:C$78)</f>
        <v>51.997435214285723</v>
      </c>
      <c r="M458">
        <f>_xlfn.XLOOKUP(AllDataCorrected[[#This Row],[Site Name]],Tables!$B$12:$B$78, Tables!D$12:D$78)</f>
        <v>-2.1562056785714288</v>
      </c>
      <c r="N458" t="s">
        <v>23</v>
      </c>
      <c r="O458">
        <v>408</v>
      </c>
      <c r="P458">
        <v>8.1999999999999993</v>
      </c>
      <c r="Q458">
        <v>4</v>
      </c>
      <c r="R458" t="str">
        <f>IF(AllDataCorrected[[#This Row],[Nitrate (PPM)]]&gt;2, "4. Very high (&gt;2ppm)", IF(AllDataCorrected[[#This Row],[Nitrate (PPM)]]&gt;1, "3. High (1-2ppm)", IF(AllDataCorrected[[#This Row],[Nitrate (PPM)]]&gt;0.5, "2. Some evidence (0.5-1ppm)", IF(AllDataCorrected[[#This Row],[Nitrate (PPM)]]&gt;=0, "1. No evidence (&lt;0.5ppm)"))))</f>
        <v>4. Very high (&gt;2ppm)</v>
      </c>
      <c r="S458">
        <v>0.64</v>
      </c>
      <c r="T4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8">
        <v>3</v>
      </c>
    </row>
    <row r="459" spans="1:22" x14ac:dyDescent="0.25">
      <c r="A459" t="s">
        <v>710</v>
      </c>
      <c r="B459" s="2">
        <v>45346</v>
      </c>
      <c r="C459" t="str" cm="1">
        <f t="array" ref="C4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9">
        <v>2023</v>
      </c>
      <c r="E459" s="1">
        <v>0.47916666666666669</v>
      </c>
      <c r="F4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9" t="str">
        <f>_xlfn.XLOOKUP(AllDataCorrected[[#This Row],[Location Name]], Locations[Location Name],Locations[Group As])</f>
        <v>Carrant Bredon Rd</v>
      </c>
      <c r="H459" t="e" vm="1">
        <f>_xlfn.XLOOKUP(AllDataCorrected[[#This Row],[Site Name]],LocationsKey[Site Name],LocationsKey[District])</f>
        <v>#VALUE!</v>
      </c>
      <c r="I459" t="e" vm="1">
        <f>_xlfn.XLOOKUP(AllDataCorrected[[#This Row],[Site Name]],LocationsKey[Site Name],LocationsKey[Town])</f>
        <v>#VALUE!</v>
      </c>
      <c r="J459" t="str">
        <f>_xlfn.XLOOKUP(AllDataCorrected[[#This Row],[Site Name]],LocationsKey[Site Name], LocationsKey[Waterway])</f>
        <v>Carrant</v>
      </c>
      <c r="K459" t="s">
        <v>600</v>
      </c>
      <c r="L459">
        <f>_xlfn.XLOOKUP(AllDataCorrected[[#This Row],[Site Name]],Tables!$B$12:$B$78, Tables!C$12:C$78)</f>
        <v>51.996416567567572</v>
      </c>
      <c r="M459">
        <f>_xlfn.XLOOKUP(AllDataCorrected[[#This Row],[Site Name]],Tables!$B$12:$B$78, Tables!D$12:D$78)</f>
        <v>-2.1556626756756749</v>
      </c>
      <c r="N459" t="s">
        <v>23</v>
      </c>
      <c r="O459">
        <v>446</v>
      </c>
      <c r="P459">
        <v>8</v>
      </c>
      <c r="Q459">
        <v>3</v>
      </c>
      <c r="R459" t="str">
        <f>IF(AllDataCorrected[[#This Row],[Nitrate (PPM)]]&gt;2, "4. Very high (&gt;2ppm)", IF(AllDataCorrected[[#This Row],[Nitrate (PPM)]]&gt;1, "3. High (1-2ppm)", IF(AllDataCorrected[[#This Row],[Nitrate (PPM)]]&gt;0.5, "2. Some evidence (0.5-1ppm)", IF(AllDataCorrected[[#This Row],[Nitrate (PPM)]]&gt;=0, "1. No evidence (&lt;0.5ppm)"))))</f>
        <v>4. Very high (&gt;2ppm)</v>
      </c>
      <c r="S459">
        <v>0.62</v>
      </c>
      <c r="T4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9">
        <v>2.11</v>
      </c>
      <c r="V459" t="s">
        <v>711</v>
      </c>
    </row>
    <row r="460" spans="1:22" x14ac:dyDescent="0.25">
      <c r="A460" t="s">
        <v>712</v>
      </c>
      <c r="B460" s="2">
        <v>45347</v>
      </c>
      <c r="C460" t="str" cm="1">
        <f t="array" ref="C4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0">
        <v>2023</v>
      </c>
      <c r="E460" s="1">
        <v>0.47569444444444442</v>
      </c>
      <c r="F4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60" t="str">
        <f>_xlfn.XLOOKUP(AllDataCorrected[[#This Row],[Location Name]], Locations[Location Name],Locations[Group As])</f>
        <v>The Ford, Langley</v>
      </c>
      <c r="H460" t="e" vm="2">
        <f>_xlfn.XLOOKUP(AllDataCorrected[[#This Row],[Site Name]],LocationsKey[Site Name],LocationsKey[District])</f>
        <v>#VALUE!</v>
      </c>
      <c r="I460" t="str">
        <f>_xlfn.XLOOKUP(AllDataCorrected[[#This Row],[Site Name]],LocationsKey[Site Name],LocationsKey[Town])</f>
        <v>Langley</v>
      </c>
      <c r="J460" t="str">
        <f>_xlfn.XLOOKUP(AllDataCorrected[[#This Row],[Site Name]],LocationsKey[Site Name], LocationsKey[Waterway])</f>
        <v>Langley Ford</v>
      </c>
      <c r="K460" t="s">
        <v>557</v>
      </c>
      <c r="L460">
        <f>_xlfn.XLOOKUP(AllDataCorrected[[#This Row],[Site Name]],Tables!$B$12:$B$78, Tables!C$12:C$78)</f>
        <v>52.261724821428579</v>
      </c>
      <c r="M460">
        <f>_xlfn.XLOOKUP(AllDataCorrected[[#This Row],[Site Name]],Tables!$B$12:$B$78, Tables!D$12:D$78)</f>
        <v>-1.719408857142857</v>
      </c>
      <c r="N460" t="s">
        <v>29</v>
      </c>
      <c r="O460">
        <v>520</v>
      </c>
      <c r="P460">
        <v>7.5</v>
      </c>
      <c r="Q460">
        <v>6</v>
      </c>
      <c r="R460" t="str">
        <f>IF(AllDataCorrected[[#This Row],[Nitrate (PPM)]]&gt;2, "4. Very high (&gt;2ppm)", IF(AllDataCorrected[[#This Row],[Nitrate (PPM)]]&gt;1, "3. High (1-2ppm)", IF(AllDataCorrected[[#This Row],[Nitrate (PPM)]]&gt;0.5, "2. Some evidence (0.5-1ppm)", IF(AllDataCorrected[[#This Row],[Nitrate (PPM)]]&gt;=0, "1. No evidence (&lt;0.5ppm)"))))</f>
        <v>4. Very high (&gt;2ppm)</v>
      </c>
      <c r="S460">
        <v>0.63</v>
      </c>
      <c r="T4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0">
        <v>35</v>
      </c>
      <c r="V460" t="s">
        <v>713</v>
      </c>
    </row>
    <row r="461" spans="1:22" x14ac:dyDescent="0.25">
      <c r="A461" t="s">
        <v>714</v>
      </c>
      <c r="B461" s="2">
        <v>45347</v>
      </c>
      <c r="C461" t="str" cm="1">
        <f t="array" ref="C4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1">
        <v>2023</v>
      </c>
      <c r="E461" s="1">
        <v>0.64583333333333337</v>
      </c>
      <c r="F4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1" t="str">
        <f>_xlfn.XLOOKUP(AllDataCorrected[[#This Row],[Location Name]], Locations[Location Name],Locations[Group As])</f>
        <v>Fell Mill Footbridge</v>
      </c>
      <c r="H461" t="e" vm="2">
        <f>_xlfn.XLOOKUP(AllDataCorrected[[#This Row],[Site Name]],LocationsKey[Site Name],LocationsKey[District])</f>
        <v>#VALUE!</v>
      </c>
      <c r="I461" t="e" vm="10">
        <f>_xlfn.XLOOKUP(AllDataCorrected[[#This Row],[Site Name]],LocationsKey[Site Name],LocationsKey[Town])</f>
        <v>#VALUE!</v>
      </c>
      <c r="J461" t="str">
        <f>_xlfn.XLOOKUP(AllDataCorrected[[#This Row],[Site Name]],LocationsKey[Site Name], LocationsKey[Waterway])</f>
        <v>Stour</v>
      </c>
      <c r="K461" t="s">
        <v>496</v>
      </c>
      <c r="L461">
        <f>_xlfn.XLOOKUP(AllDataCorrected[[#This Row],[Site Name]],Tables!$B$12:$B$78, Tables!C$12:C$78)</f>
        <v>52.067966827586183</v>
      </c>
      <c r="M461">
        <f>_xlfn.XLOOKUP(AllDataCorrected[[#This Row],[Site Name]],Tables!$B$12:$B$78, Tables!D$12:D$78)</f>
        <v>-1.6118101379310343</v>
      </c>
      <c r="N461" t="s">
        <v>29</v>
      </c>
      <c r="O461">
        <v>560</v>
      </c>
      <c r="P461">
        <v>8.1</v>
      </c>
      <c r="Q461">
        <v>5</v>
      </c>
      <c r="R461" t="str">
        <f>IF(AllDataCorrected[[#This Row],[Nitrate (PPM)]]&gt;2, "4. Very high (&gt;2ppm)", IF(AllDataCorrected[[#This Row],[Nitrate (PPM)]]&gt;1, "3. High (1-2ppm)", IF(AllDataCorrected[[#This Row],[Nitrate (PPM)]]&gt;0.5, "2. Some evidence (0.5-1ppm)", IF(AllDataCorrected[[#This Row],[Nitrate (PPM)]]&gt;=0, "1. No evidence (&lt;0.5ppm)"))))</f>
        <v>4. Very high (&gt;2ppm)</v>
      </c>
      <c r="S461">
        <v>0.33</v>
      </c>
      <c r="T4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1">
        <v>1.5</v>
      </c>
    </row>
    <row r="462" spans="1:22" x14ac:dyDescent="0.25">
      <c r="A462" t="s">
        <v>715</v>
      </c>
      <c r="B462" s="2">
        <v>45347</v>
      </c>
      <c r="C462" t="str" cm="1">
        <f t="array" ref="C4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2">
        <v>2023</v>
      </c>
      <c r="E462" s="1">
        <v>0.70763888888888893</v>
      </c>
      <c r="F4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2" t="str">
        <f>_xlfn.XLOOKUP(AllDataCorrected[[#This Row],[Location Name]], Locations[Location Name],Locations[Group As])</f>
        <v>Abbey Mill</v>
      </c>
      <c r="H462" t="e" vm="1">
        <f>_xlfn.XLOOKUP(AllDataCorrected[[#This Row],[Site Name]],LocationsKey[Site Name],LocationsKey[District])</f>
        <v>#VALUE!</v>
      </c>
      <c r="I462" t="e" vm="1">
        <f>_xlfn.XLOOKUP(AllDataCorrected[[#This Row],[Site Name]],LocationsKey[Site Name],LocationsKey[Town])</f>
        <v>#VALUE!</v>
      </c>
      <c r="J462" t="str">
        <f>_xlfn.XLOOKUP(AllDataCorrected[[#This Row],[Site Name]],LocationsKey[Site Name], LocationsKey[Waterway])</f>
        <v>Avon</v>
      </c>
      <c r="K462" t="s">
        <v>25</v>
      </c>
      <c r="L462">
        <f>_xlfn.XLOOKUP(AllDataCorrected[[#This Row],[Site Name]],Tables!$B$12:$B$78, Tables!C$12:C$78)</f>
        <v>51.991389555555564</v>
      </c>
      <c r="M462">
        <f>_xlfn.XLOOKUP(AllDataCorrected[[#This Row],[Site Name]],Tables!$B$12:$B$78, Tables!D$12:D$78)</f>
        <v>-2.1620794000000005</v>
      </c>
      <c r="N462" t="s">
        <v>23</v>
      </c>
      <c r="O462">
        <v>511</v>
      </c>
      <c r="P462">
        <v>7.2</v>
      </c>
      <c r="Q462">
        <v>5</v>
      </c>
      <c r="R462" t="str">
        <f>IF(AllDataCorrected[[#This Row],[Nitrate (PPM)]]&gt;2, "4. Very high (&gt;2ppm)", IF(AllDataCorrected[[#This Row],[Nitrate (PPM)]]&gt;1, "3. High (1-2ppm)", IF(AllDataCorrected[[#This Row],[Nitrate (PPM)]]&gt;0.5, "2. Some evidence (0.5-1ppm)", IF(AllDataCorrected[[#This Row],[Nitrate (PPM)]]&gt;=0, "1. No evidence (&lt;0.5ppm)"))))</f>
        <v>4. Very high (&gt;2ppm)</v>
      </c>
      <c r="S462">
        <v>0.51</v>
      </c>
      <c r="T4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2">
        <v>2.4</v>
      </c>
      <c r="V462" t="s">
        <v>716</v>
      </c>
    </row>
    <row r="463" spans="1:22" x14ac:dyDescent="0.25">
      <c r="A463" t="s">
        <v>717</v>
      </c>
      <c r="B463" s="2">
        <v>45347</v>
      </c>
      <c r="C463" t="str" cm="1">
        <f t="array" ref="C4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3">
        <v>2023</v>
      </c>
      <c r="E463" s="1">
        <v>0.70833333333333337</v>
      </c>
      <c r="F4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3" t="str">
        <f>_xlfn.XLOOKUP(AllDataCorrected[[#This Row],[Location Name]], Locations[Location Name],Locations[Group As])</f>
        <v>Sherbourne Brook 1</v>
      </c>
      <c r="H463" t="e" vm="2">
        <f>_xlfn.XLOOKUP(AllDataCorrected[[#This Row],[Site Name]],LocationsKey[Site Name],LocationsKey[District])</f>
        <v>#VALUE!</v>
      </c>
      <c r="I463" t="e" vm="16">
        <f>_xlfn.XLOOKUP(AllDataCorrected[[#This Row],[Site Name]],LocationsKey[Site Name],LocationsKey[Town])</f>
        <v>#VALUE!</v>
      </c>
      <c r="J463" t="str">
        <f>_xlfn.XLOOKUP(AllDataCorrected[[#This Row],[Site Name]],LocationsKey[Site Name], LocationsKey[Waterway])</f>
        <v>Sherbourne Brook</v>
      </c>
      <c r="K463" t="s">
        <v>570</v>
      </c>
      <c r="L463">
        <f>_xlfn.XLOOKUP(AllDataCorrected[[#This Row],[Site Name]],Tables!$B$12:$B$78, Tables!C$12:C$78)</f>
        <v>52.252500000000033</v>
      </c>
      <c r="M463">
        <f>_xlfn.XLOOKUP(AllDataCorrected[[#This Row],[Site Name]],Tables!$B$12:$B$78, Tables!D$12:D$78)</f>
        <v>-1.6685000000000012</v>
      </c>
      <c r="N463" t="s">
        <v>23</v>
      </c>
      <c r="O463">
        <v>911</v>
      </c>
      <c r="P463">
        <v>7.8</v>
      </c>
      <c r="Q463">
        <v>5</v>
      </c>
      <c r="R463" t="str">
        <f>IF(AllDataCorrected[[#This Row],[Nitrate (PPM)]]&gt;2, "4. Very high (&gt;2ppm)", IF(AllDataCorrected[[#This Row],[Nitrate (PPM)]]&gt;1, "3. High (1-2ppm)", IF(AllDataCorrected[[#This Row],[Nitrate (PPM)]]&gt;0.5, "2. Some evidence (0.5-1ppm)", IF(AllDataCorrected[[#This Row],[Nitrate (PPM)]]&gt;=0, "1. No evidence (&lt;0.5ppm)"))))</f>
        <v>4. Very high (&gt;2ppm)</v>
      </c>
      <c r="S463">
        <v>0.68</v>
      </c>
      <c r="T4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3">
        <v>0.5</v>
      </c>
    </row>
    <row r="464" spans="1:22" x14ac:dyDescent="0.25">
      <c r="A464" t="s">
        <v>718</v>
      </c>
      <c r="B464" s="2">
        <v>45347</v>
      </c>
      <c r="C464" t="str" cm="1">
        <f t="array" ref="C4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4">
        <v>2023</v>
      </c>
      <c r="E464" s="1">
        <v>0.71527777777777779</v>
      </c>
      <c r="F4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4" t="str">
        <f>_xlfn.XLOOKUP(AllDataCorrected[[#This Row],[Location Name]], Locations[Location Name],Locations[Group As])</f>
        <v>Bell Brook 1</v>
      </c>
      <c r="H464" t="e" vm="2">
        <f>_xlfn.XLOOKUP(AllDataCorrected[[#This Row],[Site Name]],LocationsKey[Site Name],LocationsKey[District])</f>
        <v>#VALUE!</v>
      </c>
      <c r="I464" t="e" vm="15">
        <f>_xlfn.XLOOKUP(AllDataCorrected[[#This Row],[Site Name]],LocationsKey[Site Name],LocationsKey[Town])</f>
        <v>#VALUE!</v>
      </c>
      <c r="J464" t="str">
        <f>_xlfn.XLOOKUP(AllDataCorrected[[#This Row],[Site Name]],LocationsKey[Site Name], LocationsKey[Waterway])</f>
        <v>Bell Brook</v>
      </c>
      <c r="K464" t="s">
        <v>534</v>
      </c>
      <c r="L464">
        <f>_xlfn.XLOOKUP(AllDataCorrected[[#This Row],[Site Name]],Tables!$B$12:$B$78, Tables!C$12:C$78)</f>
        <v>52.24489999999998</v>
      </c>
      <c r="M464">
        <f>_xlfn.XLOOKUP(AllDataCorrected[[#This Row],[Site Name]],Tables!$B$12:$B$78, Tables!D$12:D$78)</f>
        <v>-1.6617000000000013</v>
      </c>
      <c r="N464" t="s">
        <v>23</v>
      </c>
      <c r="O464">
        <v>595</v>
      </c>
      <c r="P464">
        <v>7.6</v>
      </c>
      <c r="Q464">
        <v>5</v>
      </c>
      <c r="R464" t="str">
        <f>IF(AllDataCorrected[[#This Row],[Nitrate (PPM)]]&gt;2, "4. Very high (&gt;2ppm)", IF(AllDataCorrected[[#This Row],[Nitrate (PPM)]]&gt;1, "3. High (1-2ppm)", IF(AllDataCorrected[[#This Row],[Nitrate (PPM)]]&gt;0.5, "2. Some evidence (0.5-1ppm)", IF(AllDataCorrected[[#This Row],[Nitrate (PPM)]]&gt;=0, "1. No evidence (&lt;0.5ppm)"))))</f>
        <v>4. Very high (&gt;2ppm)</v>
      </c>
      <c r="S464">
        <v>1.07</v>
      </c>
      <c r="T4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4">
        <v>0.5</v>
      </c>
    </row>
    <row r="465" spans="1:22" x14ac:dyDescent="0.25">
      <c r="A465" t="s">
        <v>719</v>
      </c>
      <c r="B465" s="2">
        <v>45347</v>
      </c>
      <c r="C465" t="str" cm="1">
        <f t="array" ref="C4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5">
        <v>2023</v>
      </c>
      <c r="E465" s="1">
        <v>0.78125</v>
      </c>
      <c r="F46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65" t="str">
        <f>_xlfn.XLOOKUP(AllDataCorrected[[#This Row],[Location Name]], Locations[Location Name],Locations[Group As])</f>
        <v>Stour Shipston Mill Bridge</v>
      </c>
      <c r="H465" t="e" vm="2">
        <f>_xlfn.XLOOKUP(AllDataCorrected[[#This Row],[Site Name]],LocationsKey[Site Name],LocationsKey[District])</f>
        <v>#VALUE!</v>
      </c>
      <c r="I465" t="e" vm="10">
        <f>_xlfn.XLOOKUP(AllDataCorrected[[#This Row],[Site Name]],LocationsKey[Site Name],LocationsKey[Town])</f>
        <v>#VALUE!</v>
      </c>
      <c r="J465" t="str">
        <f>_xlfn.XLOOKUP(AllDataCorrected[[#This Row],[Site Name]],LocationsKey[Site Name], LocationsKey[Waterway])</f>
        <v>Stour</v>
      </c>
      <c r="K465" t="s">
        <v>432</v>
      </c>
      <c r="L465">
        <f>_xlfn.XLOOKUP(AllDataCorrected[[#This Row],[Site Name]],Tables!$B$12:$B$78, Tables!C$12:C$78)</f>
        <v>52.06201572727273</v>
      </c>
      <c r="M465">
        <f>_xlfn.XLOOKUP(AllDataCorrected[[#This Row],[Site Name]],Tables!$B$12:$B$78, Tables!D$12:D$78)</f>
        <v>-1.6218167272727273</v>
      </c>
      <c r="N465" t="s">
        <v>23</v>
      </c>
      <c r="O465">
        <v>586</v>
      </c>
      <c r="P465">
        <v>7.7</v>
      </c>
      <c r="Q465">
        <v>2</v>
      </c>
      <c r="R465" t="str">
        <f>IF(AllDataCorrected[[#This Row],[Nitrate (PPM)]]&gt;2, "4. Very high (&gt;2ppm)", IF(AllDataCorrected[[#This Row],[Nitrate (PPM)]]&gt;1, "3. High (1-2ppm)", IF(AllDataCorrected[[#This Row],[Nitrate (PPM)]]&gt;0.5, "2. Some evidence (0.5-1ppm)", IF(AllDataCorrected[[#This Row],[Nitrate (PPM)]]&gt;=0, "1. No evidence (&lt;0.5ppm)"))))</f>
        <v>3. High (1-2ppm)</v>
      </c>
      <c r="S465">
        <v>0.24</v>
      </c>
      <c r="T4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5">
        <v>1.5</v>
      </c>
    </row>
    <row r="466" spans="1:22" x14ac:dyDescent="0.25">
      <c r="A466" t="s">
        <v>1745</v>
      </c>
      <c r="B466" s="2">
        <v>45347</v>
      </c>
      <c r="C466" t="str" cm="1">
        <f t="array" ref="C4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6">
        <v>2023</v>
      </c>
      <c r="F46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6" t="str">
        <f>_xlfn.XLOOKUP(AllDataCorrected[[#This Row],[Location Name]], Locations[Location Name],Locations[Group As])</f>
        <v>Site 1  :  Middle Street</v>
      </c>
      <c r="H466" t="e" vm="2">
        <f>_xlfn.XLOOKUP(AllDataCorrected[[#This Row],[Site Name]],LocationsKey[Site Name],LocationsKey[District])</f>
        <v>#VALUE!</v>
      </c>
      <c r="I466" t="e" vm="11">
        <f>_xlfn.XLOOKUP(AllDataCorrected[[#This Row],[Site Name]],LocationsKey[Site Name],LocationsKey[Town])</f>
        <v>#VALUE!</v>
      </c>
      <c r="J466" t="str">
        <f>_xlfn.XLOOKUP(AllDataCorrected[[#This Row],[Site Name]],LocationsKey[Site Name], LocationsKey[Waterway])</f>
        <v>Fosseway Brook</v>
      </c>
      <c r="K466" t="s">
        <v>1859</v>
      </c>
      <c r="L466">
        <f>_xlfn.XLOOKUP(AllDataCorrected[[#This Row],[Site Name]],Tables!$B$12:$B$78, Tables!C$12:C$78)</f>
        <v>52.090077380952394</v>
      </c>
      <c r="M466">
        <f>_xlfn.XLOOKUP(AllDataCorrected[[#This Row],[Site Name]],Tables!$B$12:$B$78, Tables!D$12:D$78)</f>
        <v>-1.6926051666666673</v>
      </c>
      <c r="N466" t="s">
        <v>66</v>
      </c>
      <c r="O466">
        <v>561</v>
      </c>
      <c r="P466">
        <v>8.4</v>
      </c>
      <c r="Q466">
        <v>5</v>
      </c>
      <c r="R466" t="str">
        <f>IF(AllDataCorrected[[#This Row],[Nitrate (PPM)]]&gt;2, "4. Very high (&gt;2ppm)", IF(AllDataCorrected[[#This Row],[Nitrate (PPM)]]&gt;1, "3. High (1-2ppm)", IF(AllDataCorrected[[#This Row],[Nitrate (PPM)]]&gt;0.5, "2. Some evidence (0.5-1ppm)", IF(AllDataCorrected[[#This Row],[Nitrate (PPM)]]&gt;=0, "1. No evidence (&lt;0.5ppm)"))))</f>
        <v>4. Very high (&gt;2ppm)</v>
      </c>
      <c r="S466">
        <v>0.37</v>
      </c>
      <c r="T4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6">
        <v>0</v>
      </c>
      <c r="V466" t="s">
        <v>1896</v>
      </c>
    </row>
    <row r="467" spans="1:22" x14ac:dyDescent="0.25">
      <c r="A467" t="s">
        <v>1459</v>
      </c>
      <c r="B467" s="2">
        <v>45347</v>
      </c>
      <c r="C467" t="str" cm="1">
        <f t="array" ref="C4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7">
        <v>2023</v>
      </c>
      <c r="F46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7" t="str">
        <f>_xlfn.XLOOKUP(AllDataCorrected[[#This Row],[Location Name]], Locations[Location Name],Locations[Group As])</f>
        <v>Site 1  :  Middle Street</v>
      </c>
      <c r="H467" t="e" vm="2">
        <f>_xlfn.XLOOKUP(AllDataCorrected[[#This Row],[Site Name]],LocationsKey[Site Name],LocationsKey[District])</f>
        <v>#VALUE!</v>
      </c>
      <c r="I467" t="e" vm="11">
        <f>_xlfn.XLOOKUP(AllDataCorrected[[#This Row],[Site Name]],LocationsKey[Site Name],LocationsKey[Town])</f>
        <v>#VALUE!</v>
      </c>
      <c r="J467" t="str">
        <f>_xlfn.XLOOKUP(AllDataCorrected[[#This Row],[Site Name]],LocationsKey[Site Name], LocationsKey[Waterway])</f>
        <v>Fosseway Brook</v>
      </c>
      <c r="K467" t="s">
        <v>1373</v>
      </c>
      <c r="L467">
        <f>_xlfn.XLOOKUP(AllDataCorrected[[#This Row],[Site Name]],Tables!$B$12:$B$78, Tables!C$12:C$78)</f>
        <v>52.090077380952394</v>
      </c>
      <c r="M467">
        <f>_xlfn.XLOOKUP(AllDataCorrected[[#This Row],[Site Name]],Tables!$B$12:$B$78, Tables!D$12:D$78)</f>
        <v>-1.6926051666666673</v>
      </c>
      <c r="N467" t="s">
        <v>66</v>
      </c>
      <c r="O467">
        <v>561</v>
      </c>
      <c r="P467">
        <v>8.4</v>
      </c>
      <c r="Q467">
        <v>5</v>
      </c>
      <c r="R467" t="str">
        <f>IF(AllDataCorrected[[#This Row],[Nitrate (PPM)]]&gt;2, "4. Very high (&gt;2ppm)", IF(AllDataCorrected[[#This Row],[Nitrate (PPM)]]&gt;1, "3. High (1-2ppm)", IF(AllDataCorrected[[#This Row],[Nitrate (PPM)]]&gt;0.5, "2. Some evidence (0.5-1ppm)", IF(AllDataCorrected[[#This Row],[Nitrate (PPM)]]&gt;=0, "1. No evidence (&lt;0.5ppm)"))))</f>
        <v>4. Very high (&gt;2ppm)</v>
      </c>
      <c r="S467">
        <v>0.37</v>
      </c>
      <c r="T4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67" t="s">
        <v>1460</v>
      </c>
    </row>
    <row r="468" spans="1:22" x14ac:dyDescent="0.25">
      <c r="A468" t="s">
        <v>1750</v>
      </c>
      <c r="B468" s="2">
        <v>45347</v>
      </c>
      <c r="C468" t="str" cm="1">
        <f t="array" ref="C4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8">
        <v>2023</v>
      </c>
      <c r="F46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8" t="str">
        <f>_xlfn.XLOOKUP(AllDataCorrected[[#This Row],[Location Name]], Locations[Location Name],Locations[Group As])</f>
        <v>Site 2  :  Cross Leys culvert</v>
      </c>
      <c r="H468" t="e" vm="2">
        <f>_xlfn.XLOOKUP(AllDataCorrected[[#This Row],[Site Name]],LocationsKey[Site Name],LocationsKey[District])</f>
        <v>#VALUE!</v>
      </c>
      <c r="I468" t="e" vm="11">
        <f>_xlfn.XLOOKUP(AllDataCorrected[[#This Row],[Site Name]],LocationsKey[Site Name],LocationsKey[Town])</f>
        <v>#VALUE!</v>
      </c>
      <c r="J468" t="str">
        <f>_xlfn.XLOOKUP(AllDataCorrected[[#This Row],[Site Name]],LocationsKey[Site Name], LocationsKey[Waterway])</f>
        <v>Fosseway Brook</v>
      </c>
      <c r="K468" t="s">
        <v>1860</v>
      </c>
      <c r="L468">
        <f>_xlfn.XLOOKUP(AllDataCorrected[[#This Row],[Site Name]],Tables!$B$12:$B$78, Tables!C$12:C$78)</f>
        <v>52.092990199999988</v>
      </c>
      <c r="M468">
        <f>_xlfn.XLOOKUP(AllDataCorrected[[#This Row],[Site Name]],Tables!$B$12:$B$78, Tables!D$12:D$78)</f>
        <v>-1.6862810999999998</v>
      </c>
      <c r="N468" t="s">
        <v>66</v>
      </c>
      <c r="O468">
        <v>625</v>
      </c>
      <c r="P468">
        <v>7.8</v>
      </c>
      <c r="Q468">
        <v>2</v>
      </c>
      <c r="R468" t="str">
        <f>IF(AllDataCorrected[[#This Row],[Nitrate (PPM)]]&gt;2, "4. Very high (&gt;2ppm)", IF(AllDataCorrected[[#This Row],[Nitrate (PPM)]]&gt;1, "3. High (1-2ppm)", IF(AllDataCorrected[[#This Row],[Nitrate (PPM)]]&gt;0.5, "2. Some evidence (0.5-1ppm)", IF(AllDataCorrected[[#This Row],[Nitrate (PPM)]]&gt;=0, "1. No evidence (&lt;0.5ppm)"))))</f>
        <v>3. High (1-2ppm)</v>
      </c>
      <c r="S468">
        <v>0.52</v>
      </c>
      <c r="T4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8">
        <v>0</v>
      </c>
      <c r="V468" t="s">
        <v>1898</v>
      </c>
    </row>
    <row r="469" spans="1:22" x14ac:dyDescent="0.25">
      <c r="A469" t="s">
        <v>1452</v>
      </c>
      <c r="B469" s="2">
        <v>45347</v>
      </c>
      <c r="C469" t="str" cm="1">
        <f t="array" ref="C4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9">
        <v>2023</v>
      </c>
      <c r="F46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9" t="str">
        <f>_xlfn.XLOOKUP(AllDataCorrected[[#This Row],[Location Name]], Locations[Location Name],Locations[Group As])</f>
        <v>Site 2  :  Cross Leys culvert</v>
      </c>
      <c r="H469" t="e" vm="2">
        <f>_xlfn.XLOOKUP(AllDataCorrected[[#This Row],[Site Name]],LocationsKey[Site Name],LocationsKey[District])</f>
        <v>#VALUE!</v>
      </c>
      <c r="I469" t="e" vm="11">
        <f>_xlfn.XLOOKUP(AllDataCorrected[[#This Row],[Site Name]],LocationsKey[Site Name],LocationsKey[Town])</f>
        <v>#VALUE!</v>
      </c>
      <c r="J469" t="str">
        <f>_xlfn.XLOOKUP(AllDataCorrected[[#This Row],[Site Name]],LocationsKey[Site Name], LocationsKey[Waterway])</f>
        <v>Fosseway Brook</v>
      </c>
      <c r="K469" t="s">
        <v>1371</v>
      </c>
      <c r="L469">
        <f>_xlfn.XLOOKUP(AllDataCorrected[[#This Row],[Site Name]],Tables!$B$12:$B$78, Tables!C$12:C$78)</f>
        <v>52.092990199999988</v>
      </c>
      <c r="M469">
        <f>_xlfn.XLOOKUP(AllDataCorrected[[#This Row],[Site Name]],Tables!$B$12:$B$78, Tables!D$12:D$78)</f>
        <v>-1.6862810999999998</v>
      </c>
      <c r="N469" t="s">
        <v>66</v>
      </c>
      <c r="O469">
        <v>625</v>
      </c>
      <c r="P469">
        <v>7.8</v>
      </c>
      <c r="Q469">
        <v>2</v>
      </c>
      <c r="R469" t="str">
        <f>IF(AllDataCorrected[[#This Row],[Nitrate (PPM)]]&gt;2, "4. Very high (&gt;2ppm)", IF(AllDataCorrected[[#This Row],[Nitrate (PPM)]]&gt;1, "3. High (1-2ppm)", IF(AllDataCorrected[[#This Row],[Nitrate (PPM)]]&gt;0.5, "2. Some evidence (0.5-1ppm)", IF(AllDataCorrected[[#This Row],[Nitrate (PPM)]]&gt;=0, "1. No evidence (&lt;0.5ppm)"))))</f>
        <v>3. High (1-2ppm)</v>
      </c>
      <c r="S469">
        <v>0.52</v>
      </c>
      <c r="T4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69" t="s">
        <v>1369</v>
      </c>
    </row>
    <row r="470" spans="1:22" x14ac:dyDescent="0.25">
      <c r="A470" t="s">
        <v>1755</v>
      </c>
      <c r="B470" s="2">
        <v>45347</v>
      </c>
      <c r="C470" t="str" cm="1">
        <f t="array" ref="C4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0">
        <v>2023</v>
      </c>
      <c r="F47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70" t="str">
        <f>_xlfn.XLOOKUP(AllDataCorrected[[#This Row],[Location Name]], Locations[Location Name],Locations[Group As])</f>
        <v>Site 3  :  Severn Trent Water processing plant outflow</v>
      </c>
      <c r="H470" t="e" vm="2">
        <f>_xlfn.XLOOKUP(AllDataCorrected[[#This Row],[Site Name]],LocationsKey[Site Name],LocationsKey[District])</f>
        <v>#VALUE!</v>
      </c>
      <c r="I470" t="e" vm="11">
        <f>_xlfn.XLOOKUP(AllDataCorrected[[#This Row],[Site Name]],LocationsKey[Site Name],LocationsKey[Town])</f>
        <v>#VALUE!</v>
      </c>
      <c r="J470" t="str">
        <f>_xlfn.XLOOKUP(AllDataCorrected[[#This Row],[Site Name]],LocationsKey[Site Name], LocationsKey[Waterway])</f>
        <v>Fosseway Brook</v>
      </c>
      <c r="K470" t="s">
        <v>1861</v>
      </c>
      <c r="L470">
        <f>_xlfn.XLOOKUP(AllDataCorrected[[#This Row],[Site Name]],Tables!$B$12:$B$78, Tables!C$12:C$78)</f>
        <v>52.094341024390218</v>
      </c>
      <c r="M470">
        <f>_xlfn.XLOOKUP(AllDataCorrected[[#This Row],[Site Name]],Tables!$B$12:$B$78, Tables!D$12:D$78)</f>
        <v>-1.6731015853658531</v>
      </c>
      <c r="N470" t="s">
        <v>29</v>
      </c>
      <c r="O470">
        <v>775</v>
      </c>
      <c r="P470">
        <v>8.5</v>
      </c>
      <c r="Q470">
        <v>5</v>
      </c>
      <c r="R470" t="str">
        <f>IF(AllDataCorrected[[#This Row],[Nitrate (PPM)]]&gt;2, "4. Very high (&gt;2ppm)", IF(AllDataCorrected[[#This Row],[Nitrate (PPM)]]&gt;1, "3. High (1-2ppm)", IF(AllDataCorrected[[#This Row],[Nitrate (PPM)]]&gt;0.5, "2. Some evidence (0.5-1ppm)", IF(AllDataCorrected[[#This Row],[Nitrate (PPM)]]&gt;=0, "1. No evidence (&lt;0.5ppm)"))))</f>
        <v>4. Very high (&gt;2ppm)</v>
      </c>
      <c r="S470">
        <v>2.5</v>
      </c>
      <c r="T4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0">
        <v>0</v>
      </c>
      <c r="V470" t="s">
        <v>1901</v>
      </c>
    </row>
    <row r="471" spans="1:22" x14ac:dyDescent="0.25">
      <c r="A471" t="s">
        <v>1446</v>
      </c>
      <c r="B471" s="2">
        <v>45347</v>
      </c>
      <c r="C471" t="str" cm="1">
        <f t="array" ref="C4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1">
        <v>2023</v>
      </c>
      <c r="F47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71" t="str">
        <f>_xlfn.XLOOKUP(AllDataCorrected[[#This Row],[Location Name]], Locations[Location Name],Locations[Group As])</f>
        <v>Site 3  :  Severn Trent Water processing plant outflow</v>
      </c>
      <c r="H471" t="e" vm="2">
        <f>_xlfn.XLOOKUP(AllDataCorrected[[#This Row],[Site Name]],LocationsKey[Site Name],LocationsKey[District])</f>
        <v>#VALUE!</v>
      </c>
      <c r="I471" t="e" vm="11">
        <f>_xlfn.XLOOKUP(AllDataCorrected[[#This Row],[Site Name]],LocationsKey[Site Name],LocationsKey[Town])</f>
        <v>#VALUE!</v>
      </c>
      <c r="J471" t="str">
        <f>_xlfn.XLOOKUP(AllDataCorrected[[#This Row],[Site Name]],LocationsKey[Site Name], LocationsKey[Waterway])</f>
        <v>Fosseway Brook</v>
      </c>
      <c r="K471" t="s">
        <v>1368</v>
      </c>
      <c r="L471">
        <f>_xlfn.XLOOKUP(AllDataCorrected[[#This Row],[Site Name]],Tables!$B$12:$B$78, Tables!C$12:C$78)</f>
        <v>52.094341024390218</v>
      </c>
      <c r="M471">
        <f>_xlfn.XLOOKUP(AllDataCorrected[[#This Row],[Site Name]],Tables!$B$12:$B$78, Tables!D$12:D$78)</f>
        <v>-1.6731015853658531</v>
      </c>
      <c r="N471" t="s">
        <v>29</v>
      </c>
      <c r="O471">
        <v>775</v>
      </c>
      <c r="P471">
        <v>8.5</v>
      </c>
      <c r="Q471">
        <v>5</v>
      </c>
      <c r="R471" t="str">
        <f>IF(AllDataCorrected[[#This Row],[Nitrate (PPM)]]&gt;2, "4. Very high (&gt;2ppm)", IF(AllDataCorrected[[#This Row],[Nitrate (PPM)]]&gt;1, "3. High (1-2ppm)", IF(AllDataCorrected[[#This Row],[Nitrate (PPM)]]&gt;0.5, "2. Some evidence (0.5-1ppm)", IF(AllDataCorrected[[#This Row],[Nitrate (PPM)]]&gt;=0, "1. No evidence (&lt;0.5ppm)"))))</f>
        <v>4. Very high (&gt;2ppm)</v>
      </c>
      <c r="S471">
        <v>2.5</v>
      </c>
      <c r="T4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71" t="s">
        <v>1369</v>
      </c>
    </row>
    <row r="472" spans="1:22" x14ac:dyDescent="0.25">
      <c r="A472" t="s">
        <v>720</v>
      </c>
      <c r="B472" s="2">
        <v>45348</v>
      </c>
      <c r="C472" t="str" cm="1">
        <f t="array" ref="C4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2">
        <v>2023</v>
      </c>
      <c r="E472" s="1">
        <v>0.36458333333333331</v>
      </c>
      <c r="F4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2" t="str">
        <f>_xlfn.XLOOKUP(AllDataCorrected[[#This Row],[Location Name]], Locations[Location Name],Locations[Group As])</f>
        <v>Stour Stretton-on-Fosse Village</v>
      </c>
      <c r="H472" t="e" vm="2">
        <f>_xlfn.XLOOKUP(AllDataCorrected[[#This Row],[Site Name]],LocationsKey[Site Name],LocationsKey[District])</f>
        <v>#VALUE!</v>
      </c>
      <c r="I472" t="e" vm="14">
        <f>_xlfn.XLOOKUP(AllDataCorrected[[#This Row],[Site Name]],LocationsKey[Site Name],LocationsKey[Town])</f>
        <v>#VALUE!</v>
      </c>
      <c r="J472" t="str">
        <f>_xlfn.XLOOKUP(AllDataCorrected[[#This Row],[Site Name]],LocationsKey[Site Name], LocationsKey[Waterway])</f>
        <v>Stour</v>
      </c>
      <c r="K472" t="s">
        <v>544</v>
      </c>
      <c r="L472">
        <f>_xlfn.XLOOKUP(AllDataCorrected[[#This Row],[Site Name]],Tables!$B$12:$B$78, Tables!C$12:C$78)</f>
        <v>52.046517558823524</v>
      </c>
      <c r="M472">
        <f>_xlfn.XLOOKUP(AllDataCorrected[[#This Row],[Site Name]],Tables!$B$12:$B$78, Tables!D$12:D$78)</f>
        <v>-1.6734143529411767</v>
      </c>
      <c r="N472" t="s">
        <v>66</v>
      </c>
      <c r="O472">
        <v>564</v>
      </c>
      <c r="P472">
        <v>6</v>
      </c>
      <c r="Q472">
        <v>2</v>
      </c>
      <c r="R472" t="str">
        <f>IF(AllDataCorrected[[#This Row],[Nitrate (PPM)]]&gt;2, "4. Very high (&gt;2ppm)", IF(AllDataCorrected[[#This Row],[Nitrate (PPM)]]&gt;1, "3. High (1-2ppm)", IF(AllDataCorrected[[#This Row],[Nitrate (PPM)]]&gt;0.5, "2. Some evidence (0.5-1ppm)", IF(AllDataCorrected[[#This Row],[Nitrate (PPM)]]&gt;=0, "1. No evidence (&lt;0.5ppm)"))))</f>
        <v>3. High (1-2ppm)</v>
      </c>
      <c r="S472">
        <v>1.0900000000000001</v>
      </c>
      <c r="T4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2">
        <v>0.15</v>
      </c>
    </row>
    <row r="473" spans="1:22" x14ac:dyDescent="0.25">
      <c r="A473" t="s">
        <v>721</v>
      </c>
      <c r="B473" s="2">
        <v>45348</v>
      </c>
      <c r="C473" t="str" cm="1">
        <f t="array" ref="C4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3">
        <v>2023</v>
      </c>
      <c r="E473" s="1">
        <v>0.39166666666666666</v>
      </c>
      <c r="F4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3" t="str">
        <f>_xlfn.XLOOKUP(AllDataCorrected[[#This Row],[Location Name]], Locations[Location Name],Locations[Group As])</f>
        <v>Stour Stretton-on-Fosse Sewage Works</v>
      </c>
      <c r="H473" t="e" vm="2">
        <f>_xlfn.XLOOKUP(AllDataCorrected[[#This Row],[Site Name]],LocationsKey[Site Name],LocationsKey[District])</f>
        <v>#VALUE!</v>
      </c>
      <c r="I473" t="e" vm="14">
        <f>_xlfn.XLOOKUP(AllDataCorrected[[#This Row],[Site Name]],LocationsKey[Site Name],LocationsKey[Town])</f>
        <v>#VALUE!</v>
      </c>
      <c r="J473" t="str">
        <f>_xlfn.XLOOKUP(AllDataCorrected[[#This Row],[Site Name]],LocationsKey[Site Name], LocationsKey[Waterway])</f>
        <v>Stour</v>
      </c>
      <c r="K473" t="s">
        <v>335</v>
      </c>
      <c r="L473">
        <f>_xlfn.XLOOKUP(AllDataCorrected[[#This Row],[Site Name]],Tables!$B$12:$B$78, Tables!C$12:C$78)</f>
        <v>52.045653647058806</v>
      </c>
      <c r="M473">
        <f>_xlfn.XLOOKUP(AllDataCorrected[[#This Row],[Site Name]],Tables!$B$12:$B$78, Tables!D$12:D$78)</f>
        <v>-1.6719221470588235</v>
      </c>
      <c r="N473" t="s">
        <v>29</v>
      </c>
      <c r="O473">
        <v>628</v>
      </c>
      <c r="P473">
        <v>6.5</v>
      </c>
      <c r="Q473">
        <v>3.5</v>
      </c>
      <c r="R473" t="str">
        <f>IF(AllDataCorrected[[#This Row],[Nitrate (PPM)]]&gt;2, "4. Very high (&gt;2ppm)", IF(AllDataCorrected[[#This Row],[Nitrate (PPM)]]&gt;1, "3. High (1-2ppm)", IF(AllDataCorrected[[#This Row],[Nitrate (PPM)]]&gt;0.5, "2. Some evidence (0.5-1ppm)", IF(AllDataCorrected[[#This Row],[Nitrate (PPM)]]&gt;=0, "1. No evidence (&lt;0.5ppm)"))))</f>
        <v>4. Very high (&gt;2ppm)</v>
      </c>
      <c r="S473">
        <v>2.04</v>
      </c>
      <c r="T4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3">
        <v>0.25</v>
      </c>
    </row>
    <row r="474" spans="1:22" x14ac:dyDescent="0.25">
      <c r="A474" t="s">
        <v>722</v>
      </c>
      <c r="B474" s="2">
        <v>45348</v>
      </c>
      <c r="C474" t="str" cm="1">
        <f t="array" ref="C4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4">
        <v>2023</v>
      </c>
      <c r="E474" s="1">
        <v>0.69791666666666663</v>
      </c>
      <c r="F4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4" t="str">
        <f>_xlfn.XLOOKUP(AllDataCorrected[[#This Row],[Location Name]], Locations[Location Name],Locations[Group As])</f>
        <v>Clifford Chambers Mill Bridge</v>
      </c>
      <c r="H474" t="e" vm="2">
        <f>_xlfn.XLOOKUP(AllDataCorrected[[#This Row],[Site Name]],LocationsKey[Site Name],LocationsKey[District])</f>
        <v>#VALUE!</v>
      </c>
      <c r="I474" t="e" vm="12">
        <f>_xlfn.XLOOKUP(AllDataCorrected[[#This Row],[Site Name]],LocationsKey[Site Name],LocationsKey[Town])</f>
        <v>#VALUE!</v>
      </c>
      <c r="J474" t="str">
        <f>_xlfn.XLOOKUP(AllDataCorrected[[#This Row],[Site Name]],LocationsKey[Site Name], LocationsKey[Waterway])</f>
        <v>Stour</v>
      </c>
      <c r="K474" t="s">
        <v>723</v>
      </c>
      <c r="L474">
        <f>_xlfn.XLOOKUP(AllDataCorrected[[#This Row],[Site Name]],Tables!$B$12:$B$78, Tables!C$12:C$78)</f>
        <v>52.166358517241363</v>
      </c>
      <c r="M474">
        <f>_xlfn.XLOOKUP(AllDataCorrected[[#This Row],[Site Name]],Tables!$B$12:$B$78, Tables!D$12:D$78)</f>
        <v>-1.7080419310344837</v>
      </c>
      <c r="N474" t="s">
        <v>66</v>
      </c>
      <c r="O474">
        <v>615</v>
      </c>
      <c r="P474">
        <v>8.6999999999999993</v>
      </c>
      <c r="Q474">
        <v>5</v>
      </c>
      <c r="R474" t="str">
        <f>IF(AllDataCorrected[[#This Row],[Nitrate (PPM)]]&gt;2, "4. Very high (&gt;2ppm)", IF(AllDataCorrected[[#This Row],[Nitrate (PPM)]]&gt;1, "3. High (1-2ppm)", IF(AllDataCorrected[[#This Row],[Nitrate (PPM)]]&gt;0.5, "2. Some evidence (0.5-1ppm)", IF(AllDataCorrected[[#This Row],[Nitrate (PPM)]]&gt;=0, "1. No evidence (&lt;0.5ppm)"))))</f>
        <v>4. Very high (&gt;2ppm)</v>
      </c>
      <c r="S474">
        <v>0.21</v>
      </c>
      <c r="T4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4">
        <v>1.25</v>
      </c>
      <c r="V474" t="s">
        <v>724</v>
      </c>
    </row>
    <row r="475" spans="1:22" x14ac:dyDescent="0.25">
      <c r="A475" t="s">
        <v>725</v>
      </c>
      <c r="B475" s="2">
        <v>45350</v>
      </c>
      <c r="C475" t="str" cm="1">
        <f t="array" ref="C4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5">
        <v>2023</v>
      </c>
      <c r="E475" s="1">
        <v>0.6</v>
      </c>
      <c r="F4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5" t="str">
        <f>_xlfn.XLOOKUP(AllDataCorrected[[#This Row],[Location Name]], Locations[Location Name],Locations[Group As])</f>
        <v>Alveston Weir</v>
      </c>
      <c r="H475" t="e" vm="2">
        <f>_xlfn.XLOOKUP(AllDataCorrected[[#This Row],[Site Name]],LocationsKey[Site Name],LocationsKey[District])</f>
        <v>#VALUE!</v>
      </c>
      <c r="I475" t="e" vm="13">
        <f>_xlfn.XLOOKUP(AllDataCorrected[[#This Row],[Site Name]],LocationsKey[Site Name],LocationsKey[Town])</f>
        <v>#VALUE!</v>
      </c>
      <c r="J475" t="str">
        <f>_xlfn.XLOOKUP(AllDataCorrected[[#This Row],[Site Name]],LocationsKey[Site Name], LocationsKey[Waterway])</f>
        <v>Avon</v>
      </c>
      <c r="K475" t="s">
        <v>286</v>
      </c>
      <c r="L475">
        <f>_xlfn.XLOOKUP(AllDataCorrected[[#This Row],[Site Name]],Tables!$B$12:$B$78, Tables!C$12:C$78)</f>
        <v>52.212366690476216</v>
      </c>
      <c r="M475">
        <f>_xlfn.XLOOKUP(AllDataCorrected[[#This Row],[Site Name]],Tables!$B$12:$B$78, Tables!D$12:D$78)</f>
        <v>-1.6602567619047619</v>
      </c>
      <c r="N475" t="s">
        <v>29</v>
      </c>
      <c r="O475">
        <v>616</v>
      </c>
      <c r="P475">
        <v>9.1999999999999993</v>
      </c>
      <c r="Q475">
        <v>2</v>
      </c>
      <c r="R475" t="str">
        <f>IF(AllDataCorrected[[#This Row],[Nitrate (PPM)]]&gt;2, "4. Very high (&gt;2ppm)", IF(AllDataCorrected[[#This Row],[Nitrate (PPM)]]&gt;1, "3. High (1-2ppm)", IF(AllDataCorrected[[#This Row],[Nitrate (PPM)]]&gt;0.5, "2. Some evidence (0.5-1ppm)", IF(AllDataCorrected[[#This Row],[Nitrate (PPM)]]&gt;=0, "1. No evidence (&lt;0.5ppm)"))))</f>
        <v>3. High (1-2ppm)</v>
      </c>
      <c r="S475">
        <v>0.4</v>
      </c>
      <c r="T4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5">
        <v>0</v>
      </c>
      <c r="V475" t="s">
        <v>726</v>
      </c>
    </row>
    <row r="476" spans="1:22" x14ac:dyDescent="0.25">
      <c r="A476" t="s">
        <v>727</v>
      </c>
      <c r="B476" s="2">
        <v>45350</v>
      </c>
      <c r="C476" t="str" cm="1">
        <f t="array" ref="C4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6">
        <v>2023</v>
      </c>
      <c r="E476" s="1">
        <v>0.60972222222222228</v>
      </c>
      <c r="F4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6" t="str">
        <f>_xlfn.XLOOKUP(AllDataCorrected[[#This Row],[Location Name]], Locations[Location Name],Locations[Group As])</f>
        <v>Swiffen Bank</v>
      </c>
      <c r="H476" t="e" vm="2">
        <f>_xlfn.XLOOKUP(AllDataCorrected[[#This Row],[Site Name]],LocationsKey[Site Name],LocationsKey[District])</f>
        <v>#VALUE!</v>
      </c>
      <c r="I476" t="e" vm="13">
        <f>_xlfn.XLOOKUP(AllDataCorrected[[#This Row],[Site Name]],LocationsKey[Site Name],LocationsKey[Town])</f>
        <v>#VALUE!</v>
      </c>
      <c r="J476" t="str">
        <f>_xlfn.XLOOKUP(AllDataCorrected[[#This Row],[Site Name]],LocationsKey[Site Name], LocationsKey[Waterway])</f>
        <v>Avon</v>
      </c>
      <c r="K476" t="s">
        <v>284</v>
      </c>
      <c r="L476">
        <f>_xlfn.XLOOKUP(AllDataCorrected[[#This Row],[Site Name]],Tables!$B$12:$B$78, Tables!C$12:C$78)</f>
        <v>52.206446825000015</v>
      </c>
      <c r="M476">
        <f>_xlfn.XLOOKUP(AllDataCorrected[[#This Row],[Site Name]],Tables!$B$12:$B$78, Tables!D$12:D$78)</f>
        <v>-1.6541684000000003</v>
      </c>
      <c r="N476" t="s">
        <v>29</v>
      </c>
      <c r="O476">
        <v>613</v>
      </c>
      <c r="P476">
        <v>10.4</v>
      </c>
      <c r="Q476">
        <v>5</v>
      </c>
      <c r="R476" t="str">
        <f>IF(AllDataCorrected[[#This Row],[Nitrate (PPM)]]&gt;2, "4. Very high (&gt;2ppm)", IF(AllDataCorrected[[#This Row],[Nitrate (PPM)]]&gt;1, "3. High (1-2ppm)", IF(AllDataCorrected[[#This Row],[Nitrate (PPM)]]&gt;0.5, "2. Some evidence (0.5-1ppm)", IF(AllDataCorrected[[#This Row],[Nitrate (PPM)]]&gt;=0, "1. No evidence (&lt;0.5ppm)"))))</f>
        <v>4. Very high (&gt;2ppm)</v>
      </c>
      <c r="S476">
        <v>0.44</v>
      </c>
      <c r="T4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6">
        <v>0.5</v>
      </c>
    </row>
    <row r="477" spans="1:22" x14ac:dyDescent="0.25">
      <c r="A477" t="s">
        <v>728</v>
      </c>
      <c r="B477" s="2">
        <v>45350</v>
      </c>
      <c r="C477" t="str" cm="1">
        <f t="array" ref="C4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7">
        <v>2023</v>
      </c>
      <c r="E477" s="1">
        <v>0.70833333333333337</v>
      </c>
      <c r="F4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7" t="str">
        <f>_xlfn.XLOOKUP(AllDataCorrected[[#This Row],[Location Name]], Locations[Location Name],Locations[Group As])</f>
        <v>Stour Newbold Mill</v>
      </c>
      <c r="H477" t="e" vm="2">
        <f>_xlfn.XLOOKUP(AllDataCorrected[[#This Row],[Site Name]],LocationsKey[Site Name],LocationsKey[District])</f>
        <v>#VALUE!</v>
      </c>
      <c r="I477" t="e" vm="8">
        <f>_xlfn.XLOOKUP(AllDataCorrected[[#This Row],[Site Name]],LocationsKey[Site Name],LocationsKey[Town])</f>
        <v>#VALUE!</v>
      </c>
      <c r="J477" t="str">
        <f>_xlfn.XLOOKUP(AllDataCorrected[[#This Row],[Site Name]],LocationsKey[Site Name], LocationsKey[Waterway])</f>
        <v>Stour</v>
      </c>
      <c r="K477" t="s">
        <v>140</v>
      </c>
      <c r="L477">
        <f>_xlfn.XLOOKUP(AllDataCorrected[[#This Row],[Site Name]],Tables!$B$12:$B$78, Tables!C$12:C$78)</f>
        <v>52.113052370370362</v>
      </c>
      <c r="M477">
        <f>_xlfn.XLOOKUP(AllDataCorrected[[#This Row],[Site Name]],Tables!$B$12:$B$78, Tables!D$12:D$78)</f>
        <v>-1.6333685185185185</v>
      </c>
      <c r="N477" t="s">
        <v>29</v>
      </c>
      <c r="O477">
        <v>643</v>
      </c>
      <c r="P477">
        <v>13</v>
      </c>
      <c r="Q477">
        <v>5</v>
      </c>
      <c r="R477" t="str">
        <f>IF(AllDataCorrected[[#This Row],[Nitrate (PPM)]]&gt;2, "4. Very high (&gt;2ppm)", IF(AllDataCorrected[[#This Row],[Nitrate (PPM)]]&gt;1, "3. High (1-2ppm)", IF(AllDataCorrected[[#This Row],[Nitrate (PPM)]]&gt;0.5, "2. Some evidence (0.5-1ppm)", IF(AllDataCorrected[[#This Row],[Nitrate (PPM)]]&gt;=0, "1. No evidence (&lt;0.5ppm)"))))</f>
        <v>4. Very high (&gt;2ppm)</v>
      </c>
      <c r="S477">
        <v>0.36</v>
      </c>
      <c r="T4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7">
        <v>2.5</v>
      </c>
      <c r="V477" t="s">
        <v>729</v>
      </c>
    </row>
    <row r="478" spans="1:22" x14ac:dyDescent="0.25">
      <c r="A478" t="s">
        <v>730</v>
      </c>
      <c r="B478" s="2">
        <v>45351</v>
      </c>
      <c r="C478" t="str" cm="1">
        <f t="array" ref="C4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8">
        <v>2023</v>
      </c>
      <c r="E478" s="1">
        <v>0.4375</v>
      </c>
      <c r="F4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8" t="str">
        <f>_xlfn.XLOOKUP(AllDataCorrected[[#This Row],[Location Name]], Locations[Location Name],Locations[Group As])</f>
        <v>Swilgate</v>
      </c>
      <c r="H478" t="e" vm="1">
        <f>_xlfn.XLOOKUP(AllDataCorrected[[#This Row],[Site Name]],LocationsKey[Site Name],LocationsKey[District])</f>
        <v>#VALUE!</v>
      </c>
      <c r="I478" t="e" vm="1">
        <f>_xlfn.XLOOKUP(AllDataCorrected[[#This Row],[Site Name]],LocationsKey[Site Name],LocationsKey[Town])</f>
        <v>#VALUE!</v>
      </c>
      <c r="J478" t="str">
        <f>_xlfn.XLOOKUP(AllDataCorrected[[#This Row],[Site Name]],LocationsKey[Site Name], LocationsKey[Waterway])</f>
        <v>Swilgate</v>
      </c>
      <c r="K478" t="s">
        <v>84</v>
      </c>
      <c r="L478">
        <f>_xlfn.XLOOKUP(AllDataCorrected[[#This Row],[Site Name]],Tables!$B$12:$B$78, Tables!C$12:C$78)</f>
        <v>51.9885442</v>
      </c>
      <c r="M478">
        <f>_xlfn.XLOOKUP(AllDataCorrected[[#This Row],[Site Name]],Tables!$B$12:$B$78, Tables!D$12:D$78)</f>
        <v>-2.1639010000000001</v>
      </c>
      <c r="N478" t="s">
        <v>23</v>
      </c>
      <c r="O478">
        <v>709</v>
      </c>
      <c r="P478">
        <v>10.1</v>
      </c>
      <c r="Q478">
        <v>3</v>
      </c>
      <c r="R478" t="str">
        <f>IF(AllDataCorrected[[#This Row],[Nitrate (PPM)]]&gt;2, "4. Very high (&gt;2ppm)", IF(AllDataCorrected[[#This Row],[Nitrate (PPM)]]&gt;1, "3. High (1-2ppm)", IF(AllDataCorrected[[#This Row],[Nitrate (PPM)]]&gt;0.5, "2. Some evidence (0.5-1ppm)", IF(AllDataCorrected[[#This Row],[Nitrate (PPM)]]&gt;=0, "1. No evidence (&lt;0.5ppm)"))))</f>
        <v>4. Very high (&gt;2ppm)</v>
      </c>
      <c r="S478">
        <v>0.47</v>
      </c>
      <c r="T4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8">
        <v>2</v>
      </c>
    </row>
    <row r="479" spans="1:22" x14ac:dyDescent="0.25">
      <c r="A479" t="s">
        <v>731</v>
      </c>
      <c r="B479" s="2">
        <v>45352</v>
      </c>
      <c r="C479" t="str" cm="1">
        <f t="array" ref="C4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79">
        <f>YEAR(AllDataCorrected[[#This Row],[Date]])</f>
        <v>2024</v>
      </c>
      <c r="E479" s="1">
        <v>0.50277777777777777</v>
      </c>
      <c r="F4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9" t="str">
        <f>_xlfn.XLOOKUP(AllDataCorrected[[#This Row],[Location Name]], Locations[Location Name],Locations[Group As])</f>
        <v>Walcot Lane, Bow Brook Ford</v>
      </c>
      <c r="H479" t="e" vm="17">
        <f>_xlfn.XLOOKUP(AllDataCorrected[[#This Row],[Site Name]],LocationsKey[Site Name],LocationsKey[District])</f>
        <v>#VALUE!</v>
      </c>
      <c r="I479" t="e" vm="18">
        <f>_xlfn.XLOOKUP(AllDataCorrected[[#This Row],[Site Name]],LocationsKey[Site Name],LocationsKey[Town])</f>
        <v>#VALUE!</v>
      </c>
      <c r="J479" t="str">
        <f>_xlfn.XLOOKUP(AllDataCorrected[[#This Row],[Site Name]],LocationsKey[Site Name], LocationsKey[Waterway])</f>
        <v>Bow Brook</v>
      </c>
      <c r="K479" t="s">
        <v>732</v>
      </c>
      <c r="L479">
        <f>_xlfn.XLOOKUP(AllDataCorrected[[#This Row],[Site Name]],Tables!$B$12:$B$78, Tables!C$12:C$78)</f>
        <v>52.130499999999998</v>
      </c>
      <c r="M479">
        <f>_xlfn.XLOOKUP(AllDataCorrected[[#This Row],[Site Name]],Tables!$B$12:$B$78, Tables!D$12:D$78)</f>
        <v>-2.0787</v>
      </c>
      <c r="N479" t="s">
        <v>733</v>
      </c>
      <c r="O479">
        <v>693</v>
      </c>
      <c r="P479">
        <v>9.1</v>
      </c>
      <c r="Q479">
        <v>5</v>
      </c>
      <c r="R479" t="str">
        <f>IF(AllDataCorrected[[#This Row],[Nitrate (PPM)]]&gt;2, "4. Very high (&gt;2ppm)", IF(AllDataCorrected[[#This Row],[Nitrate (PPM)]]&gt;1, "3. High (1-2ppm)", IF(AllDataCorrected[[#This Row],[Nitrate (PPM)]]&gt;0.5, "2. Some evidence (0.5-1ppm)", IF(AllDataCorrected[[#This Row],[Nitrate (PPM)]]&gt;=0, "1. No evidence (&lt;0.5ppm)"))))</f>
        <v>4. Very high (&gt;2ppm)</v>
      </c>
      <c r="S479">
        <v>0.7</v>
      </c>
      <c r="T4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9">
        <v>0.9</v>
      </c>
      <c r="V479" t="s">
        <v>734</v>
      </c>
    </row>
    <row r="480" spans="1:22" x14ac:dyDescent="0.25">
      <c r="A480" t="s">
        <v>735</v>
      </c>
      <c r="B480" s="2">
        <v>45352</v>
      </c>
      <c r="C480" t="str" cm="1">
        <f t="array" ref="C4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0">
        <f>YEAR(AllDataCorrected[[#This Row],[Date]])</f>
        <v>2024</v>
      </c>
      <c r="E480" s="1">
        <v>0.52569444444444446</v>
      </c>
      <c r="F4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0" t="str">
        <f>_xlfn.XLOOKUP(AllDataCorrected[[#This Row],[Location Name]], Locations[Location Name],Locations[Group As])</f>
        <v>Preston-on-Stour River Bridge</v>
      </c>
      <c r="H480" t="e" vm="2">
        <f>_xlfn.XLOOKUP(AllDataCorrected[[#This Row],[Site Name]],LocationsKey[Site Name],LocationsKey[District])</f>
        <v>#VALUE!</v>
      </c>
      <c r="I480" t="e" vm="9">
        <f>_xlfn.XLOOKUP(AllDataCorrected[[#This Row],[Site Name]],LocationsKey[Site Name],LocationsKey[Town])</f>
        <v>#VALUE!</v>
      </c>
      <c r="J480" t="str">
        <f>_xlfn.XLOOKUP(AllDataCorrected[[#This Row],[Site Name]],LocationsKey[Site Name], LocationsKey[Waterway])</f>
        <v>Stour</v>
      </c>
      <c r="K480" t="s">
        <v>163</v>
      </c>
      <c r="L480">
        <f>_xlfn.XLOOKUP(AllDataCorrected[[#This Row],[Site Name]],Tables!$B$12:$B$78, Tables!C$12:C$78)</f>
        <v>52.146529500000007</v>
      </c>
      <c r="M480">
        <f>_xlfn.XLOOKUP(AllDataCorrected[[#This Row],[Site Name]],Tables!$B$12:$B$78, Tables!D$12:D$78)</f>
        <v>-1.6996899999999999</v>
      </c>
      <c r="N480" t="s">
        <v>29</v>
      </c>
      <c r="O480">
        <v>623</v>
      </c>
      <c r="P480">
        <v>7.8</v>
      </c>
      <c r="Q480">
        <v>5</v>
      </c>
      <c r="R480" t="str">
        <f>IF(AllDataCorrected[[#This Row],[Nitrate (PPM)]]&gt;2, "4. Very high (&gt;2ppm)", IF(AllDataCorrected[[#This Row],[Nitrate (PPM)]]&gt;1, "3. High (1-2ppm)", IF(AllDataCorrected[[#This Row],[Nitrate (PPM)]]&gt;0.5, "2. Some evidence (0.5-1ppm)", IF(AllDataCorrected[[#This Row],[Nitrate (PPM)]]&gt;=0, "1. No evidence (&lt;0.5ppm)"))))</f>
        <v>4. Very high (&gt;2ppm)</v>
      </c>
      <c r="S480">
        <v>0.32</v>
      </c>
      <c r="T4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0">
        <v>1.5</v>
      </c>
    </row>
    <row r="481" spans="1:22" x14ac:dyDescent="0.25">
      <c r="A481" t="s">
        <v>736</v>
      </c>
      <c r="B481" s="2">
        <v>45352</v>
      </c>
      <c r="C481" t="str" cm="1">
        <f t="array" ref="C4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1">
        <f>YEAR(AllDataCorrected[[#This Row],[Date]])</f>
        <v>2024</v>
      </c>
      <c r="E481" s="1">
        <v>0.65277777777777779</v>
      </c>
      <c r="F4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1" t="str">
        <f>_xlfn.XLOOKUP(AllDataCorrected[[#This Row],[Location Name]], Locations[Location Name],Locations[Group As])</f>
        <v>Preston Bagot Canal</v>
      </c>
      <c r="H481" t="e" vm="2">
        <f>_xlfn.XLOOKUP(AllDataCorrected[[#This Row],[Site Name]],LocationsKey[Site Name],LocationsKey[District])</f>
        <v>#VALUE!</v>
      </c>
      <c r="I481" t="e" vm="19">
        <f>_xlfn.XLOOKUP(AllDataCorrected[[#This Row],[Site Name]],LocationsKey[Site Name],LocationsKey[Town])</f>
        <v>#VALUE!</v>
      </c>
      <c r="J481" t="str">
        <f>_xlfn.XLOOKUP(AllDataCorrected[[#This Row],[Site Name]],LocationsKey[Site Name], LocationsKey[Waterway])</f>
        <v>Preston Bagot Canal</v>
      </c>
      <c r="K481" t="s">
        <v>615</v>
      </c>
      <c r="L481">
        <f>_xlfn.XLOOKUP(AllDataCorrected[[#This Row],[Site Name]],Tables!$B$12:$B$78, Tables!C$12:C$78)</f>
        <v>52.286540000000002</v>
      </c>
      <c r="M481">
        <f>_xlfn.XLOOKUP(AllDataCorrected[[#This Row],[Site Name]],Tables!$B$12:$B$78, Tables!D$12:D$78)</f>
        <v>-1.74576</v>
      </c>
      <c r="N481" t="s">
        <v>23</v>
      </c>
      <c r="O481">
        <v>295</v>
      </c>
      <c r="P481">
        <v>9.1</v>
      </c>
      <c r="Q481">
        <v>1.5</v>
      </c>
      <c r="R481" t="str">
        <f>IF(AllDataCorrected[[#This Row],[Nitrate (PPM)]]&gt;2, "4. Very high (&gt;2ppm)", IF(AllDataCorrected[[#This Row],[Nitrate (PPM)]]&gt;1, "3. High (1-2ppm)", IF(AllDataCorrected[[#This Row],[Nitrate (PPM)]]&gt;0.5, "2. Some evidence (0.5-1ppm)", IF(AllDataCorrected[[#This Row],[Nitrate (PPM)]]&gt;=0, "1. No evidence (&lt;0.5ppm)"))))</f>
        <v>3. High (1-2ppm)</v>
      </c>
      <c r="S481">
        <v>0.51</v>
      </c>
      <c r="T4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1">
        <v>0</v>
      </c>
      <c r="V481" t="s">
        <v>705</v>
      </c>
    </row>
    <row r="482" spans="1:22" x14ac:dyDescent="0.25">
      <c r="A482" t="s">
        <v>737</v>
      </c>
      <c r="B482" s="2">
        <v>45352</v>
      </c>
      <c r="C482" t="str" cm="1">
        <f t="array" ref="C4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2">
        <f>YEAR(AllDataCorrected[[#This Row],[Date]])</f>
        <v>2024</v>
      </c>
      <c r="E482" s="1">
        <v>0.65972222222222221</v>
      </c>
      <c r="F4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2" t="str">
        <f>_xlfn.XLOOKUP(AllDataCorrected[[#This Row],[Location Name]], Locations[Location Name],Locations[Group As])</f>
        <v>Preston Bagot Brook</v>
      </c>
      <c r="H482" t="e" vm="2">
        <f>_xlfn.XLOOKUP(AllDataCorrected[[#This Row],[Site Name]],LocationsKey[Site Name],LocationsKey[District])</f>
        <v>#VALUE!</v>
      </c>
      <c r="I482" t="e" vm="19">
        <f>_xlfn.XLOOKUP(AllDataCorrected[[#This Row],[Site Name]],LocationsKey[Site Name],LocationsKey[Town])</f>
        <v>#VALUE!</v>
      </c>
      <c r="J482" t="str">
        <f>_xlfn.XLOOKUP(AllDataCorrected[[#This Row],[Site Name]],LocationsKey[Site Name], LocationsKey[Waterway])</f>
        <v>Preston Bagot Brook</v>
      </c>
      <c r="K482" t="s">
        <v>618</v>
      </c>
      <c r="L482">
        <f>_xlfn.XLOOKUP(AllDataCorrected[[#This Row],[Site Name]],Tables!$B$12:$B$78, Tables!C$12:C$78)</f>
        <v>52.286200000000001</v>
      </c>
      <c r="M482">
        <f>_xlfn.XLOOKUP(AllDataCorrected[[#This Row],[Site Name]],Tables!$B$12:$B$78, Tables!D$12:D$78)</f>
        <v>-1.7478</v>
      </c>
      <c r="N482" t="s">
        <v>23</v>
      </c>
      <c r="O482">
        <v>457</v>
      </c>
      <c r="P482">
        <v>10.1</v>
      </c>
      <c r="Q482">
        <v>2</v>
      </c>
      <c r="R482" t="str">
        <f>IF(AllDataCorrected[[#This Row],[Nitrate (PPM)]]&gt;2, "4. Very high (&gt;2ppm)", IF(AllDataCorrected[[#This Row],[Nitrate (PPM)]]&gt;1, "3. High (1-2ppm)", IF(AllDataCorrected[[#This Row],[Nitrate (PPM)]]&gt;0.5, "2. Some evidence (0.5-1ppm)", IF(AllDataCorrected[[#This Row],[Nitrate (PPM)]]&gt;=0, "1. No evidence (&lt;0.5ppm)"))))</f>
        <v>3. High (1-2ppm)</v>
      </c>
      <c r="S482">
        <v>0.61</v>
      </c>
      <c r="T4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2">
        <v>0</v>
      </c>
      <c r="V482" t="s">
        <v>705</v>
      </c>
    </row>
    <row r="483" spans="1:22" x14ac:dyDescent="0.25">
      <c r="A483" t="s">
        <v>746</v>
      </c>
      <c r="B483" s="2">
        <v>45353</v>
      </c>
      <c r="C483" t="str" cm="1">
        <f t="array" ref="C4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3">
        <f>YEAR(AllDataCorrected[[#This Row],[Date]])</f>
        <v>2024</v>
      </c>
      <c r="E483" s="1">
        <v>0.44097222222222221</v>
      </c>
      <c r="F4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3" t="str">
        <f>_xlfn.XLOOKUP(AllDataCorrected[[#This Row],[Location Name]], Locations[Location Name],Locations[Group As])</f>
        <v>Lucy's Mill Bridge</v>
      </c>
      <c r="H483" t="e" vm="2">
        <f>_xlfn.XLOOKUP(AllDataCorrected[[#This Row],[Site Name]],LocationsKey[Site Name],LocationsKey[District])</f>
        <v>#VALUE!</v>
      </c>
      <c r="I483" t="e" vm="7">
        <f>_xlfn.XLOOKUP(AllDataCorrected[[#This Row],[Site Name]],LocationsKey[Site Name],LocationsKey[Town])</f>
        <v>#VALUE!</v>
      </c>
      <c r="J483" t="str">
        <f>_xlfn.XLOOKUP(AllDataCorrected[[#This Row],[Site Name]],LocationsKey[Site Name], LocationsKey[Waterway])</f>
        <v>Avon</v>
      </c>
      <c r="K483" t="s">
        <v>216</v>
      </c>
      <c r="L483">
        <f>_xlfn.XLOOKUP(AllDataCorrected[[#This Row],[Site Name]],Tables!$B$12:$B$78, Tables!C$12:C$78)</f>
        <v>52.183699000000011</v>
      </c>
      <c r="M483">
        <f>_xlfn.XLOOKUP(AllDataCorrected[[#This Row],[Site Name]],Tables!$B$12:$B$78, Tables!D$12:D$78)</f>
        <v>-1.7078160000000004</v>
      </c>
      <c r="N483" t="s">
        <v>29</v>
      </c>
      <c r="P483">
        <v>8</v>
      </c>
      <c r="Q483">
        <v>5</v>
      </c>
      <c r="R483" t="str">
        <f>IF(AllDataCorrected[[#This Row],[Nitrate (PPM)]]&gt;2, "4. Very high (&gt;2ppm)", IF(AllDataCorrected[[#This Row],[Nitrate (PPM)]]&gt;1, "3. High (1-2ppm)", IF(AllDataCorrected[[#This Row],[Nitrate (PPM)]]&gt;0.5, "2. Some evidence (0.5-1ppm)", IF(AllDataCorrected[[#This Row],[Nitrate (PPM)]]&gt;=0, "1. No evidence (&lt;0.5ppm)"))))</f>
        <v>4. Very high (&gt;2ppm)</v>
      </c>
      <c r="S483">
        <v>0.06</v>
      </c>
      <c r="T48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83">
        <v>0.7</v>
      </c>
    </row>
    <row r="484" spans="1:22" x14ac:dyDescent="0.25">
      <c r="A484" t="s">
        <v>738</v>
      </c>
      <c r="B484" s="2">
        <v>45353</v>
      </c>
      <c r="C484" t="str" cm="1">
        <f t="array" ref="C4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4">
        <f>YEAR(AllDataCorrected[[#This Row],[Date]])</f>
        <v>2024</v>
      </c>
      <c r="E484" s="1">
        <v>0.53888888888888886</v>
      </c>
      <c r="F4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4" t="str">
        <f>_xlfn.XLOOKUP(AllDataCorrected[[#This Row],[Location Name]], Locations[Location Name],Locations[Group As])</f>
        <v>Stour Willington</v>
      </c>
      <c r="H484" t="e" vm="2">
        <f>_xlfn.XLOOKUP(AllDataCorrected[[#This Row],[Site Name]],LocationsKey[Site Name],LocationsKey[District])</f>
        <v>#VALUE!</v>
      </c>
      <c r="I484" t="str">
        <f>_xlfn.XLOOKUP(AllDataCorrected[[#This Row],[Site Name]],LocationsKey[Site Name],LocationsKey[Town])</f>
        <v>Willington</v>
      </c>
      <c r="J484" t="str">
        <f>_xlfn.XLOOKUP(AllDataCorrected[[#This Row],[Site Name]],LocationsKey[Site Name], LocationsKey[Waterway])</f>
        <v>Stour</v>
      </c>
      <c r="K484" t="s">
        <v>517</v>
      </c>
      <c r="L484">
        <f>_xlfn.XLOOKUP(AllDataCorrected[[#This Row],[Site Name]],Tables!$B$12:$B$78, Tables!C$12:C$78)</f>
        <v>52.053154375000005</v>
      </c>
      <c r="M484">
        <f>_xlfn.XLOOKUP(AllDataCorrected[[#This Row],[Site Name]],Tables!$B$12:$B$78, Tables!D$12:D$78)</f>
        <v>-1.6191991562500001</v>
      </c>
      <c r="N484" t="s">
        <v>23</v>
      </c>
      <c r="O484">
        <v>383</v>
      </c>
      <c r="P484">
        <v>8.6999999999999993</v>
      </c>
      <c r="Q484">
        <v>2</v>
      </c>
      <c r="R484" t="str">
        <f>IF(AllDataCorrected[[#This Row],[Nitrate (PPM)]]&gt;2, "4. Very high (&gt;2ppm)", IF(AllDataCorrected[[#This Row],[Nitrate (PPM)]]&gt;1, "3. High (1-2ppm)", IF(AllDataCorrected[[#This Row],[Nitrate (PPM)]]&gt;0.5, "2. Some evidence (0.5-1ppm)", IF(AllDataCorrected[[#This Row],[Nitrate (PPM)]]&gt;=0, "1. No evidence (&lt;0.5ppm)"))))</f>
        <v>3. High (1-2ppm)</v>
      </c>
      <c r="S484">
        <v>0.22</v>
      </c>
      <c r="T4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4">
        <v>1.5</v>
      </c>
      <c r="V484" t="s">
        <v>739</v>
      </c>
    </row>
    <row r="485" spans="1:22" x14ac:dyDescent="0.25">
      <c r="A485" t="s">
        <v>740</v>
      </c>
      <c r="B485" s="2">
        <v>45353</v>
      </c>
      <c r="C485" t="str" cm="1">
        <f t="array" ref="C4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5">
        <f>YEAR(AllDataCorrected[[#This Row],[Date]])</f>
        <v>2024</v>
      </c>
      <c r="E485" s="1">
        <v>0.69930555555555551</v>
      </c>
      <c r="F4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5" t="str">
        <f>_xlfn.XLOOKUP(AllDataCorrected[[#This Row],[Location Name]], Locations[Location Name],Locations[Group As])</f>
        <v>Avon Smiths Meadow Wyre Piddle</v>
      </c>
      <c r="H485" t="e" vm="17">
        <f>_xlfn.XLOOKUP(AllDataCorrected[[#This Row],[Site Name]],LocationsKey[Site Name],LocationsKey[District])</f>
        <v>#VALUE!</v>
      </c>
      <c r="I485" t="e" vm="20">
        <f>_xlfn.XLOOKUP(AllDataCorrected[[#This Row],[Site Name]],LocationsKey[Site Name],LocationsKey[Town])</f>
        <v>#VALUE!</v>
      </c>
      <c r="J485" t="str">
        <f>_xlfn.XLOOKUP(AllDataCorrected[[#This Row],[Site Name]],LocationsKey[Site Name], LocationsKey[Waterway])</f>
        <v>Avon</v>
      </c>
      <c r="K485" t="s">
        <v>741</v>
      </c>
      <c r="L485">
        <f>_xlfn.XLOOKUP(AllDataCorrected[[#This Row],[Site Name]],Tables!$B$12:$B$78, Tables!C$12:C$78)</f>
        <v>52.123045961538452</v>
      </c>
      <c r="M485">
        <f>_xlfn.XLOOKUP(AllDataCorrected[[#This Row],[Site Name]],Tables!$B$12:$B$78, Tables!D$12:D$78)</f>
        <v>-2.0572161923076919</v>
      </c>
      <c r="N485" t="s">
        <v>23</v>
      </c>
      <c r="O485">
        <v>704</v>
      </c>
      <c r="P485">
        <v>7.4</v>
      </c>
      <c r="Q485">
        <v>5</v>
      </c>
      <c r="R485" t="str">
        <f>IF(AllDataCorrected[[#This Row],[Nitrate (PPM)]]&gt;2, "4. Very high (&gt;2ppm)", IF(AllDataCorrected[[#This Row],[Nitrate (PPM)]]&gt;1, "3. High (1-2ppm)", IF(AllDataCorrected[[#This Row],[Nitrate (PPM)]]&gt;0.5, "2. Some evidence (0.5-1ppm)", IF(AllDataCorrected[[#This Row],[Nitrate (PPM)]]&gt;=0, "1. No evidence (&lt;0.5ppm)"))))</f>
        <v>4. Very high (&gt;2ppm)</v>
      </c>
      <c r="S485">
        <v>0.44</v>
      </c>
      <c r="T4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5">
        <v>2</v>
      </c>
      <c r="V485" t="s">
        <v>742</v>
      </c>
    </row>
    <row r="486" spans="1:22" x14ac:dyDescent="0.25">
      <c r="A486" t="s">
        <v>743</v>
      </c>
      <c r="B486" s="2">
        <v>45353</v>
      </c>
      <c r="C486" t="str" cm="1">
        <f t="array" ref="C4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6">
        <f>YEAR(AllDataCorrected[[#This Row],[Date]])</f>
        <v>2024</v>
      </c>
      <c r="E486" s="1">
        <v>0.73888888888888893</v>
      </c>
      <c r="F4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6" t="str">
        <f>_xlfn.XLOOKUP(AllDataCorrected[[#This Row],[Location Name]], Locations[Location Name],Locations[Group As])</f>
        <v>Piddle Brook Wyre Piddle Bridge</v>
      </c>
      <c r="H486" t="e" vm="17">
        <f>_xlfn.XLOOKUP(AllDataCorrected[[#This Row],[Site Name]],LocationsKey[Site Name],LocationsKey[District])</f>
        <v>#VALUE!</v>
      </c>
      <c r="I486" t="e" vm="20">
        <f>_xlfn.XLOOKUP(AllDataCorrected[[#This Row],[Site Name]],LocationsKey[Site Name],LocationsKey[Town])</f>
        <v>#VALUE!</v>
      </c>
      <c r="J486" t="str">
        <f>_xlfn.XLOOKUP(AllDataCorrected[[#This Row],[Site Name]],LocationsKey[Site Name], LocationsKey[Waterway])</f>
        <v>Piddle Brook</v>
      </c>
      <c r="K486" t="s">
        <v>744</v>
      </c>
      <c r="L486">
        <f>_xlfn.XLOOKUP(AllDataCorrected[[#This Row],[Site Name]],Tables!$B$12:$B$78, Tables!C$12:C$78)</f>
        <v>52.126401720000004</v>
      </c>
      <c r="M486">
        <f>_xlfn.XLOOKUP(AllDataCorrected[[#This Row],[Site Name]],Tables!$B$12:$B$78, Tables!D$12:D$78)</f>
        <v>-2.0565162000000003</v>
      </c>
      <c r="N486" t="s">
        <v>23</v>
      </c>
      <c r="O486">
        <v>572</v>
      </c>
      <c r="P486">
        <v>5.9</v>
      </c>
      <c r="Q486">
        <v>2</v>
      </c>
      <c r="R486" t="str">
        <f>IF(AllDataCorrected[[#This Row],[Nitrate (PPM)]]&gt;2, "4. Very high (&gt;2ppm)", IF(AllDataCorrected[[#This Row],[Nitrate (PPM)]]&gt;1, "3. High (1-2ppm)", IF(AllDataCorrected[[#This Row],[Nitrate (PPM)]]&gt;0.5, "2. Some evidence (0.5-1ppm)", IF(AllDataCorrected[[#This Row],[Nitrate (PPM)]]&gt;=0, "1. No evidence (&lt;0.5ppm)"))))</f>
        <v>3. High (1-2ppm)</v>
      </c>
      <c r="S486">
        <v>1.36</v>
      </c>
      <c r="T4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6">
        <v>0.95</v>
      </c>
      <c r="V486" t="s">
        <v>745</v>
      </c>
    </row>
    <row r="487" spans="1:22" x14ac:dyDescent="0.25">
      <c r="A487" t="s">
        <v>747</v>
      </c>
      <c r="B487" s="2">
        <v>45354</v>
      </c>
      <c r="C487" t="str" cm="1">
        <f t="array" ref="C4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7">
        <f>YEAR(AllDataCorrected[[#This Row],[Date]])</f>
        <v>2024</v>
      </c>
      <c r="E487" s="1">
        <v>0.46180555555555558</v>
      </c>
      <c r="F4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7" t="str">
        <f>_xlfn.XLOOKUP(AllDataCorrected[[#This Row],[Location Name]], Locations[Location Name],Locations[Group As])</f>
        <v>The Ford, Langley</v>
      </c>
      <c r="H487" t="e" vm="2">
        <f>_xlfn.XLOOKUP(AllDataCorrected[[#This Row],[Site Name]],LocationsKey[Site Name],LocationsKey[District])</f>
        <v>#VALUE!</v>
      </c>
      <c r="I487" t="str">
        <f>_xlfn.XLOOKUP(AllDataCorrected[[#This Row],[Site Name]],LocationsKey[Site Name],LocationsKey[Town])</f>
        <v>Langley</v>
      </c>
      <c r="J487" t="str">
        <f>_xlfn.XLOOKUP(AllDataCorrected[[#This Row],[Site Name]],LocationsKey[Site Name], LocationsKey[Waterway])</f>
        <v>Langley Ford</v>
      </c>
      <c r="K487" t="s">
        <v>557</v>
      </c>
      <c r="L487">
        <f>_xlfn.XLOOKUP(AllDataCorrected[[#This Row],[Site Name]],Tables!$B$12:$B$78, Tables!C$12:C$78)</f>
        <v>52.261724821428579</v>
      </c>
      <c r="M487">
        <f>_xlfn.XLOOKUP(AllDataCorrected[[#This Row],[Site Name]],Tables!$B$12:$B$78, Tables!D$12:D$78)</f>
        <v>-1.719408857142857</v>
      </c>
      <c r="N487" t="s">
        <v>29</v>
      </c>
      <c r="O487">
        <v>445</v>
      </c>
      <c r="P487">
        <v>8.1</v>
      </c>
      <c r="Q487">
        <v>4</v>
      </c>
      <c r="R487" t="str">
        <f>IF(AllDataCorrected[[#This Row],[Nitrate (PPM)]]&gt;2, "4. Very high (&gt;2ppm)", IF(AllDataCorrected[[#This Row],[Nitrate (PPM)]]&gt;1, "3. High (1-2ppm)", IF(AllDataCorrected[[#This Row],[Nitrate (PPM)]]&gt;0.5, "2. Some evidence (0.5-1ppm)", IF(AllDataCorrected[[#This Row],[Nitrate (PPM)]]&gt;=0, "1. No evidence (&lt;0.5ppm)"))))</f>
        <v>4. Very high (&gt;2ppm)</v>
      </c>
      <c r="S487">
        <v>0.55000000000000004</v>
      </c>
      <c r="T4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7">
        <v>0.46</v>
      </c>
    </row>
    <row r="488" spans="1:22" x14ac:dyDescent="0.25">
      <c r="A488" t="s">
        <v>748</v>
      </c>
      <c r="B488" s="2">
        <v>45354</v>
      </c>
      <c r="C488" t="str" cm="1">
        <f t="array" ref="C4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8">
        <f>YEAR(AllDataCorrected[[#This Row],[Date]])</f>
        <v>2024</v>
      </c>
      <c r="E488" s="1">
        <v>0.47916666666666669</v>
      </c>
      <c r="F4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8" t="str">
        <f>_xlfn.XLOOKUP(AllDataCorrected[[#This Row],[Location Name]], Locations[Location Name],Locations[Group As])</f>
        <v>Carrant Bredon Rd</v>
      </c>
      <c r="H488" t="e" vm="1">
        <f>_xlfn.XLOOKUP(AllDataCorrected[[#This Row],[Site Name]],LocationsKey[Site Name],LocationsKey[District])</f>
        <v>#VALUE!</v>
      </c>
      <c r="I488" t="e" vm="1">
        <f>_xlfn.XLOOKUP(AllDataCorrected[[#This Row],[Site Name]],LocationsKey[Site Name],LocationsKey[Town])</f>
        <v>#VALUE!</v>
      </c>
      <c r="J488" t="str">
        <f>_xlfn.XLOOKUP(AllDataCorrected[[#This Row],[Site Name]],LocationsKey[Site Name], LocationsKey[Waterway])</f>
        <v>Carrant</v>
      </c>
      <c r="K488" t="s">
        <v>600</v>
      </c>
      <c r="L488">
        <f>_xlfn.XLOOKUP(AllDataCorrected[[#This Row],[Site Name]],Tables!$B$12:$B$78, Tables!C$12:C$78)</f>
        <v>51.996416567567572</v>
      </c>
      <c r="M488">
        <f>_xlfn.XLOOKUP(AllDataCorrected[[#This Row],[Site Name]],Tables!$B$12:$B$78, Tables!D$12:D$78)</f>
        <v>-2.1556626756756749</v>
      </c>
      <c r="N488" t="s">
        <v>23</v>
      </c>
      <c r="O488">
        <v>629</v>
      </c>
      <c r="P488">
        <v>7.8</v>
      </c>
      <c r="Q488">
        <v>4</v>
      </c>
      <c r="R488" t="str">
        <f>IF(AllDataCorrected[[#This Row],[Nitrate (PPM)]]&gt;2, "4. Very high (&gt;2ppm)", IF(AllDataCorrected[[#This Row],[Nitrate (PPM)]]&gt;1, "3. High (1-2ppm)", IF(AllDataCorrected[[#This Row],[Nitrate (PPM)]]&gt;0.5, "2. Some evidence (0.5-1ppm)", IF(AllDataCorrected[[#This Row],[Nitrate (PPM)]]&gt;=0, "1. No evidence (&lt;0.5ppm)"))))</f>
        <v>4. Very high (&gt;2ppm)</v>
      </c>
      <c r="S488">
        <v>0.31</v>
      </c>
      <c r="T4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8">
        <v>1.07</v>
      </c>
      <c r="V488" t="s">
        <v>749</v>
      </c>
    </row>
    <row r="489" spans="1:22" x14ac:dyDescent="0.25">
      <c r="A489" t="s">
        <v>750</v>
      </c>
      <c r="B489" s="2">
        <v>45354</v>
      </c>
      <c r="C489" t="str" cm="1">
        <f t="array" ref="C4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9">
        <f>YEAR(AllDataCorrected[[#This Row],[Date]])</f>
        <v>2024</v>
      </c>
      <c r="E489" s="1">
        <v>0.49305555555555558</v>
      </c>
      <c r="F4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9" t="str">
        <f>_xlfn.XLOOKUP(AllDataCorrected[[#This Row],[Location Name]], Locations[Location Name],Locations[Group As])</f>
        <v>Avonbank Drive</v>
      </c>
      <c r="H489" t="e" vm="2">
        <f>_xlfn.XLOOKUP(AllDataCorrected[[#This Row],[Site Name]],LocationsKey[Site Name],LocationsKey[District])</f>
        <v>#VALUE!</v>
      </c>
      <c r="I489" t="e" vm="7">
        <f>_xlfn.XLOOKUP(AllDataCorrected[[#This Row],[Site Name]],LocationsKey[Site Name],LocationsKey[Town])</f>
        <v>#VALUE!</v>
      </c>
      <c r="J489" t="str">
        <f>_xlfn.XLOOKUP(AllDataCorrected[[#This Row],[Site Name]],LocationsKey[Site Name], LocationsKey[Waterway])</f>
        <v>Avon</v>
      </c>
      <c r="K489" t="s">
        <v>103</v>
      </c>
      <c r="L489">
        <f>_xlfn.XLOOKUP(AllDataCorrected[[#This Row],[Site Name]],Tables!$B$12:$B$78, Tables!C$12:C$78)</f>
        <v>52.177054657142854</v>
      </c>
      <c r="M489">
        <f>_xlfn.XLOOKUP(AllDataCorrected[[#This Row],[Site Name]],Tables!$B$12:$B$78, Tables!D$12:D$78)</f>
        <v>-1.7358669999999996</v>
      </c>
      <c r="N489" t="s">
        <v>66</v>
      </c>
      <c r="O489">
        <v>675</v>
      </c>
      <c r="P489">
        <v>15.7</v>
      </c>
      <c r="Q489">
        <v>5</v>
      </c>
      <c r="R489" t="str">
        <f>IF(AllDataCorrected[[#This Row],[Nitrate (PPM)]]&gt;2, "4. Very high (&gt;2ppm)", IF(AllDataCorrected[[#This Row],[Nitrate (PPM)]]&gt;1, "3. High (1-2ppm)", IF(AllDataCorrected[[#This Row],[Nitrate (PPM)]]&gt;0.5, "2. Some evidence (0.5-1ppm)", IF(AllDataCorrected[[#This Row],[Nitrate (PPM)]]&gt;=0, "1. No evidence (&lt;0.5ppm)"))))</f>
        <v>4. Very high (&gt;2ppm)</v>
      </c>
      <c r="S489">
        <v>0.48</v>
      </c>
      <c r="T4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9">
        <v>0.8</v>
      </c>
    </row>
    <row r="490" spans="1:22" x14ac:dyDescent="0.25">
      <c r="A490" t="s">
        <v>751</v>
      </c>
      <c r="B490" s="2">
        <v>45354</v>
      </c>
      <c r="C490" t="str" cm="1">
        <f t="array" ref="C4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0">
        <f>YEAR(AllDataCorrected[[#This Row],[Date]])</f>
        <v>2024</v>
      </c>
      <c r="E490" s="1">
        <v>0.49305555555555558</v>
      </c>
      <c r="F4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90" t="str">
        <f>_xlfn.XLOOKUP(AllDataCorrected[[#This Row],[Location Name]], Locations[Location Name],Locations[Group As])</f>
        <v>Pitch 16</v>
      </c>
      <c r="H490" t="e" vm="2">
        <f>_xlfn.XLOOKUP(AllDataCorrected[[#This Row],[Site Name]],LocationsKey[Site Name],LocationsKey[District])</f>
        <v>#VALUE!</v>
      </c>
      <c r="I490" t="e" vm="7">
        <f>_xlfn.XLOOKUP(AllDataCorrected[[#This Row],[Site Name]],LocationsKey[Site Name],LocationsKey[Town])</f>
        <v>#VALUE!</v>
      </c>
      <c r="J490" t="str">
        <f>_xlfn.XLOOKUP(AllDataCorrected[[#This Row],[Site Name]],LocationsKey[Site Name], LocationsKey[Waterway])</f>
        <v>Avon</v>
      </c>
      <c r="K490" t="s">
        <v>69</v>
      </c>
      <c r="L490">
        <f>_xlfn.XLOOKUP(AllDataCorrected[[#This Row],[Site Name]],Tables!$B$12:$B$78, Tables!C$12:C$78)</f>
        <v>52.17355294117646</v>
      </c>
      <c r="M490">
        <f>_xlfn.XLOOKUP(AllDataCorrected[[#This Row],[Site Name]],Tables!$B$12:$B$78, Tables!D$12:D$78)</f>
        <v>-1.7433199411764708</v>
      </c>
      <c r="N490" t="s">
        <v>29</v>
      </c>
      <c r="O490">
        <v>635</v>
      </c>
      <c r="P490">
        <v>15.8</v>
      </c>
      <c r="Q490">
        <v>5</v>
      </c>
      <c r="R490" t="str">
        <f>IF(AllDataCorrected[[#This Row],[Nitrate (PPM)]]&gt;2, "4. Very high (&gt;2ppm)", IF(AllDataCorrected[[#This Row],[Nitrate (PPM)]]&gt;1, "3. High (1-2ppm)", IF(AllDataCorrected[[#This Row],[Nitrate (PPM)]]&gt;0.5, "2. Some evidence (0.5-1ppm)", IF(AllDataCorrected[[#This Row],[Nitrate (PPM)]]&gt;=0, "1. No evidence (&lt;0.5ppm)"))))</f>
        <v>4. Very high (&gt;2ppm)</v>
      </c>
      <c r="S490">
        <v>0.35</v>
      </c>
      <c r="T4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0">
        <v>0.8</v>
      </c>
    </row>
    <row r="491" spans="1:22" x14ac:dyDescent="0.25">
      <c r="A491" t="s">
        <v>752</v>
      </c>
      <c r="B491" s="2">
        <v>45354</v>
      </c>
      <c r="C491" t="str" cm="1">
        <f t="array" ref="C4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1">
        <f>YEAR(AllDataCorrected[[#This Row],[Date]])</f>
        <v>2024</v>
      </c>
      <c r="E491" s="1">
        <v>0.58958333333333335</v>
      </c>
      <c r="F4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1" t="str">
        <f>_xlfn.XLOOKUP(AllDataCorrected[[#This Row],[Location Name]], Locations[Location Name],Locations[Group As])</f>
        <v>Black Bear</v>
      </c>
      <c r="H491" t="e" vm="1">
        <f>_xlfn.XLOOKUP(AllDataCorrected[[#This Row],[Site Name]],LocationsKey[Site Name],LocationsKey[District])</f>
        <v>#VALUE!</v>
      </c>
      <c r="I491" t="e" vm="1">
        <f>_xlfn.XLOOKUP(AllDataCorrected[[#This Row],[Site Name]],LocationsKey[Site Name],LocationsKey[Town])</f>
        <v>#VALUE!</v>
      </c>
      <c r="J491" t="str">
        <f>_xlfn.XLOOKUP(AllDataCorrected[[#This Row],[Site Name]],LocationsKey[Site Name], LocationsKey[Waterway])</f>
        <v>Avon</v>
      </c>
      <c r="K491" t="s">
        <v>567</v>
      </c>
      <c r="L491">
        <f>_xlfn.XLOOKUP(AllDataCorrected[[#This Row],[Site Name]],Tables!$B$12:$B$78, Tables!C$12:C$78)</f>
        <v>51.997435214285723</v>
      </c>
      <c r="M491">
        <f>_xlfn.XLOOKUP(AllDataCorrected[[#This Row],[Site Name]],Tables!$B$12:$B$78, Tables!D$12:D$78)</f>
        <v>-2.1562056785714288</v>
      </c>
      <c r="N491" t="s">
        <v>23</v>
      </c>
      <c r="O491">
        <v>642</v>
      </c>
      <c r="P491">
        <v>9.4</v>
      </c>
      <c r="Q491">
        <v>5</v>
      </c>
      <c r="R491" t="str">
        <f>IF(AllDataCorrected[[#This Row],[Nitrate (PPM)]]&gt;2, "4. Very high (&gt;2ppm)", IF(AllDataCorrected[[#This Row],[Nitrate (PPM)]]&gt;1, "3. High (1-2ppm)", IF(AllDataCorrected[[#This Row],[Nitrate (PPM)]]&gt;0.5, "2. Some evidence (0.5-1ppm)", IF(AllDataCorrected[[#This Row],[Nitrate (PPM)]]&gt;=0, "1. No evidence (&lt;0.5ppm)"))))</f>
        <v>4. Very high (&gt;2ppm)</v>
      </c>
      <c r="S491">
        <v>0.59</v>
      </c>
      <c r="T4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1">
        <v>1.5</v>
      </c>
    </row>
    <row r="492" spans="1:22" x14ac:dyDescent="0.25">
      <c r="A492" t="s">
        <v>753</v>
      </c>
      <c r="B492" s="2">
        <v>45354</v>
      </c>
      <c r="C492" t="str" cm="1">
        <f t="array" ref="C4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2">
        <f>YEAR(AllDataCorrected[[#This Row],[Date]])</f>
        <v>2024</v>
      </c>
      <c r="E492" s="1">
        <v>0.60416666666666663</v>
      </c>
      <c r="F4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2" t="str">
        <f>_xlfn.XLOOKUP(AllDataCorrected[[#This Row],[Location Name]], Locations[Location Name],Locations[Group As])</f>
        <v>Clifford Chambers Mill Bridge</v>
      </c>
      <c r="H492" t="e" vm="2">
        <f>_xlfn.XLOOKUP(AllDataCorrected[[#This Row],[Site Name]],LocationsKey[Site Name],LocationsKey[District])</f>
        <v>#VALUE!</v>
      </c>
      <c r="I492" t="e" vm="12">
        <f>_xlfn.XLOOKUP(AllDataCorrected[[#This Row],[Site Name]],LocationsKey[Site Name],LocationsKey[Town])</f>
        <v>#VALUE!</v>
      </c>
      <c r="J492" t="str">
        <f>_xlfn.XLOOKUP(AllDataCorrected[[#This Row],[Site Name]],LocationsKey[Site Name], LocationsKey[Waterway])</f>
        <v>Stour</v>
      </c>
      <c r="K492" t="s">
        <v>263</v>
      </c>
      <c r="L492">
        <f>_xlfn.XLOOKUP(AllDataCorrected[[#This Row],[Site Name]],Tables!$B$12:$B$78, Tables!C$12:C$78)</f>
        <v>52.166358517241363</v>
      </c>
      <c r="M492">
        <f>_xlfn.XLOOKUP(AllDataCorrected[[#This Row],[Site Name]],Tables!$B$12:$B$78, Tables!D$12:D$78)</f>
        <v>-1.7080419310344837</v>
      </c>
      <c r="N492" t="s">
        <v>66</v>
      </c>
      <c r="O492">
        <v>460</v>
      </c>
      <c r="P492">
        <v>12.8</v>
      </c>
      <c r="Q492">
        <v>3</v>
      </c>
      <c r="R492" t="str">
        <f>IF(AllDataCorrected[[#This Row],[Nitrate (PPM)]]&gt;2, "4. Very high (&gt;2ppm)", IF(AllDataCorrected[[#This Row],[Nitrate (PPM)]]&gt;1, "3. High (1-2ppm)", IF(AllDataCorrected[[#This Row],[Nitrate (PPM)]]&gt;0.5, "2. Some evidence (0.5-1ppm)", IF(AllDataCorrected[[#This Row],[Nitrate (PPM)]]&gt;=0, "1. No evidence (&lt;0.5ppm)"))))</f>
        <v>4. Very high (&gt;2ppm)</v>
      </c>
      <c r="S492">
        <v>0.27</v>
      </c>
      <c r="T4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2">
        <v>1.4</v>
      </c>
      <c r="V492" t="s">
        <v>754</v>
      </c>
    </row>
    <row r="493" spans="1:22" x14ac:dyDescent="0.25">
      <c r="A493" t="s">
        <v>755</v>
      </c>
      <c r="B493" s="2">
        <v>45354</v>
      </c>
      <c r="C493" t="str" cm="1">
        <f t="array" ref="C4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3">
        <f>YEAR(AllDataCorrected[[#This Row],[Date]])</f>
        <v>2024</v>
      </c>
      <c r="E493" s="1">
        <v>0.625</v>
      </c>
      <c r="F4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3" t="str">
        <f>_xlfn.XLOOKUP(AllDataCorrected[[#This Row],[Location Name]], Locations[Location Name],Locations[Group As])</f>
        <v>Sherbourne Brook 1</v>
      </c>
      <c r="H493" t="e" vm="2">
        <f>_xlfn.XLOOKUP(AllDataCorrected[[#This Row],[Site Name]],LocationsKey[Site Name],LocationsKey[District])</f>
        <v>#VALUE!</v>
      </c>
      <c r="I493" t="e" vm="16">
        <f>_xlfn.XLOOKUP(AllDataCorrected[[#This Row],[Site Name]],LocationsKey[Site Name],LocationsKey[Town])</f>
        <v>#VALUE!</v>
      </c>
      <c r="J493" t="str">
        <f>_xlfn.XLOOKUP(AllDataCorrected[[#This Row],[Site Name]],LocationsKey[Site Name], LocationsKey[Waterway])</f>
        <v>Sherbourne Brook</v>
      </c>
      <c r="K493" t="s">
        <v>570</v>
      </c>
      <c r="L493">
        <f>_xlfn.XLOOKUP(AllDataCorrected[[#This Row],[Site Name]],Tables!$B$12:$B$78, Tables!C$12:C$78)</f>
        <v>52.252500000000033</v>
      </c>
      <c r="M493">
        <f>_xlfn.XLOOKUP(AllDataCorrected[[#This Row],[Site Name]],Tables!$B$12:$B$78, Tables!D$12:D$78)</f>
        <v>-1.6685000000000012</v>
      </c>
      <c r="N493" t="s">
        <v>23</v>
      </c>
      <c r="O493">
        <v>759</v>
      </c>
      <c r="P493">
        <v>8.6999999999999993</v>
      </c>
      <c r="Q493">
        <v>5</v>
      </c>
      <c r="R493" t="str">
        <f>IF(AllDataCorrected[[#This Row],[Nitrate (PPM)]]&gt;2, "4. Very high (&gt;2ppm)", IF(AllDataCorrected[[#This Row],[Nitrate (PPM)]]&gt;1, "3. High (1-2ppm)", IF(AllDataCorrected[[#This Row],[Nitrate (PPM)]]&gt;0.5, "2. Some evidence (0.5-1ppm)", IF(AllDataCorrected[[#This Row],[Nitrate (PPM)]]&gt;=0, "1. No evidence (&lt;0.5ppm)"))))</f>
        <v>4. Very high (&gt;2ppm)</v>
      </c>
      <c r="S493">
        <v>0.57999999999999996</v>
      </c>
      <c r="T4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3">
        <v>0.5</v>
      </c>
      <c r="V493" t="s">
        <v>756</v>
      </c>
    </row>
    <row r="494" spans="1:22" x14ac:dyDescent="0.25">
      <c r="A494" t="s">
        <v>757</v>
      </c>
      <c r="B494" s="2">
        <v>45354</v>
      </c>
      <c r="C494" t="str" cm="1">
        <f t="array" ref="C4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4">
        <f>YEAR(AllDataCorrected[[#This Row],[Date]])</f>
        <v>2024</v>
      </c>
      <c r="E494" s="1">
        <v>0.63541666666666663</v>
      </c>
      <c r="F4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4" t="str">
        <f>_xlfn.XLOOKUP(AllDataCorrected[[#This Row],[Location Name]], Locations[Location Name],Locations[Group As])</f>
        <v>Bell Brook 1</v>
      </c>
      <c r="H494" t="e" vm="2">
        <f>_xlfn.XLOOKUP(AllDataCorrected[[#This Row],[Site Name]],LocationsKey[Site Name],LocationsKey[District])</f>
        <v>#VALUE!</v>
      </c>
      <c r="I494" t="e" vm="15">
        <f>_xlfn.XLOOKUP(AllDataCorrected[[#This Row],[Site Name]],LocationsKey[Site Name],LocationsKey[Town])</f>
        <v>#VALUE!</v>
      </c>
      <c r="J494" t="str">
        <f>_xlfn.XLOOKUP(AllDataCorrected[[#This Row],[Site Name]],LocationsKey[Site Name], LocationsKey[Waterway])</f>
        <v>Bell Brook</v>
      </c>
      <c r="K494" t="s">
        <v>534</v>
      </c>
      <c r="L494">
        <f>_xlfn.XLOOKUP(AllDataCorrected[[#This Row],[Site Name]],Tables!$B$12:$B$78, Tables!C$12:C$78)</f>
        <v>52.24489999999998</v>
      </c>
      <c r="M494">
        <f>_xlfn.XLOOKUP(AllDataCorrected[[#This Row],[Site Name]],Tables!$B$12:$B$78, Tables!D$12:D$78)</f>
        <v>-1.6617000000000013</v>
      </c>
      <c r="N494" t="s">
        <v>23</v>
      </c>
      <c r="O494">
        <v>490</v>
      </c>
      <c r="P494">
        <v>8.8000000000000007</v>
      </c>
      <c r="Q494">
        <v>5</v>
      </c>
      <c r="R494" t="str">
        <f>IF(AllDataCorrected[[#This Row],[Nitrate (PPM)]]&gt;2, "4. Very high (&gt;2ppm)", IF(AllDataCorrected[[#This Row],[Nitrate (PPM)]]&gt;1, "3. High (1-2ppm)", IF(AllDataCorrected[[#This Row],[Nitrate (PPM)]]&gt;0.5, "2. Some evidence (0.5-1ppm)", IF(AllDataCorrected[[#This Row],[Nitrate (PPM)]]&gt;=0, "1. No evidence (&lt;0.5ppm)"))))</f>
        <v>4. Very high (&gt;2ppm)</v>
      </c>
      <c r="S494">
        <v>0.44</v>
      </c>
      <c r="T4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4">
        <v>0.5</v>
      </c>
      <c r="V494" t="s">
        <v>756</v>
      </c>
    </row>
    <row r="495" spans="1:22" x14ac:dyDescent="0.25">
      <c r="A495" t="s">
        <v>1746</v>
      </c>
      <c r="B495" s="2">
        <v>45354</v>
      </c>
      <c r="C495" t="str" cm="1">
        <f t="array" ref="C4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5">
        <f>YEAR(AllDataCorrected[[#This Row],[Date]])</f>
        <v>2024</v>
      </c>
      <c r="F49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5" t="str">
        <f>_xlfn.XLOOKUP(AllDataCorrected[[#This Row],[Location Name]], Locations[Location Name],Locations[Group As])</f>
        <v>Site 1  :  Middle Street</v>
      </c>
      <c r="H495" t="e" vm="2">
        <f>_xlfn.XLOOKUP(AllDataCorrected[[#This Row],[Site Name]],LocationsKey[Site Name],LocationsKey[District])</f>
        <v>#VALUE!</v>
      </c>
      <c r="I495" t="e" vm="11">
        <f>_xlfn.XLOOKUP(AllDataCorrected[[#This Row],[Site Name]],LocationsKey[Site Name],LocationsKey[Town])</f>
        <v>#VALUE!</v>
      </c>
      <c r="J495" t="str">
        <f>_xlfn.XLOOKUP(AllDataCorrected[[#This Row],[Site Name]],LocationsKey[Site Name], LocationsKey[Waterway])</f>
        <v>Fosseway Brook</v>
      </c>
      <c r="K495" t="s">
        <v>1859</v>
      </c>
      <c r="L495">
        <f>_xlfn.XLOOKUP(AllDataCorrected[[#This Row],[Site Name]],Tables!$B$12:$B$78, Tables!C$12:C$78)</f>
        <v>52.090077380952394</v>
      </c>
      <c r="M495">
        <f>_xlfn.XLOOKUP(AllDataCorrected[[#This Row],[Site Name]],Tables!$B$12:$B$78, Tables!D$12:D$78)</f>
        <v>-1.6926051666666673</v>
      </c>
      <c r="N495" t="s">
        <v>66</v>
      </c>
      <c r="O495">
        <v>626</v>
      </c>
      <c r="P495">
        <v>7.8</v>
      </c>
      <c r="Q495">
        <v>2</v>
      </c>
      <c r="R495" t="str">
        <f>IF(AllDataCorrected[[#This Row],[Nitrate (PPM)]]&gt;2, "4. Very high (&gt;2ppm)", IF(AllDataCorrected[[#This Row],[Nitrate (PPM)]]&gt;1, "3. High (1-2ppm)", IF(AllDataCorrected[[#This Row],[Nitrate (PPM)]]&gt;0.5, "2. Some evidence (0.5-1ppm)", IF(AllDataCorrected[[#This Row],[Nitrate (PPM)]]&gt;=0, "1. No evidence (&lt;0.5ppm)"))))</f>
        <v>3. High (1-2ppm)</v>
      </c>
      <c r="S495">
        <v>7.0000000000000007E-2</v>
      </c>
      <c r="T4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95">
        <v>0</v>
      </c>
      <c r="V495" t="s">
        <v>1895</v>
      </c>
    </row>
    <row r="496" spans="1:22" x14ac:dyDescent="0.25">
      <c r="A496" t="s">
        <v>1457</v>
      </c>
      <c r="B496" s="2">
        <v>45354</v>
      </c>
      <c r="C496" t="str" cm="1">
        <f t="array" ref="C4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6">
        <f>YEAR(AllDataCorrected[[#This Row],[Date]])</f>
        <v>2024</v>
      </c>
      <c r="F4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6" t="str">
        <f>_xlfn.XLOOKUP(AllDataCorrected[[#This Row],[Location Name]], Locations[Location Name],Locations[Group As])</f>
        <v>Site 1  :  Middle Street</v>
      </c>
      <c r="H496" t="e" vm="2">
        <f>_xlfn.XLOOKUP(AllDataCorrected[[#This Row],[Site Name]],LocationsKey[Site Name],LocationsKey[District])</f>
        <v>#VALUE!</v>
      </c>
      <c r="I496" t="e" vm="11">
        <f>_xlfn.XLOOKUP(AllDataCorrected[[#This Row],[Site Name]],LocationsKey[Site Name],LocationsKey[Town])</f>
        <v>#VALUE!</v>
      </c>
      <c r="J496" t="str">
        <f>_xlfn.XLOOKUP(AllDataCorrected[[#This Row],[Site Name]],LocationsKey[Site Name], LocationsKey[Waterway])</f>
        <v>Fosseway Brook</v>
      </c>
      <c r="K496" t="s">
        <v>1373</v>
      </c>
      <c r="L496">
        <f>_xlfn.XLOOKUP(AllDataCorrected[[#This Row],[Site Name]],Tables!$B$12:$B$78, Tables!C$12:C$78)</f>
        <v>52.090077380952394</v>
      </c>
      <c r="M496">
        <f>_xlfn.XLOOKUP(AllDataCorrected[[#This Row],[Site Name]],Tables!$B$12:$B$78, Tables!D$12:D$78)</f>
        <v>-1.6926051666666673</v>
      </c>
      <c r="N496" t="s">
        <v>66</v>
      </c>
      <c r="O496">
        <v>626</v>
      </c>
      <c r="P496">
        <v>7.8</v>
      </c>
      <c r="Q496">
        <v>2</v>
      </c>
      <c r="R496" t="str">
        <f>IF(AllDataCorrected[[#This Row],[Nitrate (PPM)]]&gt;2, "4. Very high (&gt;2ppm)", IF(AllDataCorrected[[#This Row],[Nitrate (PPM)]]&gt;1, "3. High (1-2ppm)", IF(AllDataCorrected[[#This Row],[Nitrate (PPM)]]&gt;0.5, "2. Some evidence (0.5-1ppm)", IF(AllDataCorrected[[#This Row],[Nitrate (PPM)]]&gt;=0, "1. No evidence (&lt;0.5ppm)"))))</f>
        <v>3. High (1-2ppm)</v>
      </c>
      <c r="S496">
        <v>7.0000000000000007E-2</v>
      </c>
      <c r="T496"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496" t="s">
        <v>1458</v>
      </c>
    </row>
    <row r="497" spans="1:22" x14ac:dyDescent="0.25">
      <c r="A497" t="s">
        <v>1751</v>
      </c>
      <c r="B497" s="2">
        <v>45354</v>
      </c>
      <c r="C497" t="str" cm="1">
        <f t="array" ref="C4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7">
        <f>YEAR(AllDataCorrected[[#This Row],[Date]])</f>
        <v>2024</v>
      </c>
      <c r="F4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7" t="str">
        <f>_xlfn.XLOOKUP(AllDataCorrected[[#This Row],[Location Name]], Locations[Location Name],Locations[Group As])</f>
        <v>Site 2  :  Cross Leys culvert</v>
      </c>
      <c r="H497" t="e" vm="2">
        <f>_xlfn.XLOOKUP(AllDataCorrected[[#This Row],[Site Name]],LocationsKey[Site Name],LocationsKey[District])</f>
        <v>#VALUE!</v>
      </c>
      <c r="I497" t="e" vm="11">
        <f>_xlfn.XLOOKUP(AllDataCorrected[[#This Row],[Site Name]],LocationsKey[Site Name],LocationsKey[Town])</f>
        <v>#VALUE!</v>
      </c>
      <c r="J497" t="str">
        <f>_xlfn.XLOOKUP(AllDataCorrected[[#This Row],[Site Name]],LocationsKey[Site Name], LocationsKey[Waterway])</f>
        <v>Fosseway Brook</v>
      </c>
      <c r="K497" t="s">
        <v>1860</v>
      </c>
      <c r="L497">
        <f>_xlfn.XLOOKUP(AllDataCorrected[[#This Row],[Site Name]],Tables!$B$12:$B$78, Tables!C$12:C$78)</f>
        <v>52.092990199999988</v>
      </c>
      <c r="M497">
        <f>_xlfn.XLOOKUP(AllDataCorrected[[#This Row],[Site Name]],Tables!$B$12:$B$78, Tables!D$12:D$78)</f>
        <v>-1.6862810999999998</v>
      </c>
      <c r="N497" t="s">
        <v>66</v>
      </c>
      <c r="O497">
        <v>619</v>
      </c>
      <c r="P497">
        <v>7.7</v>
      </c>
      <c r="Q497">
        <v>2</v>
      </c>
      <c r="R497" t="str">
        <f>IF(AllDataCorrected[[#This Row],[Nitrate (PPM)]]&gt;2, "4. Very high (&gt;2ppm)", IF(AllDataCorrected[[#This Row],[Nitrate (PPM)]]&gt;1, "3. High (1-2ppm)", IF(AllDataCorrected[[#This Row],[Nitrate (PPM)]]&gt;0.5, "2. Some evidence (0.5-1ppm)", IF(AllDataCorrected[[#This Row],[Nitrate (PPM)]]&gt;=0, "1. No evidence (&lt;0.5ppm)"))))</f>
        <v>3. High (1-2ppm)</v>
      </c>
      <c r="S497">
        <v>0.35</v>
      </c>
      <c r="T49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7">
        <v>0</v>
      </c>
      <c r="V497" t="s">
        <v>1899</v>
      </c>
    </row>
    <row r="498" spans="1:22" x14ac:dyDescent="0.25">
      <c r="A498" t="s">
        <v>1451</v>
      </c>
      <c r="B498" s="2">
        <v>45354</v>
      </c>
      <c r="C498" t="str" cm="1">
        <f t="array" ref="C4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8">
        <f>YEAR(AllDataCorrected[[#This Row],[Date]])</f>
        <v>2024</v>
      </c>
      <c r="F4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8" t="str">
        <f>_xlfn.XLOOKUP(AllDataCorrected[[#This Row],[Location Name]], Locations[Location Name],Locations[Group As])</f>
        <v>Site 2  :  Cross Leys culvert</v>
      </c>
      <c r="H498" t="e" vm="2">
        <f>_xlfn.XLOOKUP(AllDataCorrected[[#This Row],[Site Name]],LocationsKey[Site Name],LocationsKey[District])</f>
        <v>#VALUE!</v>
      </c>
      <c r="I498" t="e" vm="11">
        <f>_xlfn.XLOOKUP(AllDataCorrected[[#This Row],[Site Name]],LocationsKey[Site Name],LocationsKey[Town])</f>
        <v>#VALUE!</v>
      </c>
      <c r="J498" t="str">
        <f>_xlfn.XLOOKUP(AllDataCorrected[[#This Row],[Site Name]],LocationsKey[Site Name], LocationsKey[Waterway])</f>
        <v>Fosseway Brook</v>
      </c>
      <c r="K498" t="s">
        <v>1371</v>
      </c>
      <c r="L498">
        <f>_xlfn.XLOOKUP(AllDataCorrected[[#This Row],[Site Name]],Tables!$B$12:$B$78, Tables!C$12:C$78)</f>
        <v>52.092990199999988</v>
      </c>
      <c r="M498">
        <f>_xlfn.XLOOKUP(AllDataCorrected[[#This Row],[Site Name]],Tables!$B$12:$B$78, Tables!D$12:D$78)</f>
        <v>-1.6862810999999998</v>
      </c>
      <c r="N498" t="s">
        <v>66</v>
      </c>
      <c r="O498">
        <v>619</v>
      </c>
      <c r="P498">
        <v>7.7</v>
      </c>
      <c r="Q498">
        <v>2</v>
      </c>
      <c r="R498" t="str">
        <f>IF(AllDataCorrected[[#This Row],[Nitrate (PPM)]]&gt;2, "4. Very high (&gt;2ppm)", IF(AllDataCorrected[[#This Row],[Nitrate (PPM)]]&gt;1, "3. High (1-2ppm)", IF(AllDataCorrected[[#This Row],[Nitrate (PPM)]]&gt;0.5, "2. Some evidence (0.5-1ppm)", IF(AllDataCorrected[[#This Row],[Nitrate (PPM)]]&gt;=0, "1. No evidence (&lt;0.5ppm)"))))</f>
        <v>3. High (1-2ppm)</v>
      </c>
      <c r="S498">
        <v>0.35</v>
      </c>
      <c r="T4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98" t="s">
        <v>1445</v>
      </c>
    </row>
    <row r="499" spans="1:22" x14ac:dyDescent="0.25">
      <c r="A499" t="s">
        <v>1756</v>
      </c>
      <c r="B499" s="2">
        <v>45354</v>
      </c>
      <c r="C499" t="str" cm="1">
        <f t="array" ref="C4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9">
        <f>YEAR(AllDataCorrected[[#This Row],[Date]])</f>
        <v>2024</v>
      </c>
      <c r="F4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9" t="str">
        <f>_xlfn.XLOOKUP(AllDataCorrected[[#This Row],[Location Name]], Locations[Location Name],Locations[Group As])</f>
        <v>Site 3  :  Severn Trent Water processing plant outflow</v>
      </c>
      <c r="H499" t="e" vm="2">
        <f>_xlfn.XLOOKUP(AllDataCorrected[[#This Row],[Site Name]],LocationsKey[Site Name],LocationsKey[District])</f>
        <v>#VALUE!</v>
      </c>
      <c r="I499" t="e" vm="11">
        <f>_xlfn.XLOOKUP(AllDataCorrected[[#This Row],[Site Name]],LocationsKey[Site Name],LocationsKey[Town])</f>
        <v>#VALUE!</v>
      </c>
      <c r="J499" t="str">
        <f>_xlfn.XLOOKUP(AllDataCorrected[[#This Row],[Site Name]],LocationsKey[Site Name], LocationsKey[Waterway])</f>
        <v>Fosseway Brook</v>
      </c>
      <c r="K499" t="s">
        <v>1861</v>
      </c>
      <c r="L499">
        <f>_xlfn.XLOOKUP(AllDataCorrected[[#This Row],[Site Name]],Tables!$B$12:$B$78, Tables!C$12:C$78)</f>
        <v>52.094341024390218</v>
      </c>
      <c r="M499">
        <f>_xlfn.XLOOKUP(AllDataCorrected[[#This Row],[Site Name]],Tables!$B$12:$B$78, Tables!D$12:D$78)</f>
        <v>-1.6731015853658531</v>
      </c>
      <c r="N499" t="s">
        <v>29</v>
      </c>
      <c r="O499">
        <v>723</v>
      </c>
      <c r="P499">
        <v>8.8000000000000007</v>
      </c>
      <c r="Q499">
        <v>5</v>
      </c>
      <c r="R499" t="str">
        <f>IF(AllDataCorrected[[#This Row],[Nitrate (PPM)]]&gt;2, "4. Very high (&gt;2ppm)", IF(AllDataCorrected[[#This Row],[Nitrate (PPM)]]&gt;1, "3. High (1-2ppm)", IF(AllDataCorrected[[#This Row],[Nitrate (PPM)]]&gt;0.5, "2. Some evidence (0.5-1ppm)", IF(AllDataCorrected[[#This Row],[Nitrate (PPM)]]&gt;=0, "1. No evidence (&lt;0.5ppm)"))))</f>
        <v>4. Very high (&gt;2ppm)</v>
      </c>
      <c r="S499">
        <v>2.5</v>
      </c>
      <c r="T4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9">
        <v>0</v>
      </c>
      <c r="V499" t="s">
        <v>1902</v>
      </c>
    </row>
    <row r="500" spans="1:22" x14ac:dyDescent="0.25">
      <c r="A500" t="s">
        <v>1444</v>
      </c>
      <c r="B500" s="2">
        <v>45354</v>
      </c>
      <c r="C500" t="str" cm="1">
        <f t="array" ref="C5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0">
        <f>YEAR(AllDataCorrected[[#This Row],[Date]])</f>
        <v>2024</v>
      </c>
      <c r="F5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00" t="str">
        <f>_xlfn.XLOOKUP(AllDataCorrected[[#This Row],[Location Name]], Locations[Location Name],Locations[Group As])</f>
        <v>Site 3  :  Severn Trent Water processing plant outflow</v>
      </c>
      <c r="H500" t="e" vm="2">
        <f>_xlfn.XLOOKUP(AllDataCorrected[[#This Row],[Site Name]],LocationsKey[Site Name],LocationsKey[District])</f>
        <v>#VALUE!</v>
      </c>
      <c r="I500" t="e" vm="11">
        <f>_xlfn.XLOOKUP(AllDataCorrected[[#This Row],[Site Name]],LocationsKey[Site Name],LocationsKey[Town])</f>
        <v>#VALUE!</v>
      </c>
      <c r="J500" t="str">
        <f>_xlfn.XLOOKUP(AllDataCorrected[[#This Row],[Site Name]],LocationsKey[Site Name], LocationsKey[Waterway])</f>
        <v>Fosseway Brook</v>
      </c>
      <c r="K500" t="s">
        <v>1368</v>
      </c>
      <c r="L500">
        <f>_xlfn.XLOOKUP(AllDataCorrected[[#This Row],[Site Name]],Tables!$B$12:$B$78, Tables!C$12:C$78)</f>
        <v>52.094341024390218</v>
      </c>
      <c r="M500">
        <f>_xlfn.XLOOKUP(AllDataCorrected[[#This Row],[Site Name]],Tables!$B$12:$B$78, Tables!D$12:D$78)</f>
        <v>-1.6731015853658531</v>
      </c>
      <c r="N500" t="s">
        <v>29</v>
      </c>
      <c r="O500">
        <v>723</v>
      </c>
      <c r="P500">
        <v>8.8000000000000007</v>
      </c>
      <c r="Q500">
        <v>5</v>
      </c>
      <c r="R500" t="str">
        <f>IF(AllDataCorrected[[#This Row],[Nitrate (PPM)]]&gt;2, "4. Very high (&gt;2ppm)", IF(AllDataCorrected[[#This Row],[Nitrate (PPM)]]&gt;1, "3. High (1-2ppm)", IF(AllDataCorrected[[#This Row],[Nitrate (PPM)]]&gt;0.5, "2. Some evidence (0.5-1ppm)", IF(AllDataCorrected[[#This Row],[Nitrate (PPM)]]&gt;=0, "1. No evidence (&lt;0.5ppm)"))))</f>
        <v>4. Very high (&gt;2ppm)</v>
      </c>
      <c r="S500">
        <v>2.5</v>
      </c>
      <c r="T5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00" t="s">
        <v>1445</v>
      </c>
    </row>
    <row r="501" spans="1:22" x14ac:dyDescent="0.25">
      <c r="A501" t="s">
        <v>758</v>
      </c>
      <c r="B501" s="2">
        <v>45355</v>
      </c>
      <c r="C501" t="str" cm="1">
        <f t="array" ref="C5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1">
        <f>YEAR(AllDataCorrected[[#This Row],[Date]])</f>
        <v>2024</v>
      </c>
      <c r="E501" s="1">
        <v>0.37569444444444444</v>
      </c>
      <c r="F5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1" t="str">
        <f>_xlfn.XLOOKUP(AllDataCorrected[[#This Row],[Location Name]], Locations[Location Name],Locations[Group As])</f>
        <v>Stour Stretton-on-Fosse Village</v>
      </c>
      <c r="H501" t="e" vm="2">
        <f>_xlfn.XLOOKUP(AllDataCorrected[[#This Row],[Site Name]],LocationsKey[Site Name],LocationsKey[District])</f>
        <v>#VALUE!</v>
      </c>
      <c r="I501" t="e" vm="14">
        <f>_xlfn.XLOOKUP(AllDataCorrected[[#This Row],[Site Name]],LocationsKey[Site Name],LocationsKey[Town])</f>
        <v>#VALUE!</v>
      </c>
      <c r="J501" t="str">
        <f>_xlfn.XLOOKUP(AllDataCorrected[[#This Row],[Site Name]],LocationsKey[Site Name], LocationsKey[Waterway])</f>
        <v>Stour</v>
      </c>
      <c r="K501" t="s">
        <v>544</v>
      </c>
      <c r="L501">
        <f>_xlfn.XLOOKUP(AllDataCorrected[[#This Row],[Site Name]],Tables!$B$12:$B$78, Tables!C$12:C$78)</f>
        <v>52.046517558823524</v>
      </c>
      <c r="M501">
        <f>_xlfn.XLOOKUP(AllDataCorrected[[#This Row],[Site Name]],Tables!$B$12:$B$78, Tables!D$12:D$78)</f>
        <v>-1.6734143529411767</v>
      </c>
      <c r="N501" t="s">
        <v>66</v>
      </c>
      <c r="O501">
        <v>551</v>
      </c>
      <c r="P501">
        <v>5.5</v>
      </c>
      <c r="Q501">
        <v>1</v>
      </c>
      <c r="R501"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01">
        <v>1.0900000000000001</v>
      </c>
      <c r="T5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1">
        <v>0.2</v>
      </c>
    </row>
    <row r="502" spans="1:22" x14ac:dyDescent="0.25">
      <c r="A502" t="s">
        <v>759</v>
      </c>
      <c r="B502" s="2">
        <v>45355</v>
      </c>
      <c r="C502" t="str" cm="1">
        <f t="array" ref="C5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2">
        <f>YEAR(AllDataCorrected[[#This Row],[Date]])</f>
        <v>2024</v>
      </c>
      <c r="E502" s="1">
        <v>0.38819444444444445</v>
      </c>
      <c r="F5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2" t="str">
        <f>_xlfn.XLOOKUP(AllDataCorrected[[#This Row],[Location Name]], Locations[Location Name],Locations[Group As])</f>
        <v>Stour Stretton-on-Fosse Sewage Works</v>
      </c>
      <c r="H502" t="e" vm="2">
        <f>_xlfn.XLOOKUP(AllDataCorrected[[#This Row],[Site Name]],LocationsKey[Site Name],LocationsKey[District])</f>
        <v>#VALUE!</v>
      </c>
      <c r="I502" t="e" vm="14">
        <f>_xlfn.XLOOKUP(AllDataCorrected[[#This Row],[Site Name]],LocationsKey[Site Name],LocationsKey[Town])</f>
        <v>#VALUE!</v>
      </c>
      <c r="J502" t="str">
        <f>_xlfn.XLOOKUP(AllDataCorrected[[#This Row],[Site Name]],LocationsKey[Site Name], LocationsKey[Waterway])</f>
        <v>Stour</v>
      </c>
      <c r="K502" t="s">
        <v>335</v>
      </c>
      <c r="L502">
        <f>_xlfn.XLOOKUP(AllDataCorrected[[#This Row],[Site Name]],Tables!$B$12:$B$78, Tables!C$12:C$78)</f>
        <v>52.045653647058806</v>
      </c>
      <c r="M502">
        <f>_xlfn.XLOOKUP(AllDataCorrected[[#This Row],[Site Name]],Tables!$B$12:$B$78, Tables!D$12:D$78)</f>
        <v>-1.6719221470588235</v>
      </c>
      <c r="N502" t="s">
        <v>29</v>
      </c>
      <c r="O502">
        <v>599</v>
      </c>
      <c r="P502">
        <v>5.0999999999999996</v>
      </c>
      <c r="Q502">
        <v>2</v>
      </c>
      <c r="R502" t="str">
        <f>IF(AllDataCorrected[[#This Row],[Nitrate (PPM)]]&gt;2, "4. Very high (&gt;2ppm)", IF(AllDataCorrected[[#This Row],[Nitrate (PPM)]]&gt;1, "3. High (1-2ppm)", IF(AllDataCorrected[[#This Row],[Nitrate (PPM)]]&gt;0.5, "2. Some evidence (0.5-1ppm)", IF(AllDataCorrected[[#This Row],[Nitrate (PPM)]]&gt;=0, "1. No evidence (&lt;0.5ppm)"))))</f>
        <v>3. High (1-2ppm)</v>
      </c>
      <c r="S502">
        <v>1.5</v>
      </c>
      <c r="T5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2">
        <v>0.3</v>
      </c>
    </row>
    <row r="503" spans="1:22" x14ac:dyDescent="0.25">
      <c r="A503" t="s">
        <v>760</v>
      </c>
      <c r="B503" s="2">
        <v>45355</v>
      </c>
      <c r="C503" t="str" cm="1">
        <f t="array" ref="C5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3">
        <f>YEAR(AllDataCorrected[[#This Row],[Date]])</f>
        <v>2024</v>
      </c>
      <c r="E503" s="1">
        <v>0.59375</v>
      </c>
      <c r="F5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3" t="str">
        <f>_xlfn.XLOOKUP(AllDataCorrected[[#This Row],[Location Name]], Locations[Location Name],Locations[Group As])</f>
        <v>Swiffen Bank</v>
      </c>
      <c r="H503" t="e" vm="2">
        <f>_xlfn.XLOOKUP(AllDataCorrected[[#This Row],[Site Name]],LocationsKey[Site Name],LocationsKey[District])</f>
        <v>#VALUE!</v>
      </c>
      <c r="I503" t="e" vm="13">
        <f>_xlfn.XLOOKUP(AllDataCorrected[[#This Row],[Site Name]],LocationsKey[Site Name],LocationsKey[Town])</f>
        <v>#VALUE!</v>
      </c>
      <c r="J503" t="str">
        <f>_xlfn.XLOOKUP(AllDataCorrected[[#This Row],[Site Name]],LocationsKey[Site Name], LocationsKey[Waterway])</f>
        <v>Avon</v>
      </c>
      <c r="K503" t="s">
        <v>284</v>
      </c>
      <c r="L503">
        <f>_xlfn.XLOOKUP(AllDataCorrected[[#This Row],[Site Name]],Tables!$B$12:$B$78, Tables!C$12:C$78)</f>
        <v>52.206446825000015</v>
      </c>
      <c r="M503">
        <f>_xlfn.XLOOKUP(AllDataCorrected[[#This Row],[Site Name]],Tables!$B$12:$B$78, Tables!D$12:D$78)</f>
        <v>-1.6541684000000003</v>
      </c>
      <c r="N503" t="s">
        <v>29</v>
      </c>
      <c r="O503">
        <v>568</v>
      </c>
      <c r="P503">
        <v>8.8000000000000007</v>
      </c>
      <c r="Q503">
        <v>5</v>
      </c>
      <c r="R503" t="str">
        <f>IF(AllDataCorrected[[#This Row],[Nitrate (PPM)]]&gt;2, "4. Very high (&gt;2ppm)", IF(AllDataCorrected[[#This Row],[Nitrate (PPM)]]&gt;1, "3. High (1-2ppm)", IF(AllDataCorrected[[#This Row],[Nitrate (PPM)]]&gt;0.5, "2. Some evidence (0.5-1ppm)", IF(AllDataCorrected[[#This Row],[Nitrate (PPM)]]&gt;=0, "1. No evidence (&lt;0.5ppm)"))))</f>
        <v>4. Very high (&gt;2ppm)</v>
      </c>
      <c r="S503">
        <v>0.32</v>
      </c>
      <c r="T5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3">
        <v>0.75</v>
      </c>
      <c r="V503" t="s">
        <v>761</v>
      </c>
    </row>
    <row r="504" spans="1:22" x14ac:dyDescent="0.25">
      <c r="A504" t="s">
        <v>762</v>
      </c>
      <c r="B504" s="2">
        <v>45355</v>
      </c>
      <c r="C504" t="str" cm="1">
        <f t="array" ref="C5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4">
        <f>YEAR(AllDataCorrected[[#This Row],[Date]])</f>
        <v>2024</v>
      </c>
      <c r="E504" s="1">
        <v>0.59513888888888888</v>
      </c>
      <c r="F5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4" t="str">
        <f>_xlfn.XLOOKUP(AllDataCorrected[[#This Row],[Location Name]], Locations[Location Name],Locations[Group As])</f>
        <v>Alveston Weir</v>
      </c>
      <c r="H504" t="e" vm="2">
        <f>_xlfn.XLOOKUP(AllDataCorrected[[#This Row],[Site Name]],LocationsKey[Site Name],LocationsKey[District])</f>
        <v>#VALUE!</v>
      </c>
      <c r="I504" t="e" vm="13">
        <f>_xlfn.XLOOKUP(AllDataCorrected[[#This Row],[Site Name]],LocationsKey[Site Name],LocationsKey[Town])</f>
        <v>#VALUE!</v>
      </c>
      <c r="J504" t="str">
        <f>_xlfn.XLOOKUP(AllDataCorrected[[#This Row],[Site Name]],LocationsKey[Site Name], LocationsKey[Waterway])</f>
        <v>Avon</v>
      </c>
      <c r="K504" t="s">
        <v>286</v>
      </c>
      <c r="L504">
        <f>_xlfn.XLOOKUP(AllDataCorrected[[#This Row],[Site Name]],Tables!$B$12:$B$78, Tables!C$12:C$78)</f>
        <v>52.212366690476216</v>
      </c>
      <c r="M504">
        <f>_xlfn.XLOOKUP(AllDataCorrected[[#This Row],[Site Name]],Tables!$B$12:$B$78, Tables!D$12:D$78)</f>
        <v>-1.6602567619047619</v>
      </c>
      <c r="N504" t="s">
        <v>29</v>
      </c>
      <c r="O504">
        <v>561</v>
      </c>
      <c r="P504">
        <v>8.8000000000000007</v>
      </c>
      <c r="Q504">
        <v>5</v>
      </c>
      <c r="R504" t="str">
        <f>IF(AllDataCorrected[[#This Row],[Nitrate (PPM)]]&gt;2, "4. Very high (&gt;2ppm)", IF(AllDataCorrected[[#This Row],[Nitrate (PPM)]]&gt;1, "3. High (1-2ppm)", IF(AllDataCorrected[[#This Row],[Nitrate (PPM)]]&gt;0.5, "2. Some evidence (0.5-1ppm)", IF(AllDataCorrected[[#This Row],[Nitrate (PPM)]]&gt;=0, "1. No evidence (&lt;0.5ppm)"))))</f>
        <v>4. Very high (&gt;2ppm)</v>
      </c>
      <c r="S504">
        <v>0.42</v>
      </c>
      <c r="T5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4">
        <v>0.75</v>
      </c>
    </row>
    <row r="505" spans="1:22" x14ac:dyDescent="0.25">
      <c r="A505" t="s">
        <v>763</v>
      </c>
      <c r="B505" s="2">
        <v>45356</v>
      </c>
      <c r="C505" t="str" cm="1">
        <f t="array" ref="C5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5">
        <f>YEAR(AllDataCorrected[[#This Row],[Date]])</f>
        <v>2024</v>
      </c>
      <c r="E505" s="1">
        <v>0.76736111111111116</v>
      </c>
      <c r="F50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505" t="str">
        <f>_xlfn.XLOOKUP(AllDataCorrected[[#This Row],[Location Name]], Locations[Location Name],Locations[Group As])</f>
        <v>Abbey Mill</v>
      </c>
      <c r="H505" t="e" vm="1">
        <f>_xlfn.XLOOKUP(AllDataCorrected[[#This Row],[Site Name]],LocationsKey[Site Name],LocationsKey[District])</f>
        <v>#VALUE!</v>
      </c>
      <c r="I505" t="e" vm="1">
        <f>_xlfn.XLOOKUP(AllDataCorrected[[#This Row],[Site Name]],LocationsKey[Site Name],LocationsKey[Town])</f>
        <v>#VALUE!</v>
      </c>
      <c r="J505" t="str">
        <f>_xlfn.XLOOKUP(AllDataCorrected[[#This Row],[Site Name]],LocationsKey[Site Name], LocationsKey[Waterway])</f>
        <v>Avon</v>
      </c>
      <c r="K505" t="s">
        <v>25</v>
      </c>
      <c r="L505">
        <f>_xlfn.XLOOKUP(AllDataCorrected[[#This Row],[Site Name]],Tables!$B$12:$B$78, Tables!C$12:C$78)</f>
        <v>51.991389555555564</v>
      </c>
      <c r="M505">
        <f>_xlfn.XLOOKUP(AllDataCorrected[[#This Row],[Site Name]],Tables!$B$12:$B$78, Tables!D$12:D$78)</f>
        <v>-2.1620794000000005</v>
      </c>
      <c r="N505" t="s">
        <v>23</v>
      </c>
      <c r="O505">
        <v>709</v>
      </c>
      <c r="P505">
        <v>8.4</v>
      </c>
      <c r="Q505">
        <v>5</v>
      </c>
      <c r="R505" t="str">
        <f>IF(AllDataCorrected[[#This Row],[Nitrate (PPM)]]&gt;2, "4. Very high (&gt;2ppm)", IF(AllDataCorrected[[#This Row],[Nitrate (PPM)]]&gt;1, "3. High (1-2ppm)", IF(AllDataCorrected[[#This Row],[Nitrate (PPM)]]&gt;0.5, "2. Some evidence (0.5-1ppm)", IF(AllDataCorrected[[#This Row],[Nitrate (PPM)]]&gt;=0, "1. No evidence (&lt;0.5ppm)"))))</f>
        <v>4. Very high (&gt;2ppm)</v>
      </c>
      <c r="S505">
        <v>0.5</v>
      </c>
      <c r="T5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5">
        <v>0.3</v>
      </c>
    </row>
    <row r="506" spans="1:22" x14ac:dyDescent="0.25">
      <c r="A506" t="s">
        <v>764</v>
      </c>
      <c r="B506" s="2">
        <v>45357</v>
      </c>
      <c r="C506" t="str" cm="1">
        <f t="array" ref="C5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6">
        <f>YEAR(AllDataCorrected[[#This Row],[Date]])</f>
        <v>2024</v>
      </c>
      <c r="E506" s="1">
        <v>0.68055555555555558</v>
      </c>
      <c r="F5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6" t="str">
        <f>_xlfn.XLOOKUP(AllDataCorrected[[#This Row],[Location Name]], Locations[Location Name],Locations[Group As])</f>
        <v>Stour Newbold Mill</v>
      </c>
      <c r="H506" t="e" vm="2">
        <f>_xlfn.XLOOKUP(AllDataCorrected[[#This Row],[Site Name]],LocationsKey[Site Name],LocationsKey[District])</f>
        <v>#VALUE!</v>
      </c>
      <c r="I506" t="e" vm="8">
        <f>_xlfn.XLOOKUP(AllDataCorrected[[#This Row],[Site Name]],LocationsKey[Site Name],LocationsKey[Town])</f>
        <v>#VALUE!</v>
      </c>
      <c r="J506" t="str">
        <f>_xlfn.XLOOKUP(AllDataCorrected[[#This Row],[Site Name]],LocationsKey[Site Name], LocationsKey[Waterway])</f>
        <v>Stour</v>
      </c>
      <c r="K506" t="s">
        <v>140</v>
      </c>
      <c r="L506">
        <f>_xlfn.XLOOKUP(AllDataCorrected[[#This Row],[Site Name]],Tables!$B$12:$B$78, Tables!C$12:C$78)</f>
        <v>52.113052370370362</v>
      </c>
      <c r="M506">
        <f>_xlfn.XLOOKUP(AllDataCorrected[[#This Row],[Site Name]],Tables!$B$12:$B$78, Tables!D$12:D$78)</f>
        <v>-1.6333685185185185</v>
      </c>
      <c r="N506" t="s">
        <v>29</v>
      </c>
      <c r="O506">
        <v>607</v>
      </c>
      <c r="P506">
        <v>10.199999999999999</v>
      </c>
      <c r="Q506">
        <v>2</v>
      </c>
      <c r="R506" t="str">
        <f>IF(AllDataCorrected[[#This Row],[Nitrate (PPM)]]&gt;2, "4. Very high (&gt;2ppm)", IF(AllDataCorrected[[#This Row],[Nitrate (PPM)]]&gt;1, "3. High (1-2ppm)", IF(AllDataCorrected[[#This Row],[Nitrate (PPM)]]&gt;0.5, "2. Some evidence (0.5-1ppm)", IF(AllDataCorrected[[#This Row],[Nitrate (PPM)]]&gt;=0, "1. No evidence (&lt;0.5ppm)"))))</f>
        <v>3. High (1-2ppm)</v>
      </c>
      <c r="S506">
        <v>0.27</v>
      </c>
      <c r="T5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6">
        <v>2.5</v>
      </c>
      <c r="V506" t="s">
        <v>765</v>
      </c>
    </row>
    <row r="507" spans="1:22" x14ac:dyDescent="0.25">
      <c r="A507" t="s">
        <v>766</v>
      </c>
      <c r="B507" s="2">
        <v>45358</v>
      </c>
      <c r="C507" t="str" cm="1">
        <f t="array" ref="C5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7">
        <f>YEAR(AllDataCorrected[[#This Row],[Date]])</f>
        <v>2024</v>
      </c>
      <c r="E507" s="1">
        <v>0.47847222222222224</v>
      </c>
      <c r="F5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7" t="str">
        <f>_xlfn.XLOOKUP(AllDataCorrected[[#This Row],[Location Name]], Locations[Location Name],Locations[Group As])</f>
        <v>Stour Willington</v>
      </c>
      <c r="H507" t="e" vm="2">
        <f>_xlfn.XLOOKUP(AllDataCorrected[[#This Row],[Site Name]],LocationsKey[Site Name],LocationsKey[District])</f>
        <v>#VALUE!</v>
      </c>
      <c r="I507" t="str">
        <f>_xlfn.XLOOKUP(AllDataCorrected[[#This Row],[Site Name]],LocationsKey[Site Name],LocationsKey[Town])</f>
        <v>Willington</v>
      </c>
      <c r="J507" t="str">
        <f>_xlfn.XLOOKUP(AllDataCorrected[[#This Row],[Site Name]],LocationsKey[Site Name], LocationsKey[Waterway])</f>
        <v>Stour</v>
      </c>
      <c r="K507" t="s">
        <v>517</v>
      </c>
      <c r="L507">
        <f>_xlfn.XLOOKUP(AllDataCorrected[[#This Row],[Site Name]],Tables!$B$12:$B$78, Tables!C$12:C$78)</f>
        <v>52.053154375000005</v>
      </c>
      <c r="M507">
        <f>_xlfn.XLOOKUP(AllDataCorrected[[#This Row],[Site Name]],Tables!$B$12:$B$78, Tables!D$12:D$78)</f>
        <v>-1.6191991562500001</v>
      </c>
      <c r="N507" t="s">
        <v>23</v>
      </c>
      <c r="O507">
        <v>590</v>
      </c>
      <c r="P507">
        <v>9</v>
      </c>
      <c r="Q507">
        <v>5</v>
      </c>
      <c r="R507" t="str">
        <f>IF(AllDataCorrected[[#This Row],[Nitrate (PPM)]]&gt;2, "4. Very high (&gt;2ppm)", IF(AllDataCorrected[[#This Row],[Nitrate (PPM)]]&gt;1, "3. High (1-2ppm)", IF(AllDataCorrected[[#This Row],[Nitrate (PPM)]]&gt;0.5, "2. Some evidence (0.5-1ppm)", IF(AllDataCorrected[[#This Row],[Nitrate (PPM)]]&gt;=0, "1. No evidence (&lt;0.5ppm)"))))</f>
        <v>4. Very high (&gt;2ppm)</v>
      </c>
      <c r="S507">
        <v>0.14000000000000001</v>
      </c>
      <c r="T5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7">
        <v>0.5</v>
      </c>
    </row>
    <row r="508" spans="1:22" x14ac:dyDescent="0.25">
      <c r="A508" t="s">
        <v>767</v>
      </c>
      <c r="B508" s="2">
        <v>45359</v>
      </c>
      <c r="C508" t="str" cm="1">
        <f t="array" ref="C5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8">
        <f>YEAR(AllDataCorrected[[#This Row],[Date]])</f>
        <v>2024</v>
      </c>
      <c r="E508" s="1">
        <v>0.36388888888888887</v>
      </c>
      <c r="F5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8" t="str">
        <f>_xlfn.XLOOKUP(AllDataCorrected[[#This Row],[Location Name]], Locations[Location Name],Locations[Group As])</f>
        <v>Mill Bridge Peopleton</v>
      </c>
      <c r="H508" t="e" vm="17">
        <f>_xlfn.XLOOKUP(AllDataCorrected[[#This Row],[Site Name]],LocationsKey[Site Name],LocationsKey[District])</f>
        <v>#VALUE!</v>
      </c>
      <c r="I508" t="str">
        <f>_xlfn.XLOOKUP(AllDataCorrected[[#This Row],[Site Name]],LocationsKey[Site Name],LocationsKey[Town])</f>
        <v>Peopleton</v>
      </c>
      <c r="J508" t="str">
        <f>_xlfn.XLOOKUP(AllDataCorrected[[#This Row],[Site Name]],LocationsKey[Site Name], LocationsKey[Waterway])</f>
        <v>Bow Brook</v>
      </c>
      <c r="K508" t="s">
        <v>768</v>
      </c>
      <c r="L508">
        <f>_xlfn.XLOOKUP(AllDataCorrected[[#This Row],[Site Name]],Tables!$B$12:$B$78, Tables!C$12:C$78)</f>
        <v>52.15202992857143</v>
      </c>
      <c r="M508">
        <f>_xlfn.XLOOKUP(AllDataCorrected[[#This Row],[Site Name]],Tables!$B$12:$B$78, Tables!D$12:D$78)</f>
        <v>-2.0954780000000004</v>
      </c>
      <c r="N508" t="s">
        <v>29</v>
      </c>
      <c r="O508">
        <v>975</v>
      </c>
      <c r="P508">
        <v>9.3000000000000007</v>
      </c>
      <c r="Q508">
        <v>5</v>
      </c>
      <c r="R508" t="str">
        <f>IF(AllDataCorrected[[#This Row],[Nitrate (PPM)]]&gt;2, "4. Very high (&gt;2ppm)", IF(AllDataCorrected[[#This Row],[Nitrate (PPM)]]&gt;1, "3. High (1-2ppm)", IF(AllDataCorrected[[#This Row],[Nitrate (PPM)]]&gt;0.5, "2. Some evidence (0.5-1ppm)", IF(AllDataCorrected[[#This Row],[Nitrate (PPM)]]&gt;=0, "1. No evidence (&lt;0.5ppm)"))))</f>
        <v>4. Very high (&gt;2ppm)</v>
      </c>
      <c r="S508">
        <v>0.8</v>
      </c>
      <c r="T5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8">
        <v>0.75</v>
      </c>
      <c r="V508" t="s">
        <v>769</v>
      </c>
    </row>
    <row r="509" spans="1:22" x14ac:dyDescent="0.25">
      <c r="A509" t="s">
        <v>770</v>
      </c>
      <c r="B509" s="2">
        <v>45359</v>
      </c>
      <c r="C509" t="str" cm="1">
        <f t="array" ref="C5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9">
        <f>YEAR(AllDataCorrected[[#This Row],[Date]])</f>
        <v>2024</v>
      </c>
      <c r="E509" s="1">
        <v>0.39930555555555558</v>
      </c>
      <c r="F5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9" t="str">
        <f>_xlfn.XLOOKUP(AllDataCorrected[[#This Row],[Location Name]], Locations[Location Name],Locations[Group As])</f>
        <v>The Ford, Langley</v>
      </c>
      <c r="H509" t="e" vm="2">
        <f>_xlfn.XLOOKUP(AllDataCorrected[[#This Row],[Site Name]],LocationsKey[Site Name],LocationsKey[District])</f>
        <v>#VALUE!</v>
      </c>
      <c r="I509" t="str">
        <f>_xlfn.XLOOKUP(AllDataCorrected[[#This Row],[Site Name]],LocationsKey[Site Name],LocationsKey[Town])</f>
        <v>Langley</v>
      </c>
      <c r="J509" t="str">
        <f>_xlfn.XLOOKUP(AllDataCorrected[[#This Row],[Site Name]],LocationsKey[Site Name], LocationsKey[Waterway])</f>
        <v>Langley Ford</v>
      </c>
      <c r="K509" t="s">
        <v>526</v>
      </c>
      <c r="L509">
        <f>_xlfn.XLOOKUP(AllDataCorrected[[#This Row],[Site Name]],Tables!$B$12:$B$78, Tables!C$12:C$78)</f>
        <v>52.261724821428579</v>
      </c>
      <c r="M509">
        <f>_xlfn.XLOOKUP(AllDataCorrected[[#This Row],[Site Name]],Tables!$B$12:$B$78, Tables!D$12:D$78)</f>
        <v>-1.719408857142857</v>
      </c>
      <c r="N509" t="s">
        <v>29</v>
      </c>
      <c r="O509">
        <v>661</v>
      </c>
      <c r="P509">
        <v>8</v>
      </c>
      <c r="Q509">
        <v>5</v>
      </c>
      <c r="R509" t="str">
        <f>IF(AllDataCorrected[[#This Row],[Nitrate (PPM)]]&gt;2, "4. Very high (&gt;2ppm)", IF(AllDataCorrected[[#This Row],[Nitrate (PPM)]]&gt;1, "3. High (1-2ppm)", IF(AllDataCorrected[[#This Row],[Nitrate (PPM)]]&gt;0.5, "2. Some evidence (0.5-1ppm)", IF(AllDataCorrected[[#This Row],[Nitrate (PPM)]]&gt;=0, "1. No evidence (&lt;0.5ppm)"))))</f>
        <v>4. Very high (&gt;2ppm)</v>
      </c>
      <c r="S509">
        <v>0.6</v>
      </c>
      <c r="T5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9">
        <v>0.25</v>
      </c>
      <c r="V509" t="s">
        <v>771</v>
      </c>
    </row>
    <row r="510" spans="1:22" x14ac:dyDescent="0.25">
      <c r="A510" t="s">
        <v>772</v>
      </c>
      <c r="B510" s="2">
        <v>45359</v>
      </c>
      <c r="C510" t="str" cm="1">
        <f t="array" ref="C5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0">
        <f>YEAR(AllDataCorrected[[#This Row],[Date]])</f>
        <v>2024</v>
      </c>
      <c r="E510" s="1">
        <v>0.57361111111111107</v>
      </c>
      <c r="F5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0" t="str">
        <f>_xlfn.XLOOKUP(AllDataCorrected[[#This Row],[Location Name]], Locations[Location Name],Locations[Group As])</f>
        <v>Preston-on-Stour River Bridge</v>
      </c>
      <c r="H510" t="e" vm="2">
        <f>_xlfn.XLOOKUP(AllDataCorrected[[#This Row],[Site Name]],LocationsKey[Site Name],LocationsKey[District])</f>
        <v>#VALUE!</v>
      </c>
      <c r="I510" t="e" vm="9">
        <f>_xlfn.XLOOKUP(AllDataCorrected[[#This Row],[Site Name]],LocationsKey[Site Name],LocationsKey[Town])</f>
        <v>#VALUE!</v>
      </c>
      <c r="J510" t="str">
        <f>_xlfn.XLOOKUP(AllDataCorrected[[#This Row],[Site Name]],LocationsKey[Site Name], LocationsKey[Waterway])</f>
        <v>Stour</v>
      </c>
      <c r="K510" t="s">
        <v>163</v>
      </c>
      <c r="L510">
        <f>_xlfn.XLOOKUP(AllDataCorrected[[#This Row],[Site Name]],Tables!$B$12:$B$78, Tables!C$12:C$78)</f>
        <v>52.146529500000007</v>
      </c>
      <c r="M510">
        <f>_xlfn.XLOOKUP(AllDataCorrected[[#This Row],[Site Name]],Tables!$B$12:$B$78, Tables!D$12:D$78)</f>
        <v>-1.6996899999999999</v>
      </c>
      <c r="N510" t="s">
        <v>29</v>
      </c>
      <c r="O510">
        <v>647</v>
      </c>
      <c r="P510">
        <v>8.4</v>
      </c>
      <c r="Q510">
        <v>7</v>
      </c>
      <c r="R510" t="str">
        <f>IF(AllDataCorrected[[#This Row],[Nitrate (PPM)]]&gt;2, "4. Very high (&gt;2ppm)", IF(AllDataCorrected[[#This Row],[Nitrate (PPM)]]&gt;1, "3. High (1-2ppm)", IF(AllDataCorrected[[#This Row],[Nitrate (PPM)]]&gt;0.5, "2. Some evidence (0.5-1ppm)", IF(AllDataCorrected[[#This Row],[Nitrate (PPM)]]&gt;=0, "1. No evidence (&lt;0.5ppm)"))))</f>
        <v>4. Very high (&gt;2ppm)</v>
      </c>
      <c r="S510">
        <v>0.22</v>
      </c>
      <c r="T5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0">
        <v>1.5</v>
      </c>
    </row>
    <row r="511" spans="1:22" x14ac:dyDescent="0.25">
      <c r="A511" t="s">
        <v>773</v>
      </c>
      <c r="B511" s="2">
        <v>45359</v>
      </c>
      <c r="C511" t="str" cm="1">
        <f t="array" ref="C5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1">
        <f>YEAR(AllDataCorrected[[#This Row],[Date]])</f>
        <v>2024</v>
      </c>
      <c r="E511" s="1">
        <v>0.66666666666666663</v>
      </c>
      <c r="F5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1" t="str">
        <f>_xlfn.XLOOKUP(AllDataCorrected[[#This Row],[Location Name]], Locations[Location Name],Locations[Group As])</f>
        <v>Preston Bagot Canal</v>
      </c>
      <c r="H511" t="e" vm="2">
        <f>_xlfn.XLOOKUP(AllDataCorrected[[#This Row],[Site Name]],LocationsKey[Site Name],LocationsKey[District])</f>
        <v>#VALUE!</v>
      </c>
      <c r="I511" t="e" vm="19">
        <f>_xlfn.XLOOKUP(AllDataCorrected[[#This Row],[Site Name]],LocationsKey[Site Name],LocationsKey[Town])</f>
        <v>#VALUE!</v>
      </c>
      <c r="J511" t="str">
        <f>_xlfn.XLOOKUP(AllDataCorrected[[#This Row],[Site Name]],LocationsKey[Site Name], LocationsKey[Waterway])</f>
        <v>Preston Bagot Canal</v>
      </c>
      <c r="K511" t="s">
        <v>615</v>
      </c>
      <c r="L511">
        <f>_xlfn.XLOOKUP(AllDataCorrected[[#This Row],[Site Name]],Tables!$B$12:$B$78, Tables!C$12:C$78)</f>
        <v>52.286540000000002</v>
      </c>
      <c r="M511">
        <f>_xlfn.XLOOKUP(AllDataCorrected[[#This Row],[Site Name]],Tables!$B$12:$B$78, Tables!D$12:D$78)</f>
        <v>-1.74576</v>
      </c>
      <c r="N511" t="s">
        <v>23</v>
      </c>
      <c r="O511">
        <v>338</v>
      </c>
      <c r="P511">
        <v>9.5</v>
      </c>
      <c r="Q511">
        <v>2.5</v>
      </c>
      <c r="R511" t="str">
        <f>IF(AllDataCorrected[[#This Row],[Nitrate (PPM)]]&gt;2, "4. Very high (&gt;2ppm)", IF(AllDataCorrected[[#This Row],[Nitrate (PPM)]]&gt;1, "3. High (1-2ppm)", IF(AllDataCorrected[[#This Row],[Nitrate (PPM)]]&gt;0.5, "2. Some evidence (0.5-1ppm)", IF(AllDataCorrected[[#This Row],[Nitrate (PPM)]]&gt;=0, "1. No evidence (&lt;0.5ppm)"))))</f>
        <v>4. Very high (&gt;2ppm)</v>
      </c>
      <c r="S511">
        <v>0.34</v>
      </c>
      <c r="T5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1">
        <v>0</v>
      </c>
    </row>
    <row r="512" spans="1:22" x14ac:dyDescent="0.25">
      <c r="A512" t="s">
        <v>774</v>
      </c>
      <c r="B512" s="2">
        <v>45359</v>
      </c>
      <c r="C512" t="str" cm="1">
        <f t="array" ref="C5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2">
        <f>YEAR(AllDataCorrected[[#This Row],[Date]])</f>
        <v>2024</v>
      </c>
      <c r="E512" s="1">
        <v>0.67708333333333337</v>
      </c>
      <c r="F5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2" t="str">
        <f>_xlfn.XLOOKUP(AllDataCorrected[[#This Row],[Location Name]], Locations[Location Name],Locations[Group As])</f>
        <v>Preston Bagot Brook</v>
      </c>
      <c r="H512" t="e" vm="2">
        <f>_xlfn.XLOOKUP(AllDataCorrected[[#This Row],[Site Name]],LocationsKey[Site Name],LocationsKey[District])</f>
        <v>#VALUE!</v>
      </c>
      <c r="I512" t="e" vm="19">
        <f>_xlfn.XLOOKUP(AllDataCorrected[[#This Row],[Site Name]],LocationsKey[Site Name],LocationsKey[Town])</f>
        <v>#VALUE!</v>
      </c>
      <c r="J512" t="str">
        <f>_xlfn.XLOOKUP(AllDataCorrected[[#This Row],[Site Name]],LocationsKey[Site Name], LocationsKey[Waterway])</f>
        <v>Preston Bagot Brook</v>
      </c>
      <c r="K512" t="s">
        <v>618</v>
      </c>
      <c r="L512">
        <f>_xlfn.XLOOKUP(AllDataCorrected[[#This Row],[Site Name]],Tables!$B$12:$B$78, Tables!C$12:C$78)</f>
        <v>52.286200000000001</v>
      </c>
      <c r="M512">
        <f>_xlfn.XLOOKUP(AllDataCorrected[[#This Row],[Site Name]],Tables!$B$12:$B$78, Tables!D$12:D$78)</f>
        <v>-1.7478</v>
      </c>
      <c r="N512" t="s">
        <v>23</v>
      </c>
      <c r="O512">
        <v>745</v>
      </c>
      <c r="P512">
        <v>10.1</v>
      </c>
      <c r="Q512">
        <v>2.5</v>
      </c>
      <c r="R512" t="str">
        <f>IF(AllDataCorrected[[#This Row],[Nitrate (PPM)]]&gt;2, "4. Very high (&gt;2ppm)", IF(AllDataCorrected[[#This Row],[Nitrate (PPM)]]&gt;1, "3. High (1-2ppm)", IF(AllDataCorrected[[#This Row],[Nitrate (PPM)]]&gt;0.5, "2. Some evidence (0.5-1ppm)", IF(AllDataCorrected[[#This Row],[Nitrate (PPM)]]&gt;=0, "1. No evidence (&lt;0.5ppm)"))))</f>
        <v>4. Very high (&gt;2ppm)</v>
      </c>
      <c r="S512">
        <v>0.57999999999999996</v>
      </c>
      <c r="T5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2">
        <v>0</v>
      </c>
    </row>
    <row r="513" spans="1:22" x14ac:dyDescent="0.25">
      <c r="A513" t="s">
        <v>775</v>
      </c>
      <c r="B513" s="2">
        <v>45359</v>
      </c>
      <c r="C513" t="str" cm="1">
        <f t="array" ref="C5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3">
        <f>YEAR(AllDataCorrected[[#This Row],[Date]])</f>
        <v>2024</v>
      </c>
      <c r="E513" s="1">
        <v>0.67986111111111114</v>
      </c>
      <c r="F5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3" t="str">
        <f>_xlfn.XLOOKUP(AllDataCorrected[[#This Row],[Location Name]], Locations[Location Name],Locations[Group As])</f>
        <v>Walcot Lane, Bow Brook Ford</v>
      </c>
      <c r="H513" t="e" vm="17">
        <f>_xlfn.XLOOKUP(AllDataCorrected[[#This Row],[Site Name]],LocationsKey[Site Name],LocationsKey[District])</f>
        <v>#VALUE!</v>
      </c>
      <c r="I513" t="e" vm="18">
        <f>_xlfn.XLOOKUP(AllDataCorrected[[#This Row],[Site Name]],LocationsKey[Site Name],LocationsKey[Town])</f>
        <v>#VALUE!</v>
      </c>
      <c r="J513" t="str">
        <f>_xlfn.XLOOKUP(AllDataCorrected[[#This Row],[Site Name]],LocationsKey[Site Name], LocationsKey[Waterway])</f>
        <v>Bow Brook</v>
      </c>
      <c r="K513" t="s">
        <v>732</v>
      </c>
      <c r="L513">
        <f>_xlfn.XLOOKUP(AllDataCorrected[[#This Row],[Site Name]],Tables!$B$12:$B$78, Tables!C$12:C$78)</f>
        <v>52.130499999999998</v>
      </c>
      <c r="M513">
        <f>_xlfn.XLOOKUP(AllDataCorrected[[#This Row],[Site Name]],Tables!$B$12:$B$78, Tables!D$12:D$78)</f>
        <v>-2.0787</v>
      </c>
      <c r="N513" t="s">
        <v>776</v>
      </c>
      <c r="O513">
        <v>848</v>
      </c>
      <c r="P513">
        <v>8.8000000000000007</v>
      </c>
      <c r="Q513">
        <v>5</v>
      </c>
      <c r="R513" t="str">
        <f>IF(AllDataCorrected[[#This Row],[Nitrate (PPM)]]&gt;2, "4. Very high (&gt;2ppm)", IF(AllDataCorrected[[#This Row],[Nitrate (PPM)]]&gt;1, "3. High (1-2ppm)", IF(AllDataCorrected[[#This Row],[Nitrate (PPM)]]&gt;0.5, "2. Some evidence (0.5-1ppm)", IF(AllDataCorrected[[#This Row],[Nitrate (PPM)]]&gt;=0, "1. No evidence (&lt;0.5ppm)"))))</f>
        <v>4. Very high (&gt;2ppm)</v>
      </c>
      <c r="S513">
        <v>0.77</v>
      </c>
      <c r="T5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3">
        <v>0.4</v>
      </c>
      <c r="V513" t="s">
        <v>777</v>
      </c>
    </row>
    <row r="514" spans="1:22" x14ac:dyDescent="0.25">
      <c r="A514" t="s">
        <v>778</v>
      </c>
      <c r="B514" s="2">
        <v>45360</v>
      </c>
      <c r="C514" t="str" cm="1">
        <f t="array" ref="C5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4">
        <f>YEAR(AllDataCorrected[[#This Row],[Date]])</f>
        <v>2024</v>
      </c>
      <c r="E514" s="1">
        <v>0.37569444444444444</v>
      </c>
      <c r="F5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14" t="str">
        <f>_xlfn.XLOOKUP(AllDataCorrected[[#This Row],[Location Name]], Locations[Location Name],Locations[Group As])</f>
        <v>Swilgate</v>
      </c>
      <c r="H514" t="e" vm="1">
        <f>_xlfn.XLOOKUP(AllDataCorrected[[#This Row],[Site Name]],LocationsKey[Site Name],LocationsKey[District])</f>
        <v>#VALUE!</v>
      </c>
      <c r="I514" t="e" vm="1">
        <f>_xlfn.XLOOKUP(AllDataCorrected[[#This Row],[Site Name]],LocationsKey[Site Name],LocationsKey[Town])</f>
        <v>#VALUE!</v>
      </c>
      <c r="J514" t="str">
        <f>_xlfn.XLOOKUP(AllDataCorrected[[#This Row],[Site Name]],LocationsKey[Site Name], LocationsKey[Waterway])</f>
        <v>Swilgate</v>
      </c>
      <c r="K514" t="s">
        <v>480</v>
      </c>
      <c r="L514">
        <f>_xlfn.XLOOKUP(AllDataCorrected[[#This Row],[Site Name]],Tables!$B$12:$B$78, Tables!C$12:C$78)</f>
        <v>51.9885442</v>
      </c>
      <c r="M514">
        <f>_xlfn.XLOOKUP(AllDataCorrected[[#This Row],[Site Name]],Tables!$B$12:$B$78, Tables!D$12:D$78)</f>
        <v>-2.1639010000000001</v>
      </c>
      <c r="N514" t="s">
        <v>23</v>
      </c>
      <c r="O514">
        <v>861</v>
      </c>
      <c r="P514">
        <v>9.5</v>
      </c>
      <c r="Q514">
        <v>7</v>
      </c>
      <c r="R514" t="str">
        <f>IF(AllDataCorrected[[#This Row],[Nitrate (PPM)]]&gt;2, "4. Very high (&gt;2ppm)", IF(AllDataCorrected[[#This Row],[Nitrate (PPM)]]&gt;1, "3. High (1-2ppm)", IF(AllDataCorrected[[#This Row],[Nitrate (PPM)]]&gt;0.5, "2. Some evidence (0.5-1ppm)", IF(AllDataCorrected[[#This Row],[Nitrate (PPM)]]&gt;=0, "1. No evidence (&lt;0.5ppm)"))))</f>
        <v>4. Very high (&gt;2ppm)</v>
      </c>
      <c r="S514">
        <v>0.6</v>
      </c>
      <c r="T5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4">
        <v>0</v>
      </c>
    </row>
    <row r="515" spans="1:22" x14ac:dyDescent="0.25">
      <c r="A515" t="s">
        <v>779</v>
      </c>
      <c r="B515" s="2">
        <v>45360</v>
      </c>
      <c r="C515" t="str" cm="1">
        <f t="array" ref="C5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5">
        <f>YEAR(AllDataCorrected[[#This Row],[Date]])</f>
        <v>2024</v>
      </c>
      <c r="E515" s="1">
        <v>0.5</v>
      </c>
      <c r="F5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5" t="str">
        <f>_xlfn.XLOOKUP(AllDataCorrected[[#This Row],[Location Name]], Locations[Location Name],Locations[Group As])</f>
        <v>Carrant Bredon Rd</v>
      </c>
      <c r="H515" t="e" vm="1">
        <f>_xlfn.XLOOKUP(AllDataCorrected[[#This Row],[Site Name]],LocationsKey[Site Name],LocationsKey[District])</f>
        <v>#VALUE!</v>
      </c>
      <c r="I515" t="e" vm="1">
        <f>_xlfn.XLOOKUP(AllDataCorrected[[#This Row],[Site Name]],LocationsKey[Site Name],LocationsKey[Town])</f>
        <v>#VALUE!</v>
      </c>
      <c r="J515" t="str">
        <f>_xlfn.XLOOKUP(AllDataCorrected[[#This Row],[Site Name]],LocationsKey[Site Name], LocationsKey[Waterway])</f>
        <v>Carrant</v>
      </c>
      <c r="K515" t="s">
        <v>600</v>
      </c>
      <c r="L515">
        <f>_xlfn.XLOOKUP(AllDataCorrected[[#This Row],[Site Name]],Tables!$B$12:$B$78, Tables!C$12:C$78)</f>
        <v>51.996416567567572</v>
      </c>
      <c r="M515">
        <f>_xlfn.XLOOKUP(AllDataCorrected[[#This Row],[Site Name]],Tables!$B$12:$B$78, Tables!D$12:D$78)</f>
        <v>-2.1556626756756749</v>
      </c>
      <c r="N515" t="s">
        <v>23</v>
      </c>
      <c r="O515">
        <v>736</v>
      </c>
      <c r="P515">
        <v>9.6</v>
      </c>
      <c r="Q515">
        <v>7</v>
      </c>
      <c r="R515" t="str">
        <f>IF(AllDataCorrected[[#This Row],[Nitrate (PPM)]]&gt;2, "4. Very high (&gt;2ppm)", IF(AllDataCorrected[[#This Row],[Nitrate (PPM)]]&gt;1, "3. High (1-2ppm)", IF(AllDataCorrected[[#This Row],[Nitrate (PPM)]]&gt;0.5, "2. Some evidence (0.5-1ppm)", IF(AllDataCorrected[[#This Row],[Nitrate (PPM)]]&gt;=0, "1. No evidence (&lt;0.5ppm)"))))</f>
        <v>4. Very high (&gt;2ppm)</v>
      </c>
      <c r="S515">
        <v>0.28000000000000003</v>
      </c>
      <c r="T5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5">
        <v>7.4999999999999997E-2</v>
      </c>
      <c r="V515" t="s">
        <v>780</v>
      </c>
    </row>
    <row r="516" spans="1:22" x14ac:dyDescent="0.25">
      <c r="A516" t="s">
        <v>781</v>
      </c>
      <c r="B516" s="2">
        <v>45360</v>
      </c>
      <c r="C516" t="str" cm="1">
        <f t="array" ref="C5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6">
        <f>YEAR(AllDataCorrected[[#This Row],[Date]])</f>
        <v>2024</v>
      </c>
      <c r="E516" s="1">
        <v>0.51597222222222228</v>
      </c>
      <c r="F5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6" t="str">
        <f>_xlfn.XLOOKUP(AllDataCorrected[[#This Row],[Location Name]], Locations[Location Name],Locations[Group As])</f>
        <v>Piddle Brook Wyre Piddle Bridge</v>
      </c>
      <c r="H516" t="e" vm="17">
        <f>_xlfn.XLOOKUP(AllDataCorrected[[#This Row],[Site Name]],LocationsKey[Site Name],LocationsKey[District])</f>
        <v>#VALUE!</v>
      </c>
      <c r="I516" t="e" vm="20">
        <f>_xlfn.XLOOKUP(AllDataCorrected[[#This Row],[Site Name]],LocationsKey[Site Name],LocationsKey[Town])</f>
        <v>#VALUE!</v>
      </c>
      <c r="J516" t="str">
        <f>_xlfn.XLOOKUP(AllDataCorrected[[#This Row],[Site Name]],LocationsKey[Site Name], LocationsKey[Waterway])</f>
        <v>Piddle Brook</v>
      </c>
      <c r="K516" t="s">
        <v>744</v>
      </c>
      <c r="L516">
        <f>_xlfn.XLOOKUP(AllDataCorrected[[#This Row],[Site Name]],Tables!$B$12:$B$78, Tables!C$12:C$78)</f>
        <v>52.126401720000004</v>
      </c>
      <c r="M516">
        <f>_xlfn.XLOOKUP(AllDataCorrected[[#This Row],[Site Name]],Tables!$B$12:$B$78, Tables!D$12:D$78)</f>
        <v>-2.0565162000000003</v>
      </c>
      <c r="N516" t="s">
        <v>23</v>
      </c>
      <c r="O516">
        <v>1060</v>
      </c>
      <c r="P516">
        <v>8.6</v>
      </c>
      <c r="Q516">
        <v>5</v>
      </c>
      <c r="R516" t="str">
        <f>IF(AllDataCorrected[[#This Row],[Nitrate (PPM)]]&gt;2, "4. Very high (&gt;2ppm)", IF(AllDataCorrected[[#This Row],[Nitrate (PPM)]]&gt;1, "3. High (1-2ppm)", IF(AllDataCorrected[[#This Row],[Nitrate (PPM)]]&gt;0.5, "2. Some evidence (0.5-1ppm)", IF(AllDataCorrected[[#This Row],[Nitrate (PPM)]]&gt;=0, "1. No evidence (&lt;0.5ppm)"))))</f>
        <v>4. Very high (&gt;2ppm)</v>
      </c>
      <c r="S516">
        <v>0.51</v>
      </c>
      <c r="T5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6">
        <v>0.28999999999999998</v>
      </c>
      <c r="V516" t="s">
        <v>782</v>
      </c>
    </row>
    <row r="517" spans="1:22" x14ac:dyDescent="0.25">
      <c r="A517" t="s">
        <v>783</v>
      </c>
      <c r="B517" s="2">
        <v>45360</v>
      </c>
      <c r="C517" t="str" cm="1">
        <f t="array" ref="C5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7">
        <f>YEAR(AllDataCorrected[[#This Row],[Date]])</f>
        <v>2024</v>
      </c>
      <c r="E517" s="1">
        <v>0.5444444444444444</v>
      </c>
      <c r="F5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7" t="str">
        <f>_xlfn.XLOOKUP(AllDataCorrected[[#This Row],[Location Name]], Locations[Location Name],Locations[Group As])</f>
        <v>Avon Smiths Meadow Wyre Piddle</v>
      </c>
      <c r="H517" t="e" vm="17">
        <f>_xlfn.XLOOKUP(AllDataCorrected[[#This Row],[Site Name]],LocationsKey[Site Name],LocationsKey[District])</f>
        <v>#VALUE!</v>
      </c>
      <c r="I517" t="e" vm="20">
        <f>_xlfn.XLOOKUP(AllDataCorrected[[#This Row],[Site Name]],LocationsKey[Site Name],LocationsKey[Town])</f>
        <v>#VALUE!</v>
      </c>
      <c r="J517" t="str">
        <f>_xlfn.XLOOKUP(AllDataCorrected[[#This Row],[Site Name]],LocationsKey[Site Name], LocationsKey[Waterway])</f>
        <v>Avon</v>
      </c>
      <c r="K517" t="s">
        <v>741</v>
      </c>
      <c r="L517">
        <f>_xlfn.XLOOKUP(AllDataCorrected[[#This Row],[Site Name]],Tables!$B$12:$B$78, Tables!C$12:C$78)</f>
        <v>52.123045961538452</v>
      </c>
      <c r="M517">
        <f>_xlfn.XLOOKUP(AllDataCorrected[[#This Row],[Site Name]],Tables!$B$12:$B$78, Tables!D$12:D$78)</f>
        <v>-2.0572161923076919</v>
      </c>
      <c r="N517" t="s">
        <v>23</v>
      </c>
      <c r="O517">
        <v>313</v>
      </c>
      <c r="P517">
        <v>9.4</v>
      </c>
      <c r="Q517">
        <v>10</v>
      </c>
      <c r="R517" t="str">
        <f>IF(AllDataCorrected[[#This Row],[Nitrate (PPM)]]&gt;2, "4. Very high (&gt;2ppm)", IF(AllDataCorrected[[#This Row],[Nitrate (PPM)]]&gt;1, "3. High (1-2ppm)", IF(AllDataCorrected[[#This Row],[Nitrate (PPM)]]&gt;0.5, "2. Some evidence (0.5-1ppm)", IF(AllDataCorrected[[#This Row],[Nitrate (PPM)]]&gt;=0, "1. No evidence (&lt;0.5ppm)"))))</f>
        <v>4. Very high (&gt;2ppm)</v>
      </c>
      <c r="S517">
        <v>0.56999999999999995</v>
      </c>
      <c r="T5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7">
        <v>0.78</v>
      </c>
      <c r="V517" t="s">
        <v>784</v>
      </c>
    </row>
    <row r="518" spans="1:22" x14ac:dyDescent="0.25">
      <c r="A518" t="s">
        <v>785</v>
      </c>
      <c r="B518" s="2">
        <v>45360</v>
      </c>
      <c r="C518" t="str" cm="1">
        <f t="array" ref="C5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8">
        <f>YEAR(AllDataCorrected[[#This Row],[Date]])</f>
        <v>2024</v>
      </c>
      <c r="E518" s="1">
        <v>0.65902777777777777</v>
      </c>
      <c r="F5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8" t="str">
        <f>_xlfn.XLOOKUP(AllDataCorrected[[#This Row],[Location Name]], Locations[Location Name],Locations[Group As])</f>
        <v>Black Bear</v>
      </c>
      <c r="H518" t="e" vm="1">
        <f>_xlfn.XLOOKUP(AllDataCorrected[[#This Row],[Site Name]],LocationsKey[Site Name],LocationsKey[District])</f>
        <v>#VALUE!</v>
      </c>
      <c r="I518" t="e" vm="1">
        <f>_xlfn.XLOOKUP(AllDataCorrected[[#This Row],[Site Name]],LocationsKey[Site Name],LocationsKey[Town])</f>
        <v>#VALUE!</v>
      </c>
      <c r="J518" t="str">
        <f>_xlfn.XLOOKUP(AllDataCorrected[[#This Row],[Site Name]],LocationsKey[Site Name], LocationsKey[Waterway])</f>
        <v>Avon</v>
      </c>
      <c r="K518" t="s">
        <v>567</v>
      </c>
      <c r="L518">
        <f>_xlfn.XLOOKUP(AllDataCorrected[[#This Row],[Site Name]],Tables!$B$12:$B$78, Tables!C$12:C$78)</f>
        <v>51.997435214285723</v>
      </c>
      <c r="M518">
        <f>_xlfn.XLOOKUP(AllDataCorrected[[#This Row],[Site Name]],Tables!$B$12:$B$78, Tables!D$12:D$78)</f>
        <v>-2.1562056785714288</v>
      </c>
      <c r="N518" t="s">
        <v>23</v>
      </c>
      <c r="O518">
        <v>780</v>
      </c>
      <c r="P518">
        <v>9.8000000000000007</v>
      </c>
      <c r="Q518">
        <v>5</v>
      </c>
      <c r="R518" t="str">
        <f>IF(AllDataCorrected[[#This Row],[Nitrate (PPM)]]&gt;2, "4. Very high (&gt;2ppm)", IF(AllDataCorrected[[#This Row],[Nitrate (PPM)]]&gt;1, "3. High (1-2ppm)", IF(AllDataCorrected[[#This Row],[Nitrate (PPM)]]&gt;0.5, "2. Some evidence (0.5-1ppm)", IF(AllDataCorrected[[#This Row],[Nitrate (PPM)]]&gt;=0, "1. No evidence (&lt;0.5ppm)"))))</f>
        <v>4. Very high (&gt;2ppm)</v>
      </c>
      <c r="S518">
        <v>0.48</v>
      </c>
      <c r="T5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8">
        <v>0</v>
      </c>
    </row>
    <row r="519" spans="1:22" x14ac:dyDescent="0.25">
      <c r="A519" t="s">
        <v>1780</v>
      </c>
      <c r="B519" s="2">
        <v>45360</v>
      </c>
      <c r="C519" t="str" cm="1">
        <f t="array" ref="C5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9">
        <f>YEAR(AllDataCorrected[[#This Row],[Date]])</f>
        <v>2024</v>
      </c>
      <c r="F5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19" t="str">
        <f>_xlfn.XLOOKUP(AllDataCorrected[[#This Row],[Location Name]], Locations[Location Name],Locations[Group As])</f>
        <v>Site 1  :  Middle Street</v>
      </c>
      <c r="H519" t="e" vm="2">
        <f>_xlfn.XLOOKUP(AllDataCorrected[[#This Row],[Site Name]],LocationsKey[Site Name],LocationsKey[District])</f>
        <v>#VALUE!</v>
      </c>
      <c r="I519" t="e" vm="11">
        <f>_xlfn.XLOOKUP(AllDataCorrected[[#This Row],[Site Name]],LocationsKey[Site Name],LocationsKey[Town])</f>
        <v>#VALUE!</v>
      </c>
      <c r="J519" t="str">
        <f>_xlfn.XLOOKUP(AllDataCorrected[[#This Row],[Site Name]],LocationsKey[Site Name], LocationsKey[Waterway])</f>
        <v>Fosseway Brook</v>
      </c>
      <c r="K519" t="s">
        <v>1859</v>
      </c>
      <c r="L519">
        <f>_xlfn.XLOOKUP(AllDataCorrected[[#This Row],[Site Name]],Tables!$B$12:$B$78, Tables!C$12:C$78)</f>
        <v>52.090077380952394</v>
      </c>
      <c r="M519">
        <f>_xlfn.XLOOKUP(AllDataCorrected[[#This Row],[Site Name]],Tables!$B$12:$B$78, Tables!D$12:D$78)</f>
        <v>-1.6926051666666673</v>
      </c>
      <c r="N519" t="s">
        <v>66</v>
      </c>
      <c r="O519">
        <v>548</v>
      </c>
      <c r="P519">
        <v>11.3</v>
      </c>
      <c r="Q519">
        <v>2</v>
      </c>
      <c r="R519" t="str">
        <f>IF(AllDataCorrected[[#This Row],[Nitrate (PPM)]]&gt;2, "4. Very high (&gt;2ppm)", IF(AllDataCorrected[[#This Row],[Nitrate (PPM)]]&gt;1, "3. High (1-2ppm)", IF(AllDataCorrected[[#This Row],[Nitrate (PPM)]]&gt;0.5, "2. Some evidence (0.5-1ppm)", IF(AllDataCorrected[[#This Row],[Nitrate (PPM)]]&gt;=0, "1. No evidence (&lt;0.5ppm)"))))</f>
        <v>3. High (1-2ppm)</v>
      </c>
      <c r="S519">
        <v>0</v>
      </c>
      <c r="T519"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519">
        <v>0</v>
      </c>
      <c r="V519" t="s">
        <v>1909</v>
      </c>
    </row>
    <row r="520" spans="1:22" x14ac:dyDescent="0.25">
      <c r="A520" t="s">
        <v>1413</v>
      </c>
      <c r="B520" s="2">
        <v>45360</v>
      </c>
      <c r="C520" t="str" cm="1">
        <f t="array" ref="C5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0">
        <f>YEAR(AllDataCorrected[[#This Row],[Date]])</f>
        <v>2024</v>
      </c>
      <c r="F5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0" t="str">
        <f>_xlfn.XLOOKUP(AllDataCorrected[[#This Row],[Location Name]], Locations[Location Name],Locations[Group As])</f>
        <v>Site 1  :  Middle Street</v>
      </c>
      <c r="H520" t="e" vm="2">
        <f>_xlfn.XLOOKUP(AllDataCorrected[[#This Row],[Site Name]],LocationsKey[Site Name],LocationsKey[District])</f>
        <v>#VALUE!</v>
      </c>
      <c r="I520" t="e" vm="11">
        <f>_xlfn.XLOOKUP(AllDataCorrected[[#This Row],[Site Name]],LocationsKey[Site Name],LocationsKey[Town])</f>
        <v>#VALUE!</v>
      </c>
      <c r="J520" t="str">
        <f>_xlfn.XLOOKUP(AllDataCorrected[[#This Row],[Site Name]],LocationsKey[Site Name], LocationsKey[Waterway])</f>
        <v>Fosseway Brook</v>
      </c>
      <c r="K520" t="s">
        <v>1373</v>
      </c>
      <c r="L520">
        <f>_xlfn.XLOOKUP(AllDataCorrected[[#This Row],[Site Name]],Tables!$B$12:$B$78, Tables!C$12:C$78)</f>
        <v>52.090077380952394</v>
      </c>
      <c r="M520">
        <f>_xlfn.XLOOKUP(AllDataCorrected[[#This Row],[Site Name]],Tables!$B$12:$B$78, Tables!D$12:D$78)</f>
        <v>-1.6926051666666673</v>
      </c>
      <c r="N520" t="s">
        <v>66</v>
      </c>
      <c r="O520">
        <v>548</v>
      </c>
      <c r="P520">
        <v>11.3</v>
      </c>
      <c r="Q520">
        <v>2</v>
      </c>
      <c r="R520" t="str">
        <f>IF(AllDataCorrected[[#This Row],[Nitrate (PPM)]]&gt;2, "4. Very high (&gt;2ppm)", IF(AllDataCorrected[[#This Row],[Nitrate (PPM)]]&gt;1, "3. High (1-2ppm)", IF(AllDataCorrected[[#This Row],[Nitrate (PPM)]]&gt;0.5, "2. Some evidence (0.5-1ppm)", IF(AllDataCorrected[[#This Row],[Nitrate (PPM)]]&gt;=0, "1. No evidence (&lt;0.5ppm)"))))</f>
        <v>3. High (1-2ppm)</v>
      </c>
      <c r="S520">
        <v>0</v>
      </c>
      <c r="T520"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row>
    <row r="521" spans="1:22" x14ac:dyDescent="0.25">
      <c r="A521" t="s">
        <v>1783</v>
      </c>
      <c r="B521" s="2">
        <v>45360</v>
      </c>
      <c r="C521" t="str" cm="1">
        <f t="array" ref="C5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1">
        <f>YEAR(AllDataCorrected[[#This Row],[Date]])</f>
        <v>2024</v>
      </c>
      <c r="F52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1" t="str">
        <f>_xlfn.XLOOKUP(AllDataCorrected[[#This Row],[Location Name]], Locations[Location Name],Locations[Group As])</f>
        <v>Site 2  :  Cross Leys culvert</v>
      </c>
      <c r="H521" t="e" vm="2">
        <f>_xlfn.XLOOKUP(AllDataCorrected[[#This Row],[Site Name]],LocationsKey[Site Name],LocationsKey[District])</f>
        <v>#VALUE!</v>
      </c>
      <c r="I521" t="e" vm="11">
        <f>_xlfn.XLOOKUP(AllDataCorrected[[#This Row],[Site Name]],LocationsKey[Site Name],LocationsKey[Town])</f>
        <v>#VALUE!</v>
      </c>
      <c r="J521" t="str">
        <f>_xlfn.XLOOKUP(AllDataCorrected[[#This Row],[Site Name]],LocationsKey[Site Name], LocationsKey[Waterway])</f>
        <v>Fosseway Brook</v>
      </c>
      <c r="K521" t="s">
        <v>1860</v>
      </c>
      <c r="L521">
        <f>_xlfn.XLOOKUP(AllDataCorrected[[#This Row],[Site Name]],Tables!$B$12:$B$78, Tables!C$12:C$78)</f>
        <v>52.092990199999988</v>
      </c>
      <c r="M521">
        <f>_xlfn.XLOOKUP(AllDataCorrected[[#This Row],[Site Name]],Tables!$B$12:$B$78, Tables!D$12:D$78)</f>
        <v>-1.6862810999999998</v>
      </c>
      <c r="N521" t="s">
        <v>66</v>
      </c>
      <c r="O521">
        <v>600</v>
      </c>
      <c r="P521">
        <v>9.6999999999999993</v>
      </c>
      <c r="Q521">
        <v>2</v>
      </c>
      <c r="R521" t="str">
        <f>IF(AllDataCorrected[[#This Row],[Nitrate (PPM)]]&gt;2, "4. Very high (&gt;2ppm)", IF(AllDataCorrected[[#This Row],[Nitrate (PPM)]]&gt;1, "3. High (1-2ppm)", IF(AllDataCorrected[[#This Row],[Nitrate (PPM)]]&gt;0.5, "2. Some evidence (0.5-1ppm)", IF(AllDataCorrected[[#This Row],[Nitrate (PPM)]]&gt;=0, "1. No evidence (&lt;0.5ppm)"))))</f>
        <v>3. High (1-2ppm)</v>
      </c>
      <c r="S521">
        <v>0.17</v>
      </c>
      <c r="T5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1">
        <v>0</v>
      </c>
      <c r="V521" t="s">
        <v>1909</v>
      </c>
    </row>
    <row r="522" spans="1:22" x14ac:dyDescent="0.25">
      <c r="A522" t="s">
        <v>1409</v>
      </c>
      <c r="B522" s="2">
        <v>45360</v>
      </c>
      <c r="C522" t="str" cm="1">
        <f t="array" ref="C5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2">
        <f>YEAR(AllDataCorrected[[#This Row],[Date]])</f>
        <v>2024</v>
      </c>
      <c r="F52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2" t="str">
        <f>_xlfn.XLOOKUP(AllDataCorrected[[#This Row],[Location Name]], Locations[Location Name],Locations[Group As])</f>
        <v>Site 2  :  Cross Leys culvert</v>
      </c>
      <c r="H522" t="e" vm="2">
        <f>_xlfn.XLOOKUP(AllDataCorrected[[#This Row],[Site Name]],LocationsKey[Site Name],LocationsKey[District])</f>
        <v>#VALUE!</v>
      </c>
      <c r="I522" t="e" vm="11">
        <f>_xlfn.XLOOKUP(AllDataCorrected[[#This Row],[Site Name]],LocationsKey[Site Name],LocationsKey[Town])</f>
        <v>#VALUE!</v>
      </c>
      <c r="J522" t="str">
        <f>_xlfn.XLOOKUP(AllDataCorrected[[#This Row],[Site Name]],LocationsKey[Site Name], LocationsKey[Waterway])</f>
        <v>Fosseway Brook</v>
      </c>
      <c r="K522" t="s">
        <v>1371</v>
      </c>
      <c r="L522">
        <f>_xlfn.XLOOKUP(AllDataCorrected[[#This Row],[Site Name]],Tables!$B$12:$B$78, Tables!C$12:C$78)</f>
        <v>52.092990199999988</v>
      </c>
      <c r="M522">
        <f>_xlfn.XLOOKUP(AllDataCorrected[[#This Row],[Site Name]],Tables!$B$12:$B$78, Tables!D$12:D$78)</f>
        <v>-1.6862810999999998</v>
      </c>
      <c r="N522" t="s">
        <v>66</v>
      </c>
      <c r="O522">
        <v>600</v>
      </c>
      <c r="P522">
        <v>9.6999999999999993</v>
      </c>
      <c r="Q522">
        <v>2</v>
      </c>
      <c r="R522" t="str">
        <f>IF(AllDataCorrected[[#This Row],[Nitrate (PPM)]]&gt;2, "4. Very high (&gt;2ppm)", IF(AllDataCorrected[[#This Row],[Nitrate (PPM)]]&gt;1, "3. High (1-2ppm)", IF(AllDataCorrected[[#This Row],[Nitrate (PPM)]]&gt;0.5, "2. Some evidence (0.5-1ppm)", IF(AllDataCorrected[[#This Row],[Nitrate (PPM)]]&gt;=0, "1. No evidence (&lt;0.5ppm)"))))</f>
        <v>3. High (1-2ppm)</v>
      </c>
      <c r="S522">
        <v>0.17</v>
      </c>
      <c r="T5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523" spans="1:22" x14ac:dyDescent="0.25">
      <c r="A523" t="s">
        <v>1784</v>
      </c>
      <c r="B523" s="2">
        <v>45360</v>
      </c>
      <c r="C523" t="str" cm="1">
        <f t="array" ref="C5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3">
        <f>YEAR(AllDataCorrected[[#This Row],[Date]])</f>
        <v>2024</v>
      </c>
      <c r="F5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3" t="str">
        <f>_xlfn.XLOOKUP(AllDataCorrected[[#This Row],[Location Name]], Locations[Location Name],Locations[Group As])</f>
        <v>Site 3  :  Severn Trent Water processing plant outflow</v>
      </c>
      <c r="H523" t="e" vm="2">
        <f>_xlfn.XLOOKUP(AllDataCorrected[[#This Row],[Site Name]],LocationsKey[Site Name],LocationsKey[District])</f>
        <v>#VALUE!</v>
      </c>
      <c r="I523" t="e" vm="11">
        <f>_xlfn.XLOOKUP(AllDataCorrected[[#This Row],[Site Name]],LocationsKey[Site Name],LocationsKey[Town])</f>
        <v>#VALUE!</v>
      </c>
      <c r="J523" t="str">
        <f>_xlfn.XLOOKUP(AllDataCorrected[[#This Row],[Site Name]],LocationsKey[Site Name], LocationsKey[Waterway])</f>
        <v>Fosseway Brook</v>
      </c>
      <c r="K523" t="s">
        <v>1861</v>
      </c>
      <c r="L523">
        <f>_xlfn.XLOOKUP(AllDataCorrected[[#This Row],[Site Name]],Tables!$B$12:$B$78, Tables!C$12:C$78)</f>
        <v>52.094341024390218</v>
      </c>
      <c r="M523">
        <f>_xlfn.XLOOKUP(AllDataCorrected[[#This Row],[Site Name]],Tables!$B$12:$B$78, Tables!D$12:D$78)</f>
        <v>-1.6731015853658531</v>
      </c>
      <c r="N523" t="s">
        <v>29</v>
      </c>
      <c r="O523">
        <v>614</v>
      </c>
      <c r="P523">
        <v>10.039999999999999</v>
      </c>
      <c r="Q523">
        <v>10</v>
      </c>
      <c r="R523" t="str">
        <f>IF(AllDataCorrected[[#This Row],[Nitrate (PPM)]]&gt;2, "4. Very high (&gt;2ppm)", IF(AllDataCorrected[[#This Row],[Nitrate (PPM)]]&gt;1, "3. High (1-2ppm)", IF(AllDataCorrected[[#This Row],[Nitrate (PPM)]]&gt;0.5, "2. Some evidence (0.5-1ppm)", IF(AllDataCorrected[[#This Row],[Nitrate (PPM)]]&gt;=0, "1. No evidence (&lt;0.5ppm)"))))</f>
        <v>4. Very high (&gt;2ppm)</v>
      </c>
      <c r="S523">
        <v>2.5</v>
      </c>
      <c r="T5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3">
        <v>0</v>
      </c>
      <c r="V523" t="s">
        <v>1910</v>
      </c>
    </row>
    <row r="524" spans="1:22" x14ac:dyDescent="0.25">
      <c r="A524" t="s">
        <v>1408</v>
      </c>
      <c r="B524" s="2">
        <v>45360</v>
      </c>
      <c r="C524" t="str" cm="1">
        <f t="array" ref="C5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4">
        <f>YEAR(AllDataCorrected[[#This Row],[Date]])</f>
        <v>2024</v>
      </c>
      <c r="F52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4" t="str">
        <f>_xlfn.XLOOKUP(AllDataCorrected[[#This Row],[Location Name]], Locations[Location Name],Locations[Group As])</f>
        <v>Site 3  :  Severn Trent Water processing plant outflow</v>
      </c>
      <c r="H524" t="e" vm="2">
        <f>_xlfn.XLOOKUP(AllDataCorrected[[#This Row],[Site Name]],LocationsKey[Site Name],LocationsKey[District])</f>
        <v>#VALUE!</v>
      </c>
      <c r="I524" t="e" vm="11">
        <f>_xlfn.XLOOKUP(AllDataCorrected[[#This Row],[Site Name]],LocationsKey[Site Name],LocationsKey[Town])</f>
        <v>#VALUE!</v>
      </c>
      <c r="J524" t="str">
        <f>_xlfn.XLOOKUP(AllDataCorrected[[#This Row],[Site Name]],LocationsKey[Site Name], LocationsKey[Waterway])</f>
        <v>Fosseway Brook</v>
      </c>
      <c r="K524" t="s">
        <v>1368</v>
      </c>
      <c r="L524">
        <f>_xlfn.XLOOKUP(AllDataCorrected[[#This Row],[Site Name]],Tables!$B$12:$B$78, Tables!C$12:C$78)</f>
        <v>52.094341024390218</v>
      </c>
      <c r="M524">
        <f>_xlfn.XLOOKUP(AllDataCorrected[[#This Row],[Site Name]],Tables!$B$12:$B$78, Tables!D$12:D$78)</f>
        <v>-1.6731015853658531</v>
      </c>
      <c r="N524" t="s">
        <v>29</v>
      </c>
      <c r="O524">
        <v>614</v>
      </c>
      <c r="P524">
        <v>10.039999999999999</v>
      </c>
      <c r="Q524">
        <v>10</v>
      </c>
      <c r="R524" t="str">
        <f>IF(AllDataCorrected[[#This Row],[Nitrate (PPM)]]&gt;2, "4. Very high (&gt;2ppm)", IF(AllDataCorrected[[#This Row],[Nitrate (PPM)]]&gt;1, "3. High (1-2ppm)", IF(AllDataCorrected[[#This Row],[Nitrate (PPM)]]&gt;0.5, "2. Some evidence (0.5-1ppm)", IF(AllDataCorrected[[#This Row],[Nitrate (PPM)]]&gt;=0, "1. No evidence (&lt;0.5ppm)"))))</f>
        <v>4. Very high (&gt;2ppm)</v>
      </c>
      <c r="S524">
        <v>2.5</v>
      </c>
      <c r="T5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525" spans="1:22" x14ac:dyDescent="0.25">
      <c r="A525" t="s">
        <v>793</v>
      </c>
      <c r="B525" s="2">
        <v>45361</v>
      </c>
      <c r="C525" t="str" cm="1">
        <f t="array" ref="C5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5">
        <f>YEAR(AllDataCorrected[[#This Row],[Date]])</f>
        <v>2024</v>
      </c>
      <c r="E525" s="1">
        <v>0.4375</v>
      </c>
      <c r="F5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25" t="str">
        <f>_xlfn.XLOOKUP(AllDataCorrected[[#This Row],[Location Name]], Locations[Location Name],Locations[Group As])</f>
        <v>Lucy's Mill Bridge</v>
      </c>
      <c r="H525" t="e" vm="2">
        <f>_xlfn.XLOOKUP(AllDataCorrected[[#This Row],[Site Name]],LocationsKey[Site Name],LocationsKey[District])</f>
        <v>#VALUE!</v>
      </c>
      <c r="I525" t="e" vm="7">
        <f>_xlfn.XLOOKUP(AllDataCorrected[[#This Row],[Site Name]],LocationsKey[Site Name],LocationsKey[Town])</f>
        <v>#VALUE!</v>
      </c>
      <c r="J525" t="str">
        <f>_xlfn.XLOOKUP(AllDataCorrected[[#This Row],[Site Name]],LocationsKey[Site Name], LocationsKey[Waterway])</f>
        <v>Avon</v>
      </c>
      <c r="K525" t="s">
        <v>216</v>
      </c>
      <c r="L525">
        <f>_xlfn.XLOOKUP(AllDataCorrected[[#This Row],[Site Name]],Tables!$B$12:$B$78, Tables!C$12:C$78)</f>
        <v>52.183699000000011</v>
      </c>
      <c r="M525">
        <f>_xlfn.XLOOKUP(AllDataCorrected[[#This Row],[Site Name]],Tables!$B$12:$B$78, Tables!D$12:D$78)</f>
        <v>-1.7078160000000004</v>
      </c>
      <c r="N525" t="s">
        <v>29</v>
      </c>
      <c r="P525">
        <v>10</v>
      </c>
      <c r="Q525">
        <v>3</v>
      </c>
      <c r="R525" t="str">
        <f>IF(AllDataCorrected[[#This Row],[Nitrate (PPM)]]&gt;2, "4. Very high (&gt;2ppm)", IF(AllDataCorrected[[#This Row],[Nitrate (PPM)]]&gt;1, "3. High (1-2ppm)", IF(AllDataCorrected[[#This Row],[Nitrate (PPM)]]&gt;0.5, "2. Some evidence (0.5-1ppm)", IF(AllDataCorrected[[#This Row],[Nitrate (PPM)]]&gt;=0, "1. No evidence (&lt;0.5ppm)"))))</f>
        <v>4. Very high (&gt;2ppm)</v>
      </c>
      <c r="S525">
        <v>0.4</v>
      </c>
      <c r="T5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5">
        <v>0.7</v>
      </c>
    </row>
    <row r="526" spans="1:22" x14ac:dyDescent="0.25">
      <c r="A526" t="s">
        <v>786</v>
      </c>
      <c r="B526" s="2">
        <v>45361</v>
      </c>
      <c r="C526" t="str" cm="1">
        <f t="array" ref="C5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6">
        <f>YEAR(AllDataCorrected[[#This Row],[Date]])</f>
        <v>2024</v>
      </c>
      <c r="E526" s="1">
        <v>0.5625</v>
      </c>
      <c r="F5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6" t="str">
        <f>_xlfn.XLOOKUP(AllDataCorrected[[#This Row],[Location Name]], Locations[Location Name],Locations[Group As])</f>
        <v>Clifford Chambers Mill Bridge</v>
      </c>
      <c r="H526" t="e" vm="2">
        <f>_xlfn.XLOOKUP(AllDataCorrected[[#This Row],[Site Name]],LocationsKey[Site Name],LocationsKey[District])</f>
        <v>#VALUE!</v>
      </c>
      <c r="I526" t="e" vm="12">
        <f>_xlfn.XLOOKUP(AllDataCorrected[[#This Row],[Site Name]],LocationsKey[Site Name],LocationsKey[Town])</f>
        <v>#VALUE!</v>
      </c>
      <c r="J526" t="str">
        <f>_xlfn.XLOOKUP(AllDataCorrected[[#This Row],[Site Name]],LocationsKey[Site Name], LocationsKey[Waterway])</f>
        <v>Stour</v>
      </c>
      <c r="K526" t="s">
        <v>263</v>
      </c>
      <c r="L526">
        <f>_xlfn.XLOOKUP(AllDataCorrected[[#This Row],[Site Name]],Tables!$B$12:$B$78, Tables!C$12:C$78)</f>
        <v>52.166358517241363</v>
      </c>
      <c r="M526">
        <f>_xlfn.XLOOKUP(AllDataCorrected[[#This Row],[Site Name]],Tables!$B$12:$B$78, Tables!D$12:D$78)</f>
        <v>-1.7080419310344837</v>
      </c>
      <c r="N526" t="s">
        <v>66</v>
      </c>
      <c r="O526">
        <v>665</v>
      </c>
      <c r="P526">
        <v>9.1999999999999993</v>
      </c>
      <c r="Q526">
        <v>10</v>
      </c>
      <c r="R526" t="str">
        <f>IF(AllDataCorrected[[#This Row],[Nitrate (PPM)]]&gt;2, "4. Very high (&gt;2ppm)", IF(AllDataCorrected[[#This Row],[Nitrate (PPM)]]&gt;1, "3. High (1-2ppm)", IF(AllDataCorrected[[#This Row],[Nitrate (PPM)]]&gt;0.5, "2. Some evidence (0.5-1ppm)", IF(AllDataCorrected[[#This Row],[Nitrate (PPM)]]&gt;=0, "1. No evidence (&lt;0.5ppm)"))))</f>
        <v>4. Very high (&gt;2ppm)</v>
      </c>
      <c r="S526">
        <v>0.22</v>
      </c>
      <c r="T5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6">
        <v>1.2</v>
      </c>
      <c r="V526" t="s">
        <v>787</v>
      </c>
    </row>
    <row r="527" spans="1:22" x14ac:dyDescent="0.25">
      <c r="A527" t="s">
        <v>788</v>
      </c>
      <c r="B527" s="2">
        <v>45361</v>
      </c>
      <c r="C527" t="str" cm="1">
        <f t="array" ref="C5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7">
        <f>YEAR(AllDataCorrected[[#This Row],[Date]])</f>
        <v>2024</v>
      </c>
      <c r="E527" s="1">
        <v>0.58333333333333337</v>
      </c>
      <c r="F5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7" t="str">
        <f>_xlfn.XLOOKUP(AllDataCorrected[[#This Row],[Location Name]], Locations[Location Name],Locations[Group As])</f>
        <v>Avonbank Drive</v>
      </c>
      <c r="H527" t="e" vm="2">
        <f>_xlfn.XLOOKUP(AllDataCorrected[[#This Row],[Site Name]],LocationsKey[Site Name],LocationsKey[District])</f>
        <v>#VALUE!</v>
      </c>
      <c r="I527" t="e" vm="7">
        <f>_xlfn.XLOOKUP(AllDataCorrected[[#This Row],[Site Name]],LocationsKey[Site Name],LocationsKey[Town])</f>
        <v>#VALUE!</v>
      </c>
      <c r="J527" t="str">
        <f>_xlfn.XLOOKUP(AllDataCorrected[[#This Row],[Site Name]],LocationsKey[Site Name], LocationsKey[Waterway])</f>
        <v>Avon</v>
      </c>
      <c r="K527" t="s">
        <v>103</v>
      </c>
      <c r="L527">
        <f>_xlfn.XLOOKUP(AllDataCorrected[[#This Row],[Site Name]],Tables!$B$12:$B$78, Tables!C$12:C$78)</f>
        <v>52.177054657142854</v>
      </c>
      <c r="M527">
        <f>_xlfn.XLOOKUP(AllDataCorrected[[#This Row],[Site Name]],Tables!$B$12:$B$78, Tables!D$12:D$78)</f>
        <v>-1.7358669999999996</v>
      </c>
      <c r="N527" t="s">
        <v>66</v>
      </c>
      <c r="O527">
        <v>897</v>
      </c>
      <c r="P527">
        <v>14.8</v>
      </c>
      <c r="Q527">
        <v>10</v>
      </c>
      <c r="R527" t="str">
        <f>IF(AllDataCorrected[[#This Row],[Nitrate (PPM)]]&gt;2, "4. Very high (&gt;2ppm)", IF(AllDataCorrected[[#This Row],[Nitrate (PPM)]]&gt;1, "3. High (1-2ppm)", IF(AllDataCorrected[[#This Row],[Nitrate (PPM)]]&gt;0.5, "2. Some evidence (0.5-1ppm)", IF(AllDataCorrected[[#This Row],[Nitrate (PPM)]]&gt;=0, "1. No evidence (&lt;0.5ppm)"))))</f>
        <v>4. Very high (&gt;2ppm)</v>
      </c>
      <c r="S527">
        <v>0.47</v>
      </c>
      <c r="T5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7">
        <v>1</v>
      </c>
    </row>
    <row r="528" spans="1:22" x14ac:dyDescent="0.25">
      <c r="A528" t="s">
        <v>789</v>
      </c>
      <c r="B528" s="2">
        <v>45361</v>
      </c>
      <c r="C528" t="str" cm="1">
        <f t="array" ref="C5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8">
        <f>YEAR(AllDataCorrected[[#This Row],[Date]])</f>
        <v>2024</v>
      </c>
      <c r="E528" s="1">
        <v>0.58333333333333337</v>
      </c>
      <c r="F5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8" t="str">
        <f>_xlfn.XLOOKUP(AllDataCorrected[[#This Row],[Location Name]], Locations[Location Name],Locations[Group As])</f>
        <v>Pitch 16</v>
      </c>
      <c r="H528" t="e" vm="2">
        <f>_xlfn.XLOOKUP(AllDataCorrected[[#This Row],[Site Name]],LocationsKey[Site Name],LocationsKey[District])</f>
        <v>#VALUE!</v>
      </c>
      <c r="I528" t="e" vm="7">
        <f>_xlfn.XLOOKUP(AllDataCorrected[[#This Row],[Site Name]],LocationsKey[Site Name],LocationsKey[Town])</f>
        <v>#VALUE!</v>
      </c>
      <c r="J528" t="str">
        <f>_xlfn.XLOOKUP(AllDataCorrected[[#This Row],[Site Name]],LocationsKey[Site Name], LocationsKey[Waterway])</f>
        <v>Avon</v>
      </c>
      <c r="K528" t="s">
        <v>69</v>
      </c>
      <c r="L528">
        <f>_xlfn.XLOOKUP(AllDataCorrected[[#This Row],[Site Name]],Tables!$B$12:$B$78, Tables!C$12:C$78)</f>
        <v>52.17355294117646</v>
      </c>
      <c r="M528">
        <f>_xlfn.XLOOKUP(AllDataCorrected[[#This Row],[Site Name]],Tables!$B$12:$B$78, Tables!D$12:D$78)</f>
        <v>-1.7433199411764708</v>
      </c>
      <c r="N528" t="s">
        <v>29</v>
      </c>
      <c r="O528">
        <v>873</v>
      </c>
      <c r="P528">
        <v>12.8</v>
      </c>
      <c r="Q528">
        <v>10</v>
      </c>
      <c r="R528" t="str">
        <f>IF(AllDataCorrected[[#This Row],[Nitrate (PPM)]]&gt;2, "4. Very high (&gt;2ppm)", IF(AllDataCorrected[[#This Row],[Nitrate (PPM)]]&gt;1, "3. High (1-2ppm)", IF(AllDataCorrected[[#This Row],[Nitrate (PPM)]]&gt;0.5, "2. Some evidence (0.5-1ppm)", IF(AllDataCorrected[[#This Row],[Nitrate (PPM)]]&gt;=0, "1. No evidence (&lt;0.5ppm)"))))</f>
        <v>4. Very high (&gt;2ppm)</v>
      </c>
      <c r="S528">
        <v>0.43</v>
      </c>
      <c r="T5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8">
        <v>1</v>
      </c>
    </row>
    <row r="529" spans="1:22" x14ac:dyDescent="0.25">
      <c r="A529" t="s">
        <v>790</v>
      </c>
      <c r="B529" s="2">
        <v>45361</v>
      </c>
      <c r="C529" t="str" cm="1">
        <f t="array" ref="C5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9">
        <f>YEAR(AllDataCorrected[[#This Row],[Date]])</f>
        <v>2024</v>
      </c>
      <c r="E529" s="1">
        <v>0.625</v>
      </c>
      <c r="F5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9" t="str">
        <f>_xlfn.XLOOKUP(AllDataCorrected[[#This Row],[Location Name]], Locations[Location Name],Locations[Group As])</f>
        <v>Sherbourne Brook 1</v>
      </c>
      <c r="H529" t="e" vm="2">
        <f>_xlfn.XLOOKUP(AllDataCorrected[[#This Row],[Site Name]],LocationsKey[Site Name],LocationsKey[District])</f>
        <v>#VALUE!</v>
      </c>
      <c r="I529" t="e" vm="16">
        <f>_xlfn.XLOOKUP(AllDataCorrected[[#This Row],[Site Name]],LocationsKey[Site Name],LocationsKey[Town])</f>
        <v>#VALUE!</v>
      </c>
      <c r="J529" t="str">
        <f>_xlfn.XLOOKUP(AllDataCorrected[[#This Row],[Site Name]],LocationsKey[Site Name], LocationsKey[Waterway])</f>
        <v>Sherbourne Brook</v>
      </c>
      <c r="K529" t="s">
        <v>570</v>
      </c>
      <c r="L529">
        <f>_xlfn.XLOOKUP(AllDataCorrected[[#This Row],[Site Name]],Tables!$B$12:$B$78, Tables!C$12:C$78)</f>
        <v>52.252500000000033</v>
      </c>
      <c r="M529">
        <f>_xlfn.XLOOKUP(AllDataCorrected[[#This Row],[Site Name]],Tables!$B$12:$B$78, Tables!D$12:D$78)</f>
        <v>-1.6685000000000012</v>
      </c>
      <c r="N529" t="s">
        <v>23</v>
      </c>
      <c r="O529">
        <v>456</v>
      </c>
      <c r="P529">
        <v>8.8000000000000007</v>
      </c>
      <c r="Q529">
        <v>4</v>
      </c>
      <c r="R529" t="str">
        <f>IF(AllDataCorrected[[#This Row],[Nitrate (PPM)]]&gt;2, "4. Very high (&gt;2ppm)", IF(AllDataCorrected[[#This Row],[Nitrate (PPM)]]&gt;1, "3. High (1-2ppm)", IF(AllDataCorrected[[#This Row],[Nitrate (PPM)]]&gt;0.5, "2. Some evidence (0.5-1ppm)", IF(AllDataCorrected[[#This Row],[Nitrate (PPM)]]&gt;=0, "1. No evidence (&lt;0.5ppm)"))))</f>
        <v>4. Very high (&gt;2ppm)</v>
      </c>
      <c r="S529">
        <v>0.84</v>
      </c>
      <c r="T5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9">
        <v>1</v>
      </c>
      <c r="V529" t="s">
        <v>791</v>
      </c>
    </row>
    <row r="530" spans="1:22" x14ac:dyDescent="0.25">
      <c r="A530" t="s">
        <v>792</v>
      </c>
      <c r="B530" s="2">
        <v>45361</v>
      </c>
      <c r="C530" t="str" cm="1">
        <f t="array" ref="C5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0">
        <f>YEAR(AllDataCorrected[[#This Row],[Date]])</f>
        <v>2024</v>
      </c>
      <c r="E530" s="1">
        <v>0.63541666666666663</v>
      </c>
      <c r="F5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0" t="str">
        <f>_xlfn.XLOOKUP(AllDataCorrected[[#This Row],[Location Name]], Locations[Location Name],Locations[Group As])</f>
        <v>Bell Brook 1</v>
      </c>
      <c r="H530" t="e" vm="2">
        <f>_xlfn.XLOOKUP(AllDataCorrected[[#This Row],[Site Name]],LocationsKey[Site Name],LocationsKey[District])</f>
        <v>#VALUE!</v>
      </c>
      <c r="I530" t="e" vm="15">
        <f>_xlfn.XLOOKUP(AllDataCorrected[[#This Row],[Site Name]],LocationsKey[Site Name],LocationsKey[Town])</f>
        <v>#VALUE!</v>
      </c>
      <c r="J530" t="str">
        <f>_xlfn.XLOOKUP(AllDataCorrected[[#This Row],[Site Name]],LocationsKey[Site Name], LocationsKey[Waterway])</f>
        <v>Bell Brook</v>
      </c>
      <c r="K530" t="s">
        <v>534</v>
      </c>
      <c r="L530">
        <f>_xlfn.XLOOKUP(AllDataCorrected[[#This Row],[Site Name]],Tables!$B$12:$B$78, Tables!C$12:C$78)</f>
        <v>52.24489999999998</v>
      </c>
      <c r="M530">
        <f>_xlfn.XLOOKUP(AllDataCorrected[[#This Row],[Site Name]],Tables!$B$12:$B$78, Tables!D$12:D$78)</f>
        <v>-1.6617000000000013</v>
      </c>
      <c r="N530" t="s">
        <v>23</v>
      </c>
      <c r="O530">
        <v>602</v>
      </c>
      <c r="P530">
        <v>9.6999999999999993</v>
      </c>
      <c r="Q530">
        <v>4</v>
      </c>
      <c r="R530" t="str">
        <f>IF(AllDataCorrected[[#This Row],[Nitrate (PPM)]]&gt;2, "4. Very high (&gt;2ppm)", IF(AllDataCorrected[[#This Row],[Nitrate (PPM)]]&gt;1, "3. High (1-2ppm)", IF(AllDataCorrected[[#This Row],[Nitrate (PPM)]]&gt;0.5, "2. Some evidence (0.5-1ppm)", IF(AllDataCorrected[[#This Row],[Nitrate (PPM)]]&gt;=0, "1. No evidence (&lt;0.5ppm)"))))</f>
        <v>4. Very high (&gt;2ppm)</v>
      </c>
      <c r="S530">
        <v>0.67</v>
      </c>
      <c r="T5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0">
        <v>1</v>
      </c>
      <c r="V530" t="s">
        <v>791</v>
      </c>
    </row>
    <row r="531" spans="1:22" x14ac:dyDescent="0.25">
      <c r="A531" t="s">
        <v>794</v>
      </c>
      <c r="B531" s="2">
        <v>45362</v>
      </c>
      <c r="C531" t="str" cm="1">
        <f t="array" ref="C5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1">
        <f>YEAR(AllDataCorrected[[#This Row],[Date]])</f>
        <v>2024</v>
      </c>
      <c r="E531" s="1">
        <v>0.37569444444444444</v>
      </c>
      <c r="F5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1" t="str">
        <f>_xlfn.XLOOKUP(AllDataCorrected[[#This Row],[Location Name]], Locations[Location Name],Locations[Group As])</f>
        <v>Stour Stretton-on-Fosse Village</v>
      </c>
      <c r="H531" t="e" vm="2">
        <f>_xlfn.XLOOKUP(AllDataCorrected[[#This Row],[Site Name]],LocationsKey[Site Name],LocationsKey[District])</f>
        <v>#VALUE!</v>
      </c>
      <c r="I531" t="e" vm="14">
        <f>_xlfn.XLOOKUP(AllDataCorrected[[#This Row],[Site Name]],LocationsKey[Site Name],LocationsKey[Town])</f>
        <v>#VALUE!</v>
      </c>
      <c r="J531" t="str">
        <f>_xlfn.XLOOKUP(AllDataCorrected[[#This Row],[Site Name]],LocationsKey[Site Name], LocationsKey[Waterway])</f>
        <v>Stour</v>
      </c>
      <c r="K531" t="s">
        <v>544</v>
      </c>
      <c r="L531">
        <f>_xlfn.XLOOKUP(AllDataCorrected[[#This Row],[Site Name]],Tables!$B$12:$B$78, Tables!C$12:C$78)</f>
        <v>52.046517558823524</v>
      </c>
      <c r="M531">
        <f>_xlfn.XLOOKUP(AllDataCorrected[[#This Row],[Site Name]],Tables!$B$12:$B$78, Tables!D$12:D$78)</f>
        <v>-1.6734143529411767</v>
      </c>
      <c r="N531" t="s">
        <v>66</v>
      </c>
      <c r="O531">
        <v>420</v>
      </c>
      <c r="P531">
        <v>8.1</v>
      </c>
      <c r="Q531">
        <v>0.5</v>
      </c>
      <c r="R53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531">
        <v>0.35</v>
      </c>
      <c r="T5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1">
        <v>0.3</v>
      </c>
    </row>
    <row r="532" spans="1:22" x14ac:dyDescent="0.25">
      <c r="A532" t="s">
        <v>795</v>
      </c>
      <c r="B532" s="2">
        <v>45362</v>
      </c>
      <c r="C532" t="str" cm="1">
        <f t="array" ref="C5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2">
        <f>YEAR(AllDataCorrected[[#This Row],[Date]])</f>
        <v>2024</v>
      </c>
      <c r="E532" s="1">
        <v>0.39305555555555555</v>
      </c>
      <c r="F5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2" t="str">
        <f>_xlfn.XLOOKUP(AllDataCorrected[[#This Row],[Location Name]], Locations[Location Name],Locations[Group As])</f>
        <v>Stour Stretton-on-Fosse Sewage Works</v>
      </c>
      <c r="H532" t="e" vm="2">
        <f>_xlfn.XLOOKUP(AllDataCorrected[[#This Row],[Site Name]],LocationsKey[Site Name],LocationsKey[District])</f>
        <v>#VALUE!</v>
      </c>
      <c r="I532" t="e" vm="14">
        <f>_xlfn.XLOOKUP(AllDataCorrected[[#This Row],[Site Name]],LocationsKey[Site Name],LocationsKey[Town])</f>
        <v>#VALUE!</v>
      </c>
      <c r="J532" t="str">
        <f>_xlfn.XLOOKUP(AllDataCorrected[[#This Row],[Site Name]],LocationsKey[Site Name], LocationsKey[Waterway])</f>
        <v>Stour</v>
      </c>
      <c r="K532" t="s">
        <v>335</v>
      </c>
      <c r="L532">
        <f>_xlfn.XLOOKUP(AllDataCorrected[[#This Row],[Site Name]],Tables!$B$12:$B$78, Tables!C$12:C$78)</f>
        <v>52.045653647058806</v>
      </c>
      <c r="M532">
        <f>_xlfn.XLOOKUP(AllDataCorrected[[#This Row],[Site Name]],Tables!$B$12:$B$78, Tables!D$12:D$78)</f>
        <v>-1.6719221470588235</v>
      </c>
      <c r="N532" t="s">
        <v>29</v>
      </c>
      <c r="O532">
        <v>425</v>
      </c>
      <c r="P532">
        <v>7.1</v>
      </c>
      <c r="Q532">
        <v>2</v>
      </c>
      <c r="R532" t="str">
        <f>IF(AllDataCorrected[[#This Row],[Nitrate (PPM)]]&gt;2, "4. Very high (&gt;2ppm)", IF(AllDataCorrected[[#This Row],[Nitrate (PPM)]]&gt;1, "3. High (1-2ppm)", IF(AllDataCorrected[[#This Row],[Nitrate (PPM)]]&gt;0.5, "2. Some evidence (0.5-1ppm)", IF(AllDataCorrected[[#This Row],[Nitrate (PPM)]]&gt;=0, "1. No evidence (&lt;0.5ppm)"))))</f>
        <v>3. High (1-2ppm)</v>
      </c>
      <c r="S532">
        <v>0.31</v>
      </c>
      <c r="T5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2">
        <v>0.4</v>
      </c>
    </row>
    <row r="533" spans="1:22" x14ac:dyDescent="0.25">
      <c r="A533" t="s">
        <v>796</v>
      </c>
      <c r="B533" s="2">
        <v>45362</v>
      </c>
      <c r="C533" t="str" cm="1">
        <f t="array" ref="C5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3">
        <f>YEAR(AllDataCorrected[[#This Row],[Date]])</f>
        <v>2024</v>
      </c>
      <c r="E533" s="1">
        <v>0.6694444444444444</v>
      </c>
      <c r="F5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3" t="str">
        <f>_xlfn.XLOOKUP(AllDataCorrected[[#This Row],[Location Name]], Locations[Location Name],Locations[Group As])</f>
        <v>Abbey Mill</v>
      </c>
      <c r="H533" t="e" vm="1">
        <f>_xlfn.XLOOKUP(AllDataCorrected[[#This Row],[Site Name]],LocationsKey[Site Name],LocationsKey[District])</f>
        <v>#VALUE!</v>
      </c>
      <c r="I533" t="e" vm="1">
        <f>_xlfn.XLOOKUP(AllDataCorrected[[#This Row],[Site Name]],LocationsKey[Site Name],LocationsKey[Town])</f>
        <v>#VALUE!</v>
      </c>
      <c r="J533" t="str">
        <f>_xlfn.XLOOKUP(AllDataCorrected[[#This Row],[Site Name]],LocationsKey[Site Name], LocationsKey[Waterway])</f>
        <v>Avon</v>
      </c>
      <c r="K533" t="s">
        <v>25</v>
      </c>
      <c r="L533">
        <f>_xlfn.XLOOKUP(AllDataCorrected[[#This Row],[Site Name]],Tables!$B$12:$B$78, Tables!C$12:C$78)</f>
        <v>51.991389555555564</v>
      </c>
      <c r="M533">
        <f>_xlfn.XLOOKUP(AllDataCorrected[[#This Row],[Site Name]],Tables!$B$12:$B$78, Tables!D$12:D$78)</f>
        <v>-2.1620794000000005</v>
      </c>
      <c r="N533" t="s">
        <v>23</v>
      </c>
      <c r="O533">
        <v>863</v>
      </c>
      <c r="P533">
        <v>9.4</v>
      </c>
      <c r="Q533">
        <v>7</v>
      </c>
      <c r="R533" t="str">
        <f>IF(AllDataCorrected[[#This Row],[Nitrate (PPM)]]&gt;2, "4. Very high (&gt;2ppm)", IF(AllDataCorrected[[#This Row],[Nitrate (PPM)]]&gt;1, "3. High (1-2ppm)", IF(AllDataCorrected[[#This Row],[Nitrate (PPM)]]&gt;0.5, "2. Some evidence (0.5-1ppm)", IF(AllDataCorrected[[#This Row],[Nitrate (PPM)]]&gt;=0, "1. No evidence (&lt;0.5ppm)"))))</f>
        <v>4. Very high (&gt;2ppm)</v>
      </c>
      <c r="S533">
        <v>0.5</v>
      </c>
      <c r="T5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3">
        <v>0.6</v>
      </c>
    </row>
    <row r="534" spans="1:22" x14ac:dyDescent="0.25">
      <c r="A534" t="s">
        <v>797</v>
      </c>
      <c r="B534" s="2">
        <v>45364</v>
      </c>
      <c r="C534" t="str" cm="1">
        <f t="array" ref="C5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4">
        <f>YEAR(AllDataCorrected[[#This Row],[Date]])</f>
        <v>2024</v>
      </c>
      <c r="E534" s="1">
        <v>0.52916666666666667</v>
      </c>
      <c r="F5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4" t="str">
        <f>_xlfn.XLOOKUP(AllDataCorrected[[#This Row],[Location Name]], Locations[Location Name],Locations[Group As])</f>
        <v>Preston-on-Stour River Bridge</v>
      </c>
      <c r="H534" t="e" vm="2">
        <f>_xlfn.XLOOKUP(AllDataCorrected[[#This Row],[Site Name]],LocationsKey[Site Name],LocationsKey[District])</f>
        <v>#VALUE!</v>
      </c>
      <c r="I534" t="e" vm="9">
        <f>_xlfn.XLOOKUP(AllDataCorrected[[#This Row],[Site Name]],LocationsKey[Site Name],LocationsKey[Town])</f>
        <v>#VALUE!</v>
      </c>
      <c r="J534" t="str">
        <f>_xlfn.XLOOKUP(AllDataCorrected[[#This Row],[Site Name]],LocationsKey[Site Name], LocationsKey[Waterway])</f>
        <v>Stour</v>
      </c>
      <c r="K534" t="s">
        <v>163</v>
      </c>
      <c r="L534">
        <f>_xlfn.XLOOKUP(AllDataCorrected[[#This Row],[Site Name]],Tables!$B$12:$B$78, Tables!C$12:C$78)</f>
        <v>52.146529500000007</v>
      </c>
      <c r="M534">
        <f>_xlfn.XLOOKUP(AllDataCorrected[[#This Row],[Site Name]],Tables!$B$12:$B$78, Tables!D$12:D$78)</f>
        <v>-1.6996899999999999</v>
      </c>
      <c r="N534" t="s">
        <v>29</v>
      </c>
      <c r="O534">
        <v>508</v>
      </c>
      <c r="P534">
        <v>10.9</v>
      </c>
      <c r="Q534">
        <v>6</v>
      </c>
      <c r="R534" t="str">
        <f>IF(AllDataCorrected[[#This Row],[Nitrate (PPM)]]&gt;2, "4. Very high (&gt;2ppm)", IF(AllDataCorrected[[#This Row],[Nitrate (PPM)]]&gt;1, "3. High (1-2ppm)", IF(AllDataCorrected[[#This Row],[Nitrate (PPM)]]&gt;0.5, "2. Some evidence (0.5-1ppm)", IF(AllDataCorrected[[#This Row],[Nitrate (PPM)]]&gt;=0, "1. No evidence (&lt;0.5ppm)"))))</f>
        <v>4. Very high (&gt;2ppm)</v>
      </c>
      <c r="S534">
        <v>0.32</v>
      </c>
      <c r="T5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4">
        <v>2</v>
      </c>
      <c r="V534" t="s">
        <v>798</v>
      </c>
    </row>
    <row r="535" spans="1:22" x14ac:dyDescent="0.25">
      <c r="A535" t="s">
        <v>799</v>
      </c>
      <c r="B535" s="2">
        <v>45364</v>
      </c>
      <c r="C535" t="str" cm="1">
        <f t="array" ref="C5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5">
        <f>YEAR(AllDataCorrected[[#This Row],[Date]])</f>
        <v>2024</v>
      </c>
      <c r="E535" s="1">
        <v>0.61111111111111116</v>
      </c>
      <c r="F5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5" t="str">
        <f>_xlfn.XLOOKUP(AllDataCorrected[[#This Row],[Location Name]], Locations[Location Name],Locations[Group As])</f>
        <v>Alveston Weir</v>
      </c>
      <c r="H535" t="e" vm="2">
        <f>_xlfn.XLOOKUP(AllDataCorrected[[#This Row],[Site Name]],LocationsKey[Site Name],LocationsKey[District])</f>
        <v>#VALUE!</v>
      </c>
      <c r="I535" t="e" vm="13">
        <f>_xlfn.XLOOKUP(AllDataCorrected[[#This Row],[Site Name]],LocationsKey[Site Name],LocationsKey[Town])</f>
        <v>#VALUE!</v>
      </c>
      <c r="J535" t="str">
        <f>_xlfn.XLOOKUP(AllDataCorrected[[#This Row],[Site Name]],LocationsKey[Site Name], LocationsKey[Waterway])</f>
        <v>Avon</v>
      </c>
      <c r="K535" t="s">
        <v>286</v>
      </c>
      <c r="L535">
        <f>_xlfn.XLOOKUP(AllDataCorrected[[#This Row],[Site Name]],Tables!$B$12:$B$78, Tables!C$12:C$78)</f>
        <v>52.212366690476216</v>
      </c>
      <c r="M535">
        <f>_xlfn.XLOOKUP(AllDataCorrected[[#This Row],[Site Name]],Tables!$B$12:$B$78, Tables!D$12:D$78)</f>
        <v>-1.6602567619047619</v>
      </c>
      <c r="N535" t="s">
        <v>29</v>
      </c>
      <c r="O535">
        <v>464</v>
      </c>
      <c r="P535">
        <v>13.7</v>
      </c>
      <c r="Q535">
        <v>5</v>
      </c>
      <c r="R535" t="str">
        <f>IF(AllDataCorrected[[#This Row],[Nitrate (PPM)]]&gt;2, "4. Very high (&gt;2ppm)", IF(AllDataCorrected[[#This Row],[Nitrate (PPM)]]&gt;1, "3. High (1-2ppm)", IF(AllDataCorrected[[#This Row],[Nitrate (PPM)]]&gt;0.5, "2. Some evidence (0.5-1ppm)", IF(AllDataCorrected[[#This Row],[Nitrate (PPM)]]&gt;=0, "1. No evidence (&lt;0.5ppm)"))))</f>
        <v>4. Very high (&gt;2ppm)</v>
      </c>
      <c r="S535">
        <v>0.52</v>
      </c>
      <c r="T5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5">
        <v>1.5</v>
      </c>
      <c r="V535" t="s">
        <v>800</v>
      </c>
    </row>
    <row r="536" spans="1:22" x14ac:dyDescent="0.25">
      <c r="A536" t="s">
        <v>801</v>
      </c>
      <c r="B536" s="2">
        <v>45364</v>
      </c>
      <c r="C536" t="str" cm="1">
        <f t="array" ref="C5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6">
        <f>YEAR(AllDataCorrected[[#This Row],[Date]])</f>
        <v>2024</v>
      </c>
      <c r="E536" s="1">
        <v>0.63541666666666663</v>
      </c>
      <c r="F5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6" t="str">
        <f>_xlfn.XLOOKUP(AllDataCorrected[[#This Row],[Location Name]], Locations[Location Name],Locations[Group As])</f>
        <v>Swiffen Bank</v>
      </c>
      <c r="H536" t="e" vm="2">
        <f>_xlfn.XLOOKUP(AllDataCorrected[[#This Row],[Site Name]],LocationsKey[Site Name],LocationsKey[District])</f>
        <v>#VALUE!</v>
      </c>
      <c r="I536" t="e" vm="13">
        <f>_xlfn.XLOOKUP(AllDataCorrected[[#This Row],[Site Name]],LocationsKey[Site Name],LocationsKey[Town])</f>
        <v>#VALUE!</v>
      </c>
      <c r="J536" t="str">
        <f>_xlfn.XLOOKUP(AllDataCorrected[[#This Row],[Site Name]],LocationsKey[Site Name], LocationsKey[Waterway])</f>
        <v>Avon</v>
      </c>
      <c r="K536" t="s">
        <v>284</v>
      </c>
      <c r="L536">
        <f>_xlfn.XLOOKUP(AllDataCorrected[[#This Row],[Site Name]],Tables!$B$12:$B$78, Tables!C$12:C$78)</f>
        <v>52.206446825000015</v>
      </c>
      <c r="M536">
        <f>_xlfn.XLOOKUP(AllDataCorrected[[#This Row],[Site Name]],Tables!$B$12:$B$78, Tables!D$12:D$78)</f>
        <v>-1.6541684000000003</v>
      </c>
      <c r="N536" t="s">
        <v>29</v>
      </c>
      <c r="O536">
        <v>464</v>
      </c>
      <c r="P536">
        <v>12.4</v>
      </c>
      <c r="Q536">
        <v>5</v>
      </c>
      <c r="R536" t="str">
        <f>IF(AllDataCorrected[[#This Row],[Nitrate (PPM)]]&gt;2, "4. Very high (&gt;2ppm)", IF(AllDataCorrected[[#This Row],[Nitrate (PPM)]]&gt;1, "3. High (1-2ppm)", IF(AllDataCorrected[[#This Row],[Nitrate (PPM)]]&gt;0.5, "2. Some evidence (0.5-1ppm)", IF(AllDataCorrected[[#This Row],[Nitrate (PPM)]]&gt;=0, "1. No evidence (&lt;0.5ppm)"))))</f>
        <v>4. Very high (&gt;2ppm)</v>
      </c>
      <c r="S536">
        <v>0.25</v>
      </c>
      <c r="T5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6">
        <v>1.5</v>
      </c>
      <c r="V536" t="s">
        <v>802</v>
      </c>
    </row>
    <row r="537" spans="1:22" x14ac:dyDescent="0.25">
      <c r="A537" t="s">
        <v>803</v>
      </c>
      <c r="B537" s="2">
        <v>45365</v>
      </c>
      <c r="C537" t="str" cm="1">
        <f t="array" ref="C5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7">
        <f>YEAR(AllDataCorrected[[#This Row],[Date]])</f>
        <v>2024</v>
      </c>
      <c r="E537" s="1">
        <v>0.47222222222222221</v>
      </c>
      <c r="F5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7" t="str">
        <f>_xlfn.XLOOKUP(AllDataCorrected[[#This Row],[Location Name]], Locations[Location Name],Locations[Group As])</f>
        <v>Stour Willington</v>
      </c>
      <c r="H537" t="e" vm="2">
        <f>_xlfn.XLOOKUP(AllDataCorrected[[#This Row],[Site Name]],LocationsKey[Site Name],LocationsKey[District])</f>
        <v>#VALUE!</v>
      </c>
      <c r="I537" t="str">
        <f>_xlfn.XLOOKUP(AllDataCorrected[[#This Row],[Site Name]],LocationsKey[Site Name],LocationsKey[Town])</f>
        <v>Willington</v>
      </c>
      <c r="J537" t="str">
        <f>_xlfn.XLOOKUP(AllDataCorrected[[#This Row],[Site Name]],LocationsKey[Site Name], LocationsKey[Waterway])</f>
        <v>Stour</v>
      </c>
      <c r="K537" t="s">
        <v>517</v>
      </c>
      <c r="L537">
        <f>_xlfn.XLOOKUP(AllDataCorrected[[#This Row],[Site Name]],Tables!$B$12:$B$78, Tables!C$12:C$78)</f>
        <v>52.053154375000005</v>
      </c>
      <c r="M537">
        <f>_xlfn.XLOOKUP(AllDataCorrected[[#This Row],[Site Name]],Tables!$B$12:$B$78, Tables!D$12:D$78)</f>
        <v>-1.6191991562500001</v>
      </c>
      <c r="N537" t="s">
        <v>23</v>
      </c>
      <c r="O537">
        <v>563</v>
      </c>
      <c r="P537">
        <v>12.8</v>
      </c>
      <c r="Q537">
        <v>2</v>
      </c>
      <c r="R537" t="str">
        <f>IF(AllDataCorrected[[#This Row],[Nitrate (PPM)]]&gt;2, "4. Very high (&gt;2ppm)", IF(AllDataCorrected[[#This Row],[Nitrate (PPM)]]&gt;1, "3. High (1-2ppm)", IF(AllDataCorrected[[#This Row],[Nitrate (PPM)]]&gt;0.5, "2. Some evidence (0.5-1ppm)", IF(AllDataCorrected[[#This Row],[Nitrate (PPM)]]&gt;=0, "1. No evidence (&lt;0.5ppm)"))))</f>
        <v>3. High (1-2ppm)</v>
      </c>
      <c r="S537">
        <v>0.21</v>
      </c>
      <c r="T5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7">
        <v>0.5</v>
      </c>
    </row>
    <row r="538" spans="1:22" x14ac:dyDescent="0.25">
      <c r="A538" t="s">
        <v>804</v>
      </c>
      <c r="B538" s="2">
        <v>45365</v>
      </c>
      <c r="C538" t="str" cm="1">
        <f t="array" ref="C5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8">
        <f>YEAR(AllDataCorrected[[#This Row],[Date]])</f>
        <v>2024</v>
      </c>
      <c r="E538" s="1">
        <v>0.70833333333333337</v>
      </c>
      <c r="F5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8" t="str">
        <f>_xlfn.XLOOKUP(AllDataCorrected[[#This Row],[Location Name]], Locations[Location Name],Locations[Group As])</f>
        <v>Stour Newbold Mill</v>
      </c>
      <c r="H538" t="e" vm="2">
        <f>_xlfn.XLOOKUP(AllDataCorrected[[#This Row],[Site Name]],LocationsKey[Site Name],LocationsKey[District])</f>
        <v>#VALUE!</v>
      </c>
      <c r="I538" t="e" vm="8">
        <f>_xlfn.XLOOKUP(AllDataCorrected[[#This Row],[Site Name]],LocationsKey[Site Name],LocationsKey[Town])</f>
        <v>#VALUE!</v>
      </c>
      <c r="J538" t="str">
        <f>_xlfn.XLOOKUP(AllDataCorrected[[#This Row],[Site Name]],LocationsKey[Site Name], LocationsKey[Waterway])</f>
        <v>Stour</v>
      </c>
      <c r="K538" t="s">
        <v>140</v>
      </c>
      <c r="L538">
        <f>_xlfn.XLOOKUP(AllDataCorrected[[#This Row],[Site Name]],Tables!$B$12:$B$78, Tables!C$12:C$78)</f>
        <v>52.113052370370362</v>
      </c>
      <c r="M538">
        <f>_xlfn.XLOOKUP(AllDataCorrected[[#This Row],[Site Name]],Tables!$B$12:$B$78, Tables!D$12:D$78)</f>
        <v>-1.6333685185185185</v>
      </c>
      <c r="N538" t="s">
        <v>29</v>
      </c>
      <c r="O538">
        <v>602</v>
      </c>
      <c r="P538">
        <v>13.8</v>
      </c>
      <c r="Q538">
        <v>2</v>
      </c>
      <c r="R538" t="str">
        <f>IF(AllDataCorrected[[#This Row],[Nitrate (PPM)]]&gt;2, "4. Very high (&gt;2ppm)", IF(AllDataCorrected[[#This Row],[Nitrate (PPM)]]&gt;1, "3. High (1-2ppm)", IF(AllDataCorrected[[#This Row],[Nitrate (PPM)]]&gt;0.5, "2. Some evidence (0.5-1ppm)", IF(AllDataCorrected[[#This Row],[Nitrate (PPM)]]&gt;=0, "1. No evidence (&lt;0.5ppm)"))))</f>
        <v>3. High (1-2ppm)</v>
      </c>
      <c r="S538">
        <v>0.13</v>
      </c>
      <c r="T5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8">
        <v>2.5</v>
      </c>
      <c r="V538" t="s">
        <v>805</v>
      </c>
    </row>
    <row r="539" spans="1:22" x14ac:dyDescent="0.25">
      <c r="A539" t="s">
        <v>806</v>
      </c>
      <c r="B539" s="2">
        <v>45366</v>
      </c>
      <c r="C539" t="str" cm="1">
        <f t="array" ref="C5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9">
        <f>YEAR(AllDataCorrected[[#This Row],[Date]])</f>
        <v>2024</v>
      </c>
      <c r="E539" s="1">
        <v>0.48958333333333331</v>
      </c>
      <c r="F5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9" t="str">
        <f>_xlfn.XLOOKUP(AllDataCorrected[[#This Row],[Location Name]], Locations[Location Name],Locations[Group As])</f>
        <v>Walcot Lane, Bow Brook Ford</v>
      </c>
      <c r="H539" t="e" vm="17">
        <f>_xlfn.XLOOKUP(AllDataCorrected[[#This Row],[Site Name]],LocationsKey[Site Name],LocationsKey[District])</f>
        <v>#VALUE!</v>
      </c>
      <c r="I539" t="e" vm="18">
        <f>_xlfn.XLOOKUP(AllDataCorrected[[#This Row],[Site Name]],LocationsKey[Site Name],LocationsKey[Town])</f>
        <v>#VALUE!</v>
      </c>
      <c r="J539" t="str">
        <f>_xlfn.XLOOKUP(AllDataCorrected[[#This Row],[Site Name]],LocationsKey[Site Name], LocationsKey[Waterway])</f>
        <v>Bow Brook</v>
      </c>
      <c r="K539" t="s">
        <v>732</v>
      </c>
      <c r="L539">
        <f>_xlfn.XLOOKUP(AllDataCorrected[[#This Row],[Site Name]],Tables!$B$12:$B$78, Tables!C$12:C$78)</f>
        <v>52.130499999999998</v>
      </c>
      <c r="M539">
        <f>_xlfn.XLOOKUP(AllDataCorrected[[#This Row],[Site Name]],Tables!$B$12:$B$78, Tables!D$12:D$78)</f>
        <v>-2.0787</v>
      </c>
      <c r="N539" t="s">
        <v>776</v>
      </c>
      <c r="O539">
        <v>808</v>
      </c>
      <c r="P539">
        <v>13.7</v>
      </c>
      <c r="Q539">
        <v>5</v>
      </c>
      <c r="R539" t="str">
        <f>IF(AllDataCorrected[[#This Row],[Nitrate (PPM)]]&gt;2, "4. Very high (&gt;2ppm)", IF(AllDataCorrected[[#This Row],[Nitrate (PPM)]]&gt;1, "3. High (1-2ppm)", IF(AllDataCorrected[[#This Row],[Nitrate (PPM)]]&gt;0.5, "2. Some evidence (0.5-1ppm)", IF(AllDataCorrected[[#This Row],[Nitrate (PPM)]]&gt;=0, "1. No evidence (&lt;0.5ppm)"))))</f>
        <v>4. Very high (&gt;2ppm)</v>
      </c>
      <c r="S539">
        <v>0.82</v>
      </c>
      <c r="T5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9">
        <v>0.6</v>
      </c>
      <c r="V539" t="s">
        <v>807</v>
      </c>
    </row>
    <row r="540" spans="1:22" x14ac:dyDescent="0.25">
      <c r="A540" t="s">
        <v>808</v>
      </c>
      <c r="B540" s="2">
        <v>45366</v>
      </c>
      <c r="C540" t="str" cm="1">
        <f t="array" ref="C5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0">
        <f>YEAR(AllDataCorrected[[#This Row],[Date]])</f>
        <v>2024</v>
      </c>
      <c r="E540" s="1">
        <v>0.65972222222222221</v>
      </c>
      <c r="F5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0" t="str">
        <f>_xlfn.XLOOKUP(AllDataCorrected[[#This Row],[Location Name]], Locations[Location Name],Locations[Group As])</f>
        <v>Preston Bagot Canal</v>
      </c>
      <c r="H540" t="e" vm="2">
        <f>_xlfn.XLOOKUP(AllDataCorrected[[#This Row],[Site Name]],LocationsKey[Site Name],LocationsKey[District])</f>
        <v>#VALUE!</v>
      </c>
      <c r="I540" t="e" vm="19">
        <f>_xlfn.XLOOKUP(AllDataCorrected[[#This Row],[Site Name]],LocationsKey[Site Name],LocationsKey[Town])</f>
        <v>#VALUE!</v>
      </c>
      <c r="J540" t="str">
        <f>_xlfn.XLOOKUP(AllDataCorrected[[#This Row],[Site Name]],LocationsKey[Site Name], LocationsKey[Waterway])</f>
        <v>Preston Bagot Canal</v>
      </c>
      <c r="K540" t="s">
        <v>615</v>
      </c>
      <c r="L540">
        <f>_xlfn.XLOOKUP(AllDataCorrected[[#This Row],[Site Name]],Tables!$B$12:$B$78, Tables!C$12:C$78)</f>
        <v>52.286540000000002</v>
      </c>
      <c r="M540">
        <f>_xlfn.XLOOKUP(AllDataCorrected[[#This Row],[Site Name]],Tables!$B$12:$B$78, Tables!D$12:D$78)</f>
        <v>-1.74576</v>
      </c>
      <c r="N540" t="s">
        <v>23</v>
      </c>
      <c r="O540">
        <v>312</v>
      </c>
      <c r="P540">
        <v>12.7</v>
      </c>
      <c r="Q540">
        <v>2</v>
      </c>
      <c r="R540" t="str">
        <f>IF(AllDataCorrected[[#This Row],[Nitrate (PPM)]]&gt;2, "4. Very high (&gt;2ppm)", IF(AllDataCorrected[[#This Row],[Nitrate (PPM)]]&gt;1, "3. High (1-2ppm)", IF(AllDataCorrected[[#This Row],[Nitrate (PPM)]]&gt;0.5, "2. Some evidence (0.5-1ppm)", IF(AllDataCorrected[[#This Row],[Nitrate (PPM)]]&gt;=0, "1. No evidence (&lt;0.5ppm)"))))</f>
        <v>3. High (1-2ppm)</v>
      </c>
      <c r="S540">
        <v>0.13</v>
      </c>
      <c r="T5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0">
        <v>0</v>
      </c>
    </row>
    <row r="541" spans="1:22" x14ac:dyDescent="0.25">
      <c r="A541" t="s">
        <v>809</v>
      </c>
      <c r="B541" s="2">
        <v>45366</v>
      </c>
      <c r="C541" t="str" cm="1">
        <f t="array" ref="C5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1">
        <f>YEAR(AllDataCorrected[[#This Row],[Date]])</f>
        <v>2024</v>
      </c>
      <c r="E541" s="1">
        <v>0.66666666666666663</v>
      </c>
      <c r="F5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1" t="str">
        <f>_xlfn.XLOOKUP(AllDataCorrected[[#This Row],[Location Name]], Locations[Location Name],Locations[Group As])</f>
        <v>Preston Bagot Brook</v>
      </c>
      <c r="H541" t="e" vm="2">
        <f>_xlfn.XLOOKUP(AllDataCorrected[[#This Row],[Site Name]],LocationsKey[Site Name],LocationsKey[District])</f>
        <v>#VALUE!</v>
      </c>
      <c r="I541" t="e" vm="19">
        <f>_xlfn.XLOOKUP(AllDataCorrected[[#This Row],[Site Name]],LocationsKey[Site Name],LocationsKey[Town])</f>
        <v>#VALUE!</v>
      </c>
      <c r="J541" t="str">
        <f>_xlfn.XLOOKUP(AllDataCorrected[[#This Row],[Site Name]],LocationsKey[Site Name], LocationsKey[Waterway])</f>
        <v>Preston Bagot Brook</v>
      </c>
      <c r="K541" t="s">
        <v>618</v>
      </c>
      <c r="L541">
        <f>_xlfn.XLOOKUP(AllDataCorrected[[#This Row],[Site Name]],Tables!$B$12:$B$78, Tables!C$12:C$78)</f>
        <v>52.286200000000001</v>
      </c>
      <c r="M541">
        <f>_xlfn.XLOOKUP(AllDataCorrected[[#This Row],[Site Name]],Tables!$B$12:$B$78, Tables!D$12:D$78)</f>
        <v>-1.7478</v>
      </c>
      <c r="N541" t="s">
        <v>23</v>
      </c>
      <c r="O541">
        <v>597</v>
      </c>
      <c r="P541">
        <v>13</v>
      </c>
      <c r="Q541">
        <v>2.5</v>
      </c>
      <c r="R541" t="str">
        <f>IF(AllDataCorrected[[#This Row],[Nitrate (PPM)]]&gt;2, "4. Very high (&gt;2ppm)", IF(AllDataCorrected[[#This Row],[Nitrate (PPM)]]&gt;1, "3. High (1-2ppm)", IF(AllDataCorrected[[#This Row],[Nitrate (PPM)]]&gt;0.5, "2. Some evidence (0.5-1ppm)", IF(AllDataCorrected[[#This Row],[Nitrate (PPM)]]&gt;=0, "1. No evidence (&lt;0.5ppm)"))))</f>
        <v>4. Very high (&gt;2ppm)</v>
      </c>
      <c r="S541">
        <v>1</v>
      </c>
      <c r="T5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1">
        <v>0</v>
      </c>
    </row>
    <row r="542" spans="1:22" x14ac:dyDescent="0.25">
      <c r="A542" t="s">
        <v>810</v>
      </c>
      <c r="B542" s="2">
        <v>45367</v>
      </c>
      <c r="C542" t="str" cm="1">
        <f t="array" ref="C5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2">
        <f>YEAR(AllDataCorrected[[#This Row],[Date]])</f>
        <v>2024</v>
      </c>
      <c r="E542" s="1">
        <v>0.41249999999999998</v>
      </c>
      <c r="F5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2" t="str">
        <f>_xlfn.XLOOKUP(AllDataCorrected[[#This Row],[Location Name]], Locations[Location Name],Locations[Group As])</f>
        <v>Lower Lode</v>
      </c>
      <c r="H542" t="e" vm="1">
        <f>_xlfn.XLOOKUP(AllDataCorrected[[#This Row],[Site Name]],LocationsKey[Site Name],LocationsKey[District])</f>
        <v>#VALUE!</v>
      </c>
      <c r="I542" t="e" vm="1">
        <f>_xlfn.XLOOKUP(AllDataCorrected[[#This Row],[Site Name]],LocationsKey[Site Name],LocationsKey[Town])</f>
        <v>#VALUE!</v>
      </c>
      <c r="J542" t="str">
        <f>_xlfn.XLOOKUP(AllDataCorrected[[#This Row],[Site Name]],LocationsKey[Site Name], LocationsKey[Waterway])</f>
        <v>Avon</v>
      </c>
      <c r="K542" t="s">
        <v>592</v>
      </c>
      <c r="L542">
        <f>_xlfn.XLOOKUP(AllDataCorrected[[#This Row],[Site Name]],Tables!$B$12:$B$78, Tables!C$12:C$78)</f>
        <v>51.984954782608689</v>
      </c>
      <c r="M542">
        <f>_xlfn.XLOOKUP(AllDataCorrected[[#This Row],[Site Name]],Tables!$B$12:$B$78, Tables!D$12:D$78)</f>
        <v>-2.1744283478260868</v>
      </c>
      <c r="N542" t="s">
        <v>29</v>
      </c>
      <c r="O542">
        <v>6390.1</v>
      </c>
      <c r="P542">
        <v>11.5</v>
      </c>
      <c r="Q542">
        <v>20</v>
      </c>
      <c r="R542" t="str">
        <f>IF(AllDataCorrected[[#This Row],[Nitrate (PPM)]]&gt;2, "4. Very high (&gt;2ppm)", IF(AllDataCorrected[[#This Row],[Nitrate (PPM)]]&gt;1, "3. High (1-2ppm)", IF(AllDataCorrected[[#This Row],[Nitrate (PPM)]]&gt;0.5, "2. Some evidence (0.5-1ppm)", IF(AllDataCorrected[[#This Row],[Nitrate (PPM)]]&gt;=0, "1. No evidence (&lt;0.5ppm)"))))</f>
        <v>4. Very high (&gt;2ppm)</v>
      </c>
      <c r="S542">
        <v>0.55000000000000004</v>
      </c>
      <c r="T5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2">
        <v>3</v>
      </c>
    </row>
    <row r="543" spans="1:22" x14ac:dyDescent="0.25">
      <c r="A543" t="s">
        <v>811</v>
      </c>
      <c r="B543" s="2">
        <v>45367</v>
      </c>
      <c r="C543" t="str" cm="1">
        <f t="array" ref="C5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3">
        <f>YEAR(AllDataCorrected[[#This Row],[Date]])</f>
        <v>2024</v>
      </c>
      <c r="E543" s="1">
        <v>0.44444444444444442</v>
      </c>
      <c r="F5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3" t="str">
        <f>_xlfn.XLOOKUP(AllDataCorrected[[#This Row],[Location Name]], Locations[Location Name],Locations[Group As])</f>
        <v>Swilgate</v>
      </c>
      <c r="H543" t="e" vm="1">
        <f>_xlfn.XLOOKUP(AllDataCorrected[[#This Row],[Site Name]],LocationsKey[Site Name],LocationsKey[District])</f>
        <v>#VALUE!</v>
      </c>
      <c r="I543" t="e" vm="1">
        <f>_xlfn.XLOOKUP(AllDataCorrected[[#This Row],[Site Name]],LocationsKey[Site Name],LocationsKey[Town])</f>
        <v>#VALUE!</v>
      </c>
      <c r="J543" t="str">
        <f>_xlfn.XLOOKUP(AllDataCorrected[[#This Row],[Site Name]],LocationsKey[Site Name], LocationsKey[Waterway])</f>
        <v>Swilgate</v>
      </c>
      <c r="K543" t="s">
        <v>84</v>
      </c>
      <c r="L543">
        <f>_xlfn.XLOOKUP(AllDataCorrected[[#This Row],[Site Name]],Tables!$B$12:$B$78, Tables!C$12:C$78)</f>
        <v>51.9885442</v>
      </c>
      <c r="M543">
        <f>_xlfn.XLOOKUP(AllDataCorrected[[#This Row],[Site Name]],Tables!$B$12:$B$78, Tables!D$12:D$78)</f>
        <v>-2.1639010000000001</v>
      </c>
      <c r="N543" t="s">
        <v>23</v>
      </c>
      <c r="O543">
        <v>764</v>
      </c>
      <c r="P543">
        <v>11.4</v>
      </c>
      <c r="Q543">
        <v>5</v>
      </c>
      <c r="R543" t="str">
        <f>IF(AllDataCorrected[[#This Row],[Nitrate (PPM)]]&gt;2, "4. Very high (&gt;2ppm)", IF(AllDataCorrected[[#This Row],[Nitrate (PPM)]]&gt;1, "3. High (1-2ppm)", IF(AllDataCorrected[[#This Row],[Nitrate (PPM)]]&gt;0.5, "2. Some evidence (0.5-1ppm)", IF(AllDataCorrected[[#This Row],[Nitrate (PPM)]]&gt;=0, "1. No evidence (&lt;0.5ppm)"))))</f>
        <v>4. Very high (&gt;2ppm)</v>
      </c>
      <c r="S543">
        <v>0.61</v>
      </c>
      <c r="T5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3">
        <v>2</v>
      </c>
    </row>
    <row r="544" spans="1:22" x14ac:dyDescent="0.25">
      <c r="A544" t="s">
        <v>812</v>
      </c>
      <c r="B544" s="2">
        <v>45367</v>
      </c>
      <c r="C544" t="str" cm="1">
        <f t="array" ref="C5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4">
        <f>YEAR(AllDataCorrected[[#This Row],[Date]])</f>
        <v>2024</v>
      </c>
      <c r="E544" s="1">
        <v>0.46180555555555558</v>
      </c>
      <c r="F5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4" t="str">
        <f>_xlfn.XLOOKUP(AllDataCorrected[[#This Row],[Location Name]], Locations[Location Name],Locations[Group As])</f>
        <v>Black Bear</v>
      </c>
      <c r="H544" t="e" vm="1">
        <f>_xlfn.XLOOKUP(AllDataCorrected[[#This Row],[Site Name]],LocationsKey[Site Name],LocationsKey[District])</f>
        <v>#VALUE!</v>
      </c>
      <c r="I544" t="e" vm="1">
        <f>_xlfn.XLOOKUP(AllDataCorrected[[#This Row],[Site Name]],LocationsKey[Site Name],LocationsKey[Town])</f>
        <v>#VALUE!</v>
      </c>
      <c r="J544" t="str">
        <f>_xlfn.XLOOKUP(AllDataCorrected[[#This Row],[Site Name]],LocationsKey[Site Name], LocationsKey[Waterway])</f>
        <v>Avon</v>
      </c>
      <c r="K544" t="s">
        <v>567</v>
      </c>
      <c r="L544">
        <f>_xlfn.XLOOKUP(AllDataCorrected[[#This Row],[Site Name]],Tables!$B$12:$B$78, Tables!C$12:C$78)</f>
        <v>51.997435214285723</v>
      </c>
      <c r="M544">
        <f>_xlfn.XLOOKUP(AllDataCorrected[[#This Row],[Site Name]],Tables!$B$12:$B$78, Tables!D$12:D$78)</f>
        <v>-2.1562056785714288</v>
      </c>
      <c r="N544" t="s">
        <v>23</v>
      </c>
      <c r="O544">
        <v>645</v>
      </c>
      <c r="P544">
        <v>12.7</v>
      </c>
      <c r="Q544">
        <v>5</v>
      </c>
      <c r="R544" t="str">
        <f>IF(AllDataCorrected[[#This Row],[Nitrate (PPM)]]&gt;2, "4. Very high (&gt;2ppm)", IF(AllDataCorrected[[#This Row],[Nitrate (PPM)]]&gt;1, "3. High (1-2ppm)", IF(AllDataCorrected[[#This Row],[Nitrate (PPM)]]&gt;0.5, "2. Some evidence (0.5-1ppm)", IF(AllDataCorrected[[#This Row],[Nitrate (PPM)]]&gt;=0, "1. No evidence (&lt;0.5ppm)"))))</f>
        <v>4. Very high (&gt;2ppm)</v>
      </c>
      <c r="S544">
        <v>0.77</v>
      </c>
      <c r="T5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4">
        <v>2</v>
      </c>
    </row>
    <row r="545" spans="1:22" x14ac:dyDescent="0.25">
      <c r="A545" t="s">
        <v>813</v>
      </c>
      <c r="B545" s="2">
        <v>45367</v>
      </c>
      <c r="C545" t="str" cm="1">
        <f t="array" ref="C5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5">
        <f>YEAR(AllDataCorrected[[#This Row],[Date]])</f>
        <v>2024</v>
      </c>
      <c r="E545" s="1">
        <v>0.48958333333333331</v>
      </c>
      <c r="F5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5" t="str">
        <f>_xlfn.XLOOKUP(AllDataCorrected[[#This Row],[Location Name]], Locations[Location Name],Locations[Group As])</f>
        <v>Avon Smiths Meadow Wyre Piddle</v>
      </c>
      <c r="H545" t="e" vm="17">
        <f>_xlfn.XLOOKUP(AllDataCorrected[[#This Row],[Site Name]],LocationsKey[Site Name],LocationsKey[District])</f>
        <v>#VALUE!</v>
      </c>
      <c r="I545" t="e" vm="20">
        <f>_xlfn.XLOOKUP(AllDataCorrected[[#This Row],[Site Name]],LocationsKey[Site Name],LocationsKey[Town])</f>
        <v>#VALUE!</v>
      </c>
      <c r="J545" t="str">
        <f>_xlfn.XLOOKUP(AllDataCorrected[[#This Row],[Site Name]],LocationsKey[Site Name], LocationsKey[Waterway])</f>
        <v>Avon</v>
      </c>
      <c r="K545" t="s">
        <v>741</v>
      </c>
      <c r="L545">
        <f>_xlfn.XLOOKUP(AllDataCorrected[[#This Row],[Site Name]],Tables!$B$12:$B$78, Tables!C$12:C$78)</f>
        <v>52.123045961538452</v>
      </c>
      <c r="M545">
        <f>_xlfn.XLOOKUP(AllDataCorrected[[#This Row],[Site Name]],Tables!$B$12:$B$78, Tables!D$12:D$78)</f>
        <v>-2.0572161923076919</v>
      </c>
      <c r="N545" t="s">
        <v>23</v>
      </c>
      <c r="O545">
        <v>676</v>
      </c>
      <c r="P545">
        <v>11.3</v>
      </c>
      <c r="Q545">
        <v>5</v>
      </c>
      <c r="R545" t="str">
        <f>IF(AllDataCorrected[[#This Row],[Nitrate (PPM)]]&gt;2, "4. Very high (&gt;2ppm)", IF(AllDataCorrected[[#This Row],[Nitrate (PPM)]]&gt;1, "3. High (1-2ppm)", IF(AllDataCorrected[[#This Row],[Nitrate (PPM)]]&gt;0.5, "2. Some evidence (0.5-1ppm)", IF(AllDataCorrected[[#This Row],[Nitrate (PPM)]]&gt;=0, "1. No evidence (&lt;0.5ppm)"))))</f>
        <v>4. Very high (&gt;2ppm)</v>
      </c>
      <c r="S545">
        <v>0.6</v>
      </c>
      <c r="T5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5">
        <v>1.1000000000000001</v>
      </c>
      <c r="V545" t="s">
        <v>814</v>
      </c>
    </row>
    <row r="546" spans="1:22" x14ac:dyDescent="0.25">
      <c r="A546" t="s">
        <v>815</v>
      </c>
      <c r="B546" s="2">
        <v>45367</v>
      </c>
      <c r="C546" t="str" cm="1">
        <f t="array" ref="C5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6">
        <f>YEAR(AllDataCorrected[[#This Row],[Date]])</f>
        <v>2024</v>
      </c>
      <c r="E546" s="1">
        <v>0.51041666666666663</v>
      </c>
      <c r="F5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6" t="str">
        <f>_xlfn.XLOOKUP(AllDataCorrected[[#This Row],[Location Name]], Locations[Location Name],Locations[Group As])</f>
        <v>Piddle Brook Wyre Piddle Bridge</v>
      </c>
      <c r="H546" t="e" vm="17">
        <f>_xlfn.XLOOKUP(AllDataCorrected[[#This Row],[Site Name]],LocationsKey[Site Name],LocationsKey[District])</f>
        <v>#VALUE!</v>
      </c>
      <c r="I546" t="e" vm="20">
        <f>_xlfn.XLOOKUP(AllDataCorrected[[#This Row],[Site Name]],LocationsKey[Site Name],LocationsKey[Town])</f>
        <v>#VALUE!</v>
      </c>
      <c r="J546" t="str">
        <f>_xlfn.XLOOKUP(AllDataCorrected[[#This Row],[Site Name]],LocationsKey[Site Name], LocationsKey[Waterway])</f>
        <v>Piddle Brook</v>
      </c>
      <c r="K546" t="s">
        <v>744</v>
      </c>
      <c r="L546">
        <f>_xlfn.XLOOKUP(AllDataCorrected[[#This Row],[Site Name]],Tables!$B$12:$B$78, Tables!C$12:C$78)</f>
        <v>52.126401720000004</v>
      </c>
      <c r="M546">
        <f>_xlfn.XLOOKUP(AllDataCorrected[[#This Row],[Site Name]],Tables!$B$12:$B$78, Tables!D$12:D$78)</f>
        <v>-2.0565162000000003</v>
      </c>
      <c r="N546" t="s">
        <v>23</v>
      </c>
      <c r="O546">
        <v>672</v>
      </c>
      <c r="P546">
        <v>10.3</v>
      </c>
      <c r="Q546">
        <v>5</v>
      </c>
      <c r="R546" t="str">
        <f>IF(AllDataCorrected[[#This Row],[Nitrate (PPM)]]&gt;2, "4. Very high (&gt;2ppm)", IF(AllDataCorrected[[#This Row],[Nitrate (PPM)]]&gt;1, "3. High (1-2ppm)", IF(AllDataCorrected[[#This Row],[Nitrate (PPM)]]&gt;0.5, "2. Some evidence (0.5-1ppm)", IF(AllDataCorrected[[#This Row],[Nitrate (PPM)]]&gt;=0, "1. No evidence (&lt;0.5ppm)"))))</f>
        <v>4. Very high (&gt;2ppm)</v>
      </c>
      <c r="S546">
        <v>0.53</v>
      </c>
      <c r="T5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6">
        <v>0.4</v>
      </c>
      <c r="V546" t="s">
        <v>816</v>
      </c>
    </row>
    <row r="547" spans="1:22" x14ac:dyDescent="0.25">
      <c r="A547" t="s">
        <v>817</v>
      </c>
      <c r="B547" s="2">
        <v>45367</v>
      </c>
      <c r="C547" t="str" cm="1">
        <f t="array" ref="C5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7">
        <f>YEAR(AllDataCorrected[[#This Row],[Date]])</f>
        <v>2024</v>
      </c>
      <c r="E547" s="1">
        <v>0.60069444444444442</v>
      </c>
      <c r="F5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7" t="str">
        <f>_xlfn.XLOOKUP(AllDataCorrected[[#This Row],[Location Name]], Locations[Location Name],Locations[Group As])</f>
        <v>Fell Mill Footbridge</v>
      </c>
      <c r="H547" t="e" vm="2">
        <f>_xlfn.XLOOKUP(AllDataCorrected[[#This Row],[Site Name]],LocationsKey[Site Name],LocationsKey[District])</f>
        <v>#VALUE!</v>
      </c>
      <c r="I547" t="e" vm="10">
        <f>_xlfn.XLOOKUP(AllDataCorrected[[#This Row],[Site Name]],LocationsKey[Site Name],LocationsKey[Town])</f>
        <v>#VALUE!</v>
      </c>
      <c r="J547" t="str">
        <f>_xlfn.XLOOKUP(AllDataCorrected[[#This Row],[Site Name]],LocationsKey[Site Name], LocationsKey[Waterway])</f>
        <v>Stour</v>
      </c>
      <c r="K547" t="s">
        <v>818</v>
      </c>
      <c r="L547">
        <f>_xlfn.XLOOKUP(AllDataCorrected[[#This Row],[Site Name]],Tables!$B$12:$B$78, Tables!C$12:C$78)</f>
        <v>52.067966827586183</v>
      </c>
      <c r="M547">
        <f>_xlfn.XLOOKUP(AllDataCorrected[[#This Row],[Site Name]],Tables!$B$12:$B$78, Tables!D$12:D$78)</f>
        <v>-1.6118101379310343</v>
      </c>
      <c r="N547" t="s">
        <v>29</v>
      </c>
      <c r="O547">
        <v>599</v>
      </c>
      <c r="P547">
        <v>10.1</v>
      </c>
      <c r="Q547">
        <v>10</v>
      </c>
      <c r="R547" t="str">
        <f>IF(AllDataCorrected[[#This Row],[Nitrate (PPM)]]&gt;2, "4. Very high (&gt;2ppm)", IF(AllDataCorrected[[#This Row],[Nitrate (PPM)]]&gt;1, "3. High (1-2ppm)", IF(AllDataCorrected[[#This Row],[Nitrate (PPM)]]&gt;0.5, "2. Some evidence (0.5-1ppm)", IF(AllDataCorrected[[#This Row],[Nitrate (PPM)]]&gt;=0, "1. No evidence (&lt;0.5ppm)"))))</f>
        <v>4. Very high (&gt;2ppm)</v>
      </c>
      <c r="S547">
        <v>0.27</v>
      </c>
      <c r="T5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7">
        <v>2</v>
      </c>
      <c r="V547" t="s">
        <v>819</v>
      </c>
    </row>
    <row r="548" spans="1:22" x14ac:dyDescent="0.25">
      <c r="A548" t="s">
        <v>828</v>
      </c>
      <c r="B548" s="2">
        <v>45368</v>
      </c>
      <c r="C548" t="str" cm="1">
        <f t="array" ref="C5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8">
        <f>YEAR(AllDataCorrected[[#This Row],[Date]])</f>
        <v>2024</v>
      </c>
      <c r="E548" s="1">
        <v>0.4375</v>
      </c>
      <c r="F5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8" t="str">
        <f>_xlfn.XLOOKUP(AllDataCorrected[[#This Row],[Location Name]], Locations[Location Name],Locations[Group As])</f>
        <v>Lucy's Mill Bridge</v>
      </c>
      <c r="H548" t="e" vm="2">
        <f>_xlfn.XLOOKUP(AllDataCorrected[[#This Row],[Site Name]],LocationsKey[Site Name],LocationsKey[District])</f>
        <v>#VALUE!</v>
      </c>
      <c r="I548" t="e" vm="7">
        <f>_xlfn.XLOOKUP(AllDataCorrected[[#This Row],[Site Name]],LocationsKey[Site Name],LocationsKey[Town])</f>
        <v>#VALUE!</v>
      </c>
      <c r="J548" t="str">
        <f>_xlfn.XLOOKUP(AllDataCorrected[[#This Row],[Site Name]],LocationsKey[Site Name], LocationsKey[Waterway])</f>
        <v>Avon</v>
      </c>
      <c r="K548" t="s">
        <v>216</v>
      </c>
      <c r="L548">
        <f>_xlfn.XLOOKUP(AllDataCorrected[[#This Row],[Site Name]],Tables!$B$12:$B$78, Tables!C$12:C$78)</f>
        <v>52.183699000000011</v>
      </c>
      <c r="M548">
        <f>_xlfn.XLOOKUP(AllDataCorrected[[#This Row],[Site Name]],Tables!$B$12:$B$78, Tables!D$12:D$78)</f>
        <v>-1.7078160000000004</v>
      </c>
      <c r="N548" t="s">
        <v>29</v>
      </c>
      <c r="P548">
        <v>11.2</v>
      </c>
      <c r="Q548">
        <v>5</v>
      </c>
      <c r="R548" t="str">
        <f>IF(AllDataCorrected[[#This Row],[Nitrate (PPM)]]&gt;2, "4. Very high (&gt;2ppm)", IF(AllDataCorrected[[#This Row],[Nitrate (PPM)]]&gt;1, "3. High (1-2ppm)", IF(AllDataCorrected[[#This Row],[Nitrate (PPM)]]&gt;0.5, "2. Some evidence (0.5-1ppm)", IF(AllDataCorrected[[#This Row],[Nitrate (PPM)]]&gt;=0, "1. No evidence (&lt;0.5ppm)"))))</f>
        <v>4. Very high (&gt;2ppm)</v>
      </c>
      <c r="S548">
        <v>0.25</v>
      </c>
      <c r="T5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8">
        <v>0.7</v>
      </c>
    </row>
    <row r="549" spans="1:22" x14ac:dyDescent="0.25">
      <c r="A549" t="s">
        <v>820</v>
      </c>
      <c r="B549" s="2">
        <v>45368</v>
      </c>
      <c r="C549" t="str" cm="1">
        <f t="array" ref="C5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9">
        <f>YEAR(AllDataCorrected[[#This Row],[Date]])</f>
        <v>2024</v>
      </c>
      <c r="E549" s="1">
        <v>0.48958333333333331</v>
      </c>
      <c r="F5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9" t="str">
        <f>_xlfn.XLOOKUP(AllDataCorrected[[#This Row],[Location Name]], Locations[Location Name],Locations[Group As])</f>
        <v>Carrant Bredon Rd</v>
      </c>
      <c r="H549" t="e" vm="1">
        <f>_xlfn.XLOOKUP(AllDataCorrected[[#This Row],[Site Name]],LocationsKey[Site Name],LocationsKey[District])</f>
        <v>#VALUE!</v>
      </c>
      <c r="I549" t="e" vm="1">
        <f>_xlfn.XLOOKUP(AllDataCorrected[[#This Row],[Site Name]],LocationsKey[Site Name],LocationsKey[Town])</f>
        <v>#VALUE!</v>
      </c>
      <c r="J549" t="str">
        <f>_xlfn.XLOOKUP(AllDataCorrected[[#This Row],[Site Name]],LocationsKey[Site Name], LocationsKey[Waterway])</f>
        <v>Carrant</v>
      </c>
      <c r="K549" t="s">
        <v>600</v>
      </c>
      <c r="L549">
        <f>_xlfn.XLOOKUP(AllDataCorrected[[#This Row],[Site Name]],Tables!$B$12:$B$78, Tables!C$12:C$78)</f>
        <v>51.996416567567572</v>
      </c>
      <c r="M549">
        <f>_xlfn.XLOOKUP(AllDataCorrected[[#This Row],[Site Name]],Tables!$B$12:$B$78, Tables!D$12:D$78)</f>
        <v>-2.1556626756756749</v>
      </c>
      <c r="N549" t="s">
        <v>23</v>
      </c>
      <c r="O549">
        <v>535</v>
      </c>
      <c r="P549">
        <v>12.4</v>
      </c>
      <c r="Q549">
        <v>5</v>
      </c>
      <c r="R549" t="str">
        <f>IF(AllDataCorrected[[#This Row],[Nitrate (PPM)]]&gt;2, "4. Very high (&gt;2ppm)", IF(AllDataCorrected[[#This Row],[Nitrate (PPM)]]&gt;1, "3. High (1-2ppm)", IF(AllDataCorrected[[#This Row],[Nitrate (PPM)]]&gt;0.5, "2. Some evidence (0.5-1ppm)", IF(AllDataCorrected[[#This Row],[Nitrate (PPM)]]&gt;=0, "1. No evidence (&lt;0.5ppm)"))))</f>
        <v>4. Very high (&gt;2ppm)</v>
      </c>
      <c r="S549">
        <v>0.19</v>
      </c>
      <c r="T5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9">
        <v>0.32</v>
      </c>
      <c r="V549" t="s">
        <v>821</v>
      </c>
    </row>
    <row r="550" spans="1:22" x14ac:dyDescent="0.25">
      <c r="A550" t="s">
        <v>822</v>
      </c>
      <c r="B550" s="2">
        <v>45368</v>
      </c>
      <c r="C550" t="str" cm="1">
        <f t="array" ref="C5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0">
        <f>YEAR(AllDataCorrected[[#This Row],[Date]])</f>
        <v>2024</v>
      </c>
      <c r="E550" s="1">
        <v>0.59375</v>
      </c>
      <c r="F5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0" t="str">
        <f>_xlfn.XLOOKUP(AllDataCorrected[[#This Row],[Location Name]], Locations[Location Name],Locations[Group As])</f>
        <v>Clifford Chambers Mill Bridge</v>
      </c>
      <c r="H550" t="e" vm="2">
        <f>_xlfn.XLOOKUP(AllDataCorrected[[#This Row],[Site Name]],LocationsKey[Site Name],LocationsKey[District])</f>
        <v>#VALUE!</v>
      </c>
      <c r="I550" t="e" vm="12">
        <f>_xlfn.XLOOKUP(AllDataCorrected[[#This Row],[Site Name]],LocationsKey[Site Name],LocationsKey[Town])</f>
        <v>#VALUE!</v>
      </c>
      <c r="J550" t="str">
        <f>_xlfn.XLOOKUP(AllDataCorrected[[#This Row],[Site Name]],LocationsKey[Site Name], LocationsKey[Waterway])</f>
        <v>Stour</v>
      </c>
      <c r="K550" t="s">
        <v>263</v>
      </c>
      <c r="L550">
        <f>_xlfn.XLOOKUP(AllDataCorrected[[#This Row],[Site Name]],Tables!$B$12:$B$78, Tables!C$12:C$78)</f>
        <v>52.166358517241363</v>
      </c>
      <c r="M550">
        <f>_xlfn.XLOOKUP(AllDataCorrected[[#This Row],[Site Name]],Tables!$B$12:$B$78, Tables!D$12:D$78)</f>
        <v>-1.7080419310344837</v>
      </c>
      <c r="N550" t="s">
        <v>66</v>
      </c>
      <c r="O550">
        <v>538</v>
      </c>
      <c r="P550">
        <v>16.5</v>
      </c>
      <c r="Q550">
        <v>5</v>
      </c>
      <c r="R550" t="str">
        <f>IF(AllDataCorrected[[#This Row],[Nitrate (PPM)]]&gt;2, "4. Very high (&gt;2ppm)", IF(AllDataCorrected[[#This Row],[Nitrate (PPM)]]&gt;1, "3. High (1-2ppm)", IF(AllDataCorrected[[#This Row],[Nitrate (PPM)]]&gt;0.5, "2. Some evidence (0.5-1ppm)", IF(AllDataCorrected[[#This Row],[Nitrate (PPM)]]&gt;=0, "1. No evidence (&lt;0.5ppm)"))))</f>
        <v>4. Very high (&gt;2ppm)</v>
      </c>
      <c r="S550">
        <v>0.3</v>
      </c>
      <c r="T55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0">
        <v>1.7</v>
      </c>
    </row>
    <row r="551" spans="1:22" x14ac:dyDescent="0.25">
      <c r="A551" t="s">
        <v>823</v>
      </c>
      <c r="B551" s="2">
        <v>45368</v>
      </c>
      <c r="C551" t="str" cm="1">
        <f t="array" ref="C5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1">
        <f>YEAR(AllDataCorrected[[#This Row],[Date]])</f>
        <v>2024</v>
      </c>
      <c r="E551" s="1">
        <v>0.59722222222222221</v>
      </c>
      <c r="F5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1" t="str">
        <f>_xlfn.XLOOKUP(AllDataCorrected[[#This Row],[Location Name]], Locations[Location Name],Locations[Group As])</f>
        <v>The Ford, Langley</v>
      </c>
      <c r="H551" t="e" vm="2">
        <f>_xlfn.XLOOKUP(AllDataCorrected[[#This Row],[Site Name]],LocationsKey[Site Name],LocationsKey[District])</f>
        <v>#VALUE!</v>
      </c>
      <c r="I551" t="str">
        <f>_xlfn.XLOOKUP(AllDataCorrected[[#This Row],[Site Name]],LocationsKey[Site Name],LocationsKey[Town])</f>
        <v>Langley</v>
      </c>
      <c r="J551" t="str">
        <f>_xlfn.XLOOKUP(AllDataCorrected[[#This Row],[Site Name]],LocationsKey[Site Name], LocationsKey[Waterway])</f>
        <v>Langley Ford</v>
      </c>
      <c r="K551" t="s">
        <v>557</v>
      </c>
      <c r="L551">
        <f>_xlfn.XLOOKUP(AllDataCorrected[[#This Row],[Site Name]],Tables!$B$12:$B$78, Tables!C$12:C$78)</f>
        <v>52.261724821428579</v>
      </c>
      <c r="M551">
        <f>_xlfn.XLOOKUP(AllDataCorrected[[#This Row],[Site Name]],Tables!$B$12:$B$78, Tables!D$12:D$78)</f>
        <v>-1.719408857142857</v>
      </c>
      <c r="N551" t="s">
        <v>29</v>
      </c>
      <c r="O551">
        <v>223</v>
      </c>
      <c r="P551">
        <v>12.7</v>
      </c>
      <c r="Q551">
        <v>0.5</v>
      </c>
      <c r="R55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551">
        <v>0.73</v>
      </c>
      <c r="T5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1">
        <v>0.65</v>
      </c>
      <c r="V551" t="s">
        <v>824</v>
      </c>
    </row>
    <row r="552" spans="1:22" x14ac:dyDescent="0.25">
      <c r="A552" t="s">
        <v>825</v>
      </c>
      <c r="B552" s="2">
        <v>45368</v>
      </c>
      <c r="C552" t="str" cm="1">
        <f t="array" ref="C5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2">
        <f>YEAR(AllDataCorrected[[#This Row],[Date]])</f>
        <v>2024</v>
      </c>
      <c r="E552" s="1">
        <v>0.62708333333333333</v>
      </c>
      <c r="F5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2" t="str">
        <f>_xlfn.XLOOKUP(AllDataCorrected[[#This Row],[Location Name]], Locations[Location Name],Locations[Group As])</f>
        <v>Sherbourne Brook 1</v>
      </c>
      <c r="H552" t="e" vm="2">
        <f>_xlfn.XLOOKUP(AllDataCorrected[[#This Row],[Site Name]],LocationsKey[Site Name],LocationsKey[District])</f>
        <v>#VALUE!</v>
      </c>
      <c r="I552" t="e" vm="16">
        <f>_xlfn.XLOOKUP(AllDataCorrected[[#This Row],[Site Name]],LocationsKey[Site Name],LocationsKey[Town])</f>
        <v>#VALUE!</v>
      </c>
      <c r="J552" t="str">
        <f>_xlfn.XLOOKUP(AllDataCorrected[[#This Row],[Site Name]],LocationsKey[Site Name], LocationsKey[Waterway])</f>
        <v>Sherbourne Brook</v>
      </c>
      <c r="K552" t="s">
        <v>570</v>
      </c>
      <c r="L552">
        <f>_xlfn.XLOOKUP(AllDataCorrected[[#This Row],[Site Name]],Tables!$B$12:$B$78, Tables!C$12:C$78)</f>
        <v>52.252500000000033</v>
      </c>
      <c r="M552">
        <f>_xlfn.XLOOKUP(AllDataCorrected[[#This Row],[Site Name]],Tables!$B$12:$B$78, Tables!D$12:D$78)</f>
        <v>-1.6685000000000012</v>
      </c>
      <c r="N552" t="s">
        <v>23</v>
      </c>
      <c r="O552">
        <v>193</v>
      </c>
      <c r="P552">
        <v>11.7</v>
      </c>
      <c r="Q552">
        <v>3</v>
      </c>
      <c r="R552" t="str">
        <f>IF(AllDataCorrected[[#This Row],[Nitrate (PPM)]]&gt;2, "4. Very high (&gt;2ppm)", IF(AllDataCorrected[[#This Row],[Nitrate (PPM)]]&gt;1, "3. High (1-2ppm)", IF(AllDataCorrected[[#This Row],[Nitrate (PPM)]]&gt;0.5, "2. Some evidence (0.5-1ppm)", IF(AllDataCorrected[[#This Row],[Nitrate (PPM)]]&gt;=0, "1. No evidence (&lt;0.5ppm)"))))</f>
        <v>4. Very high (&gt;2ppm)</v>
      </c>
      <c r="S552">
        <v>0.68</v>
      </c>
      <c r="T5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2">
        <v>1</v>
      </c>
      <c r="V552" t="s">
        <v>826</v>
      </c>
    </row>
    <row r="553" spans="1:22" x14ac:dyDescent="0.25">
      <c r="A553" t="s">
        <v>827</v>
      </c>
      <c r="B553" s="2">
        <v>45368</v>
      </c>
      <c r="C553" t="str" cm="1">
        <f t="array" ref="C5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3">
        <f>YEAR(AllDataCorrected[[#This Row],[Date]])</f>
        <v>2024</v>
      </c>
      <c r="E553" s="1">
        <v>0.63541666666666663</v>
      </c>
      <c r="F5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3" t="str">
        <f>_xlfn.XLOOKUP(AllDataCorrected[[#This Row],[Location Name]], Locations[Location Name],Locations[Group As])</f>
        <v>Bell Brook 1</v>
      </c>
      <c r="H553" t="e" vm="2">
        <f>_xlfn.XLOOKUP(AllDataCorrected[[#This Row],[Site Name]],LocationsKey[Site Name],LocationsKey[District])</f>
        <v>#VALUE!</v>
      </c>
      <c r="I553" t="e" vm="15">
        <f>_xlfn.XLOOKUP(AllDataCorrected[[#This Row],[Site Name]],LocationsKey[Site Name],LocationsKey[Town])</f>
        <v>#VALUE!</v>
      </c>
      <c r="J553" t="str">
        <f>_xlfn.XLOOKUP(AllDataCorrected[[#This Row],[Site Name]],LocationsKey[Site Name], LocationsKey[Waterway])</f>
        <v>Bell Brook</v>
      </c>
      <c r="K553" t="s">
        <v>534</v>
      </c>
      <c r="L553">
        <f>_xlfn.XLOOKUP(AllDataCorrected[[#This Row],[Site Name]],Tables!$B$12:$B$78, Tables!C$12:C$78)</f>
        <v>52.24489999999998</v>
      </c>
      <c r="M553">
        <f>_xlfn.XLOOKUP(AllDataCorrected[[#This Row],[Site Name]],Tables!$B$12:$B$78, Tables!D$12:D$78)</f>
        <v>-1.6617000000000013</v>
      </c>
      <c r="N553" t="s">
        <v>23</v>
      </c>
      <c r="O553">
        <v>222</v>
      </c>
      <c r="P553">
        <v>12.1</v>
      </c>
      <c r="Q553">
        <v>2</v>
      </c>
      <c r="R553" t="str">
        <f>IF(AllDataCorrected[[#This Row],[Nitrate (PPM)]]&gt;2, "4. Very high (&gt;2ppm)", IF(AllDataCorrected[[#This Row],[Nitrate (PPM)]]&gt;1, "3. High (1-2ppm)", IF(AllDataCorrected[[#This Row],[Nitrate (PPM)]]&gt;0.5, "2. Some evidence (0.5-1ppm)", IF(AllDataCorrected[[#This Row],[Nitrate (PPM)]]&gt;=0, "1. No evidence (&lt;0.5ppm)"))))</f>
        <v>3. High (1-2ppm)</v>
      </c>
      <c r="S553">
        <v>0.41</v>
      </c>
      <c r="T5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3">
        <v>1</v>
      </c>
      <c r="V553" t="s">
        <v>826</v>
      </c>
    </row>
    <row r="554" spans="1:22" x14ac:dyDescent="0.25">
      <c r="A554" t="s">
        <v>1747</v>
      </c>
      <c r="B554" s="2">
        <v>45368</v>
      </c>
      <c r="C554" t="str" cm="1">
        <f t="array" ref="C5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4">
        <f>YEAR(AllDataCorrected[[#This Row],[Date]])</f>
        <v>2024</v>
      </c>
      <c r="F55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4" t="str">
        <f>_xlfn.XLOOKUP(AllDataCorrected[[#This Row],[Location Name]], Locations[Location Name],Locations[Group As])</f>
        <v>Site 1  :  Middle Street</v>
      </c>
      <c r="H554" t="e" vm="2">
        <f>_xlfn.XLOOKUP(AllDataCorrected[[#This Row],[Site Name]],LocationsKey[Site Name],LocationsKey[District])</f>
        <v>#VALUE!</v>
      </c>
      <c r="I554" t="e" vm="11">
        <f>_xlfn.XLOOKUP(AllDataCorrected[[#This Row],[Site Name]],LocationsKey[Site Name],LocationsKey[Town])</f>
        <v>#VALUE!</v>
      </c>
      <c r="J554" t="str">
        <f>_xlfn.XLOOKUP(AllDataCorrected[[#This Row],[Site Name]],LocationsKey[Site Name], LocationsKey[Waterway])</f>
        <v>Fosseway Brook</v>
      </c>
      <c r="K554" t="s">
        <v>1859</v>
      </c>
      <c r="L554">
        <f>_xlfn.XLOOKUP(AllDataCorrected[[#This Row],[Site Name]],Tables!$B$12:$B$78, Tables!C$12:C$78)</f>
        <v>52.090077380952394</v>
      </c>
      <c r="M554">
        <f>_xlfn.XLOOKUP(AllDataCorrected[[#This Row],[Site Name]],Tables!$B$12:$B$78, Tables!D$12:D$78)</f>
        <v>-1.6926051666666673</v>
      </c>
      <c r="N554" t="s">
        <v>66</v>
      </c>
      <c r="O554">
        <v>470</v>
      </c>
      <c r="P554">
        <v>11.6</v>
      </c>
      <c r="Q554">
        <v>2</v>
      </c>
      <c r="R554" t="str">
        <f>IF(AllDataCorrected[[#This Row],[Nitrate (PPM)]]&gt;2, "4. Very high (&gt;2ppm)", IF(AllDataCorrected[[#This Row],[Nitrate (PPM)]]&gt;1, "3. High (1-2ppm)", IF(AllDataCorrected[[#This Row],[Nitrate (PPM)]]&gt;0.5, "2. Some evidence (0.5-1ppm)", IF(AllDataCorrected[[#This Row],[Nitrate (PPM)]]&gt;=0, "1. No evidence (&lt;0.5ppm)"))))</f>
        <v>3. High (1-2ppm)</v>
      </c>
      <c r="S554">
        <v>0.06</v>
      </c>
      <c r="T55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554">
        <v>0</v>
      </c>
      <c r="V554" t="s">
        <v>1897</v>
      </c>
    </row>
    <row r="555" spans="1:22" x14ac:dyDescent="0.25">
      <c r="A555" t="s">
        <v>1455</v>
      </c>
      <c r="B555" s="2">
        <v>45368</v>
      </c>
      <c r="C555" t="str" cm="1">
        <f t="array" ref="C5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5">
        <f>YEAR(AllDataCorrected[[#This Row],[Date]])</f>
        <v>2024</v>
      </c>
      <c r="F55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5" t="str">
        <f>_xlfn.XLOOKUP(AllDataCorrected[[#This Row],[Location Name]], Locations[Location Name],Locations[Group As])</f>
        <v>Site 1  :  Middle Street</v>
      </c>
      <c r="H555" t="e" vm="2">
        <f>_xlfn.XLOOKUP(AllDataCorrected[[#This Row],[Site Name]],LocationsKey[Site Name],LocationsKey[District])</f>
        <v>#VALUE!</v>
      </c>
      <c r="I555" t="e" vm="11">
        <f>_xlfn.XLOOKUP(AllDataCorrected[[#This Row],[Site Name]],LocationsKey[Site Name],LocationsKey[Town])</f>
        <v>#VALUE!</v>
      </c>
      <c r="J555" t="str">
        <f>_xlfn.XLOOKUP(AllDataCorrected[[#This Row],[Site Name]],LocationsKey[Site Name], LocationsKey[Waterway])</f>
        <v>Fosseway Brook</v>
      </c>
      <c r="K555" t="s">
        <v>1373</v>
      </c>
      <c r="L555">
        <f>_xlfn.XLOOKUP(AllDataCorrected[[#This Row],[Site Name]],Tables!$B$12:$B$78, Tables!C$12:C$78)</f>
        <v>52.090077380952394</v>
      </c>
      <c r="M555">
        <f>_xlfn.XLOOKUP(AllDataCorrected[[#This Row],[Site Name]],Tables!$B$12:$B$78, Tables!D$12:D$78)</f>
        <v>-1.6926051666666673</v>
      </c>
      <c r="N555" t="s">
        <v>66</v>
      </c>
      <c r="O555">
        <v>470</v>
      </c>
      <c r="P555">
        <v>11.6</v>
      </c>
      <c r="Q555">
        <v>2</v>
      </c>
      <c r="R555" t="str">
        <f>IF(AllDataCorrected[[#This Row],[Nitrate (PPM)]]&gt;2, "4. Very high (&gt;2ppm)", IF(AllDataCorrected[[#This Row],[Nitrate (PPM)]]&gt;1, "3. High (1-2ppm)", IF(AllDataCorrected[[#This Row],[Nitrate (PPM)]]&gt;0.5, "2. Some evidence (0.5-1ppm)", IF(AllDataCorrected[[#This Row],[Nitrate (PPM)]]&gt;=0, "1. No evidence (&lt;0.5ppm)"))))</f>
        <v>3. High (1-2ppm)</v>
      </c>
      <c r="S555">
        <v>0.06</v>
      </c>
      <c r="T55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555" t="s">
        <v>1456</v>
      </c>
    </row>
    <row r="556" spans="1:22" x14ac:dyDescent="0.25">
      <c r="A556" t="s">
        <v>1752</v>
      </c>
      <c r="B556" s="2">
        <v>45368</v>
      </c>
      <c r="C556" t="str" cm="1">
        <f t="array" ref="C5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6">
        <f>YEAR(AllDataCorrected[[#This Row],[Date]])</f>
        <v>2024</v>
      </c>
      <c r="F55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6" t="str">
        <f>_xlfn.XLOOKUP(AllDataCorrected[[#This Row],[Location Name]], Locations[Location Name],Locations[Group As])</f>
        <v>Site 2  :  Cross Leys culvert</v>
      </c>
      <c r="H556" t="e" vm="2">
        <f>_xlfn.XLOOKUP(AllDataCorrected[[#This Row],[Site Name]],LocationsKey[Site Name],LocationsKey[District])</f>
        <v>#VALUE!</v>
      </c>
      <c r="I556" t="e" vm="11">
        <f>_xlfn.XLOOKUP(AllDataCorrected[[#This Row],[Site Name]],LocationsKey[Site Name],LocationsKey[Town])</f>
        <v>#VALUE!</v>
      </c>
      <c r="J556" t="str">
        <f>_xlfn.XLOOKUP(AllDataCorrected[[#This Row],[Site Name]],LocationsKey[Site Name], LocationsKey[Waterway])</f>
        <v>Fosseway Brook</v>
      </c>
      <c r="K556" t="s">
        <v>1860</v>
      </c>
      <c r="L556">
        <f>_xlfn.XLOOKUP(AllDataCorrected[[#This Row],[Site Name]],Tables!$B$12:$B$78, Tables!C$12:C$78)</f>
        <v>52.092990199999988</v>
      </c>
      <c r="M556">
        <f>_xlfn.XLOOKUP(AllDataCorrected[[#This Row],[Site Name]],Tables!$B$12:$B$78, Tables!D$12:D$78)</f>
        <v>-1.6862810999999998</v>
      </c>
      <c r="N556" t="s">
        <v>66</v>
      </c>
      <c r="O556">
        <v>456</v>
      </c>
      <c r="P556">
        <v>11.3</v>
      </c>
      <c r="Q556">
        <v>2</v>
      </c>
      <c r="R556" t="str">
        <f>IF(AllDataCorrected[[#This Row],[Nitrate (PPM)]]&gt;2, "4. Very high (&gt;2ppm)", IF(AllDataCorrected[[#This Row],[Nitrate (PPM)]]&gt;1, "3. High (1-2ppm)", IF(AllDataCorrected[[#This Row],[Nitrate (PPM)]]&gt;0.5, "2. Some evidence (0.5-1ppm)", IF(AllDataCorrected[[#This Row],[Nitrate (PPM)]]&gt;=0, "1. No evidence (&lt;0.5ppm)"))))</f>
        <v>3. High (1-2ppm)</v>
      </c>
      <c r="S556">
        <v>0.4</v>
      </c>
      <c r="T5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6">
        <v>0</v>
      </c>
      <c r="V556" t="s">
        <v>1900</v>
      </c>
    </row>
    <row r="557" spans="1:22" x14ac:dyDescent="0.25">
      <c r="A557" t="s">
        <v>1449</v>
      </c>
      <c r="B557" s="2">
        <v>45368</v>
      </c>
      <c r="C557" t="str" cm="1">
        <f t="array" ref="C5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7">
        <f>YEAR(AllDataCorrected[[#This Row],[Date]])</f>
        <v>2024</v>
      </c>
      <c r="F55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7" t="str">
        <f>_xlfn.XLOOKUP(AllDataCorrected[[#This Row],[Location Name]], Locations[Location Name],Locations[Group As])</f>
        <v>Site 2  :  Cross Leys culvert</v>
      </c>
      <c r="H557" t="e" vm="2">
        <f>_xlfn.XLOOKUP(AllDataCorrected[[#This Row],[Site Name]],LocationsKey[Site Name],LocationsKey[District])</f>
        <v>#VALUE!</v>
      </c>
      <c r="I557" t="e" vm="11">
        <f>_xlfn.XLOOKUP(AllDataCorrected[[#This Row],[Site Name]],LocationsKey[Site Name],LocationsKey[Town])</f>
        <v>#VALUE!</v>
      </c>
      <c r="J557" t="str">
        <f>_xlfn.XLOOKUP(AllDataCorrected[[#This Row],[Site Name]],LocationsKey[Site Name], LocationsKey[Waterway])</f>
        <v>Fosseway Brook</v>
      </c>
      <c r="K557" t="s">
        <v>1371</v>
      </c>
      <c r="L557">
        <f>_xlfn.XLOOKUP(AllDataCorrected[[#This Row],[Site Name]],Tables!$B$12:$B$78, Tables!C$12:C$78)</f>
        <v>52.092990199999988</v>
      </c>
      <c r="M557">
        <f>_xlfn.XLOOKUP(AllDataCorrected[[#This Row],[Site Name]],Tables!$B$12:$B$78, Tables!D$12:D$78)</f>
        <v>-1.6862810999999998</v>
      </c>
      <c r="N557" t="s">
        <v>66</v>
      </c>
      <c r="O557">
        <v>456</v>
      </c>
      <c r="P557">
        <v>11.3</v>
      </c>
      <c r="Q557">
        <v>2</v>
      </c>
      <c r="R557" t="str">
        <f>IF(AllDataCorrected[[#This Row],[Nitrate (PPM)]]&gt;2, "4. Very high (&gt;2ppm)", IF(AllDataCorrected[[#This Row],[Nitrate (PPM)]]&gt;1, "3. High (1-2ppm)", IF(AllDataCorrected[[#This Row],[Nitrate (PPM)]]&gt;0.5, "2. Some evidence (0.5-1ppm)", IF(AllDataCorrected[[#This Row],[Nitrate (PPM)]]&gt;=0, "1. No evidence (&lt;0.5ppm)"))))</f>
        <v>3. High (1-2ppm)</v>
      </c>
      <c r="S557">
        <v>0.4</v>
      </c>
      <c r="T5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557" t="s">
        <v>1450</v>
      </c>
    </row>
    <row r="558" spans="1:22" x14ac:dyDescent="0.25">
      <c r="A558" t="s">
        <v>1757</v>
      </c>
      <c r="B558" s="2">
        <v>45368</v>
      </c>
      <c r="C558" t="str" cm="1">
        <f t="array" ref="C5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8">
        <f>YEAR(AllDataCorrected[[#This Row],[Date]])</f>
        <v>2024</v>
      </c>
      <c r="F55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8" t="str">
        <f>_xlfn.XLOOKUP(AllDataCorrected[[#This Row],[Location Name]], Locations[Location Name],Locations[Group As])</f>
        <v>Site 3  :  Severn Trent Water processing plant outflow</v>
      </c>
      <c r="H558" t="e" vm="2">
        <f>_xlfn.XLOOKUP(AllDataCorrected[[#This Row],[Site Name]],LocationsKey[Site Name],LocationsKey[District])</f>
        <v>#VALUE!</v>
      </c>
      <c r="I558" t="e" vm="11">
        <f>_xlfn.XLOOKUP(AllDataCorrected[[#This Row],[Site Name]],LocationsKey[Site Name],LocationsKey[Town])</f>
        <v>#VALUE!</v>
      </c>
      <c r="J558" t="str">
        <f>_xlfn.XLOOKUP(AllDataCorrected[[#This Row],[Site Name]],LocationsKey[Site Name], LocationsKey[Waterway])</f>
        <v>Fosseway Brook</v>
      </c>
      <c r="K558" t="s">
        <v>1861</v>
      </c>
      <c r="L558">
        <f>_xlfn.XLOOKUP(AllDataCorrected[[#This Row],[Site Name]],Tables!$B$12:$B$78, Tables!C$12:C$78)</f>
        <v>52.094341024390218</v>
      </c>
      <c r="M558">
        <f>_xlfn.XLOOKUP(AllDataCorrected[[#This Row],[Site Name]],Tables!$B$12:$B$78, Tables!D$12:D$78)</f>
        <v>-1.6731015853658531</v>
      </c>
      <c r="N558" t="s">
        <v>29</v>
      </c>
      <c r="O558">
        <v>484</v>
      </c>
      <c r="P558">
        <v>11</v>
      </c>
      <c r="Q558">
        <v>2</v>
      </c>
      <c r="R558" t="str">
        <f>IF(AllDataCorrected[[#This Row],[Nitrate (PPM)]]&gt;2, "4. Very high (&gt;2ppm)", IF(AllDataCorrected[[#This Row],[Nitrate (PPM)]]&gt;1, "3. High (1-2ppm)", IF(AllDataCorrected[[#This Row],[Nitrate (PPM)]]&gt;0.5, "2. Some evidence (0.5-1ppm)", IF(AllDataCorrected[[#This Row],[Nitrate (PPM)]]&gt;=0, "1. No evidence (&lt;0.5ppm)"))))</f>
        <v>3. High (1-2ppm)</v>
      </c>
      <c r="S558">
        <v>0.79</v>
      </c>
      <c r="T5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8">
        <v>0</v>
      </c>
      <c r="V558" t="s">
        <v>1903</v>
      </c>
    </row>
    <row r="559" spans="1:22" x14ac:dyDescent="0.25">
      <c r="A559" t="s">
        <v>1442</v>
      </c>
      <c r="B559" s="2">
        <v>45368</v>
      </c>
      <c r="C559" t="str" cm="1">
        <f t="array" ref="C5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9">
        <f>YEAR(AllDataCorrected[[#This Row],[Date]])</f>
        <v>2024</v>
      </c>
      <c r="F55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9" t="str">
        <f>_xlfn.XLOOKUP(AllDataCorrected[[#This Row],[Location Name]], Locations[Location Name],Locations[Group As])</f>
        <v>Site 3  :  Severn Trent Water processing plant outflow</v>
      </c>
      <c r="H559" t="e" vm="2">
        <f>_xlfn.XLOOKUP(AllDataCorrected[[#This Row],[Site Name]],LocationsKey[Site Name],LocationsKey[District])</f>
        <v>#VALUE!</v>
      </c>
      <c r="I559" t="e" vm="11">
        <f>_xlfn.XLOOKUP(AllDataCorrected[[#This Row],[Site Name]],LocationsKey[Site Name],LocationsKey[Town])</f>
        <v>#VALUE!</v>
      </c>
      <c r="J559" t="str">
        <f>_xlfn.XLOOKUP(AllDataCorrected[[#This Row],[Site Name]],LocationsKey[Site Name], LocationsKey[Waterway])</f>
        <v>Fosseway Brook</v>
      </c>
      <c r="K559" t="s">
        <v>1368</v>
      </c>
      <c r="L559">
        <f>_xlfn.XLOOKUP(AllDataCorrected[[#This Row],[Site Name]],Tables!$B$12:$B$78, Tables!C$12:C$78)</f>
        <v>52.094341024390218</v>
      </c>
      <c r="M559">
        <f>_xlfn.XLOOKUP(AllDataCorrected[[#This Row],[Site Name]],Tables!$B$12:$B$78, Tables!D$12:D$78)</f>
        <v>-1.6731015853658531</v>
      </c>
      <c r="N559" t="s">
        <v>29</v>
      </c>
      <c r="O559">
        <v>484</v>
      </c>
      <c r="P559">
        <v>11</v>
      </c>
      <c r="Q559">
        <v>2</v>
      </c>
      <c r="R559" t="str">
        <f>IF(AllDataCorrected[[#This Row],[Nitrate (PPM)]]&gt;2, "4. Very high (&gt;2ppm)", IF(AllDataCorrected[[#This Row],[Nitrate (PPM)]]&gt;1, "3. High (1-2ppm)", IF(AllDataCorrected[[#This Row],[Nitrate (PPM)]]&gt;0.5, "2. Some evidence (0.5-1ppm)", IF(AllDataCorrected[[#This Row],[Nitrate (PPM)]]&gt;=0, "1. No evidence (&lt;0.5ppm)"))))</f>
        <v>3. High (1-2ppm)</v>
      </c>
      <c r="S559">
        <v>0.79</v>
      </c>
      <c r="T5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59" t="s">
        <v>1443</v>
      </c>
    </row>
    <row r="560" spans="1:22" x14ac:dyDescent="0.25">
      <c r="A560" t="s">
        <v>829</v>
      </c>
      <c r="B560" s="2">
        <v>45369</v>
      </c>
      <c r="C560" t="str" cm="1">
        <f t="array" ref="C5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0">
        <f>YEAR(AllDataCorrected[[#This Row],[Date]])</f>
        <v>2024</v>
      </c>
      <c r="E560" s="1">
        <v>0.33888888888888891</v>
      </c>
      <c r="F5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0" t="str">
        <f>_xlfn.XLOOKUP(AllDataCorrected[[#This Row],[Location Name]], Locations[Location Name],Locations[Group As])</f>
        <v>Pershore Bridges</v>
      </c>
      <c r="H560" t="e" vm="17">
        <f>_xlfn.XLOOKUP(AllDataCorrected[[#This Row],[Site Name]],LocationsKey[Site Name],LocationsKey[District])</f>
        <v>#VALUE!</v>
      </c>
      <c r="I560" t="e" vm="18">
        <f>_xlfn.XLOOKUP(AllDataCorrected[[#This Row],[Site Name]],LocationsKey[Site Name],LocationsKey[Town])</f>
        <v>#VALUE!</v>
      </c>
      <c r="J560" t="str">
        <f>_xlfn.XLOOKUP(AllDataCorrected[[#This Row],[Site Name]],LocationsKey[Site Name], LocationsKey[Waterway])</f>
        <v>Avon</v>
      </c>
      <c r="K560" t="s">
        <v>581</v>
      </c>
      <c r="L560">
        <f>_xlfn.XLOOKUP(AllDataCorrected[[#This Row],[Site Name]],Tables!$B$12:$B$78, Tables!C$12:C$78)</f>
        <v>52.104196285714281</v>
      </c>
      <c r="M560">
        <f>_xlfn.XLOOKUP(AllDataCorrected[[#This Row],[Site Name]],Tables!$B$12:$B$78, Tables!D$12:D$78)</f>
        <v>-2.0709292857142856</v>
      </c>
      <c r="O560">
        <v>607</v>
      </c>
      <c r="P560">
        <v>14.1</v>
      </c>
      <c r="Q560">
        <v>5</v>
      </c>
      <c r="R560" t="str">
        <f>IF(AllDataCorrected[[#This Row],[Nitrate (PPM)]]&gt;2, "4. Very high (&gt;2ppm)", IF(AllDataCorrected[[#This Row],[Nitrate (PPM)]]&gt;1, "3. High (1-2ppm)", IF(AllDataCorrected[[#This Row],[Nitrate (PPM)]]&gt;0.5, "2. Some evidence (0.5-1ppm)", IF(AllDataCorrected[[#This Row],[Nitrate (PPM)]]&gt;=0, "1. No evidence (&lt;0.5ppm)"))))</f>
        <v>4. Very high (&gt;2ppm)</v>
      </c>
      <c r="S560">
        <v>0.5</v>
      </c>
      <c r="T5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0">
        <v>3.48</v>
      </c>
    </row>
    <row r="561" spans="1:22" x14ac:dyDescent="0.25">
      <c r="A561" t="s">
        <v>830</v>
      </c>
      <c r="B561" s="2">
        <v>45369</v>
      </c>
      <c r="C561" t="str" cm="1">
        <f t="array" ref="C5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1">
        <f>YEAR(AllDataCorrected[[#This Row],[Date]])</f>
        <v>2024</v>
      </c>
      <c r="E561" s="1">
        <v>0.39374999999999999</v>
      </c>
      <c r="F5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1" t="str">
        <f>_xlfn.XLOOKUP(AllDataCorrected[[#This Row],[Location Name]], Locations[Location Name],Locations[Group As])</f>
        <v>Stour Stretton-on-Fosse Village</v>
      </c>
      <c r="H561" t="e" vm="2">
        <f>_xlfn.XLOOKUP(AllDataCorrected[[#This Row],[Site Name]],LocationsKey[Site Name],LocationsKey[District])</f>
        <v>#VALUE!</v>
      </c>
      <c r="I561" t="e" vm="14">
        <f>_xlfn.XLOOKUP(AllDataCorrected[[#This Row],[Site Name]],LocationsKey[Site Name],LocationsKey[Town])</f>
        <v>#VALUE!</v>
      </c>
      <c r="J561" t="str">
        <f>_xlfn.XLOOKUP(AllDataCorrected[[#This Row],[Site Name]],LocationsKey[Site Name], LocationsKey[Waterway])</f>
        <v>Stour</v>
      </c>
      <c r="K561" t="s">
        <v>544</v>
      </c>
      <c r="L561">
        <f>_xlfn.XLOOKUP(AllDataCorrected[[#This Row],[Site Name]],Tables!$B$12:$B$78, Tables!C$12:C$78)</f>
        <v>52.046517558823524</v>
      </c>
      <c r="M561">
        <f>_xlfn.XLOOKUP(AllDataCorrected[[#This Row],[Site Name]],Tables!$B$12:$B$78, Tables!D$12:D$78)</f>
        <v>-1.6734143529411767</v>
      </c>
      <c r="N561" t="s">
        <v>66</v>
      </c>
      <c r="O561">
        <v>489</v>
      </c>
      <c r="P561">
        <v>10.1</v>
      </c>
      <c r="Q561">
        <v>1</v>
      </c>
      <c r="R561"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61">
        <v>0.72</v>
      </c>
      <c r="T5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1">
        <v>0.3</v>
      </c>
      <c r="V561" t="s">
        <v>831</v>
      </c>
    </row>
    <row r="562" spans="1:22" x14ac:dyDescent="0.25">
      <c r="A562" t="s">
        <v>832</v>
      </c>
      <c r="B562" s="2">
        <v>45369</v>
      </c>
      <c r="C562" t="str" cm="1">
        <f t="array" ref="C5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2">
        <f>YEAR(AllDataCorrected[[#This Row],[Date]])</f>
        <v>2024</v>
      </c>
      <c r="E562" s="1">
        <v>0.40694444444444444</v>
      </c>
      <c r="F56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2" t="str">
        <f>_xlfn.XLOOKUP(AllDataCorrected[[#This Row],[Location Name]], Locations[Location Name],Locations[Group As])</f>
        <v>Stour Stretton-on-Fosse Sewage Works</v>
      </c>
      <c r="H562" t="e" vm="2">
        <f>_xlfn.XLOOKUP(AllDataCorrected[[#This Row],[Site Name]],LocationsKey[Site Name],LocationsKey[District])</f>
        <v>#VALUE!</v>
      </c>
      <c r="I562" t="e" vm="14">
        <f>_xlfn.XLOOKUP(AllDataCorrected[[#This Row],[Site Name]],LocationsKey[Site Name],LocationsKey[Town])</f>
        <v>#VALUE!</v>
      </c>
      <c r="J562" t="str">
        <f>_xlfn.XLOOKUP(AllDataCorrected[[#This Row],[Site Name]],LocationsKey[Site Name], LocationsKey[Waterway])</f>
        <v>Stour</v>
      </c>
      <c r="K562" t="s">
        <v>335</v>
      </c>
      <c r="L562">
        <f>_xlfn.XLOOKUP(AllDataCorrected[[#This Row],[Site Name]],Tables!$B$12:$B$78, Tables!C$12:C$78)</f>
        <v>52.045653647058806</v>
      </c>
      <c r="M562">
        <f>_xlfn.XLOOKUP(AllDataCorrected[[#This Row],[Site Name]],Tables!$B$12:$B$78, Tables!D$12:D$78)</f>
        <v>-1.6719221470588235</v>
      </c>
      <c r="N562" t="s">
        <v>29</v>
      </c>
      <c r="O562">
        <v>529</v>
      </c>
      <c r="P562">
        <v>9.8000000000000007</v>
      </c>
      <c r="Q562">
        <v>1</v>
      </c>
      <c r="R562"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62">
        <v>0.95</v>
      </c>
      <c r="T5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2">
        <v>0.4</v>
      </c>
    </row>
    <row r="563" spans="1:22" x14ac:dyDescent="0.25">
      <c r="A563" t="s">
        <v>833</v>
      </c>
      <c r="B563" s="2">
        <v>45369</v>
      </c>
      <c r="C563" t="str" cm="1">
        <f t="array" ref="C5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3">
        <f>YEAR(AllDataCorrected[[#This Row],[Date]])</f>
        <v>2024</v>
      </c>
      <c r="E563" s="1">
        <v>0.50208333333333333</v>
      </c>
      <c r="F5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3" t="str">
        <f>_xlfn.XLOOKUP(AllDataCorrected[[#This Row],[Location Name]], Locations[Location Name],Locations[Group As])</f>
        <v>Abbey Mill</v>
      </c>
      <c r="H563" t="e" vm="1">
        <f>_xlfn.XLOOKUP(AllDataCorrected[[#This Row],[Site Name]],LocationsKey[Site Name],LocationsKey[District])</f>
        <v>#VALUE!</v>
      </c>
      <c r="I563" t="e" vm="1">
        <f>_xlfn.XLOOKUP(AllDataCorrected[[#This Row],[Site Name]],LocationsKey[Site Name],LocationsKey[Town])</f>
        <v>#VALUE!</v>
      </c>
      <c r="J563" t="str">
        <f>_xlfn.XLOOKUP(AllDataCorrected[[#This Row],[Site Name]],LocationsKey[Site Name], LocationsKey[Waterway])</f>
        <v>Avon</v>
      </c>
      <c r="K563" t="s">
        <v>25</v>
      </c>
      <c r="L563">
        <f>_xlfn.XLOOKUP(AllDataCorrected[[#This Row],[Site Name]],Tables!$B$12:$B$78, Tables!C$12:C$78)</f>
        <v>51.991389555555564</v>
      </c>
      <c r="M563">
        <f>_xlfn.XLOOKUP(AllDataCorrected[[#This Row],[Site Name]],Tables!$B$12:$B$78, Tables!D$12:D$78)</f>
        <v>-2.1620794000000005</v>
      </c>
      <c r="N563" t="s">
        <v>23</v>
      </c>
      <c r="O563">
        <v>547</v>
      </c>
      <c r="P563">
        <v>12.1</v>
      </c>
      <c r="Q563">
        <v>6</v>
      </c>
      <c r="R563" t="str">
        <f>IF(AllDataCorrected[[#This Row],[Nitrate (PPM)]]&gt;2, "4. Very high (&gt;2ppm)", IF(AllDataCorrected[[#This Row],[Nitrate (PPM)]]&gt;1, "3. High (1-2ppm)", IF(AllDataCorrected[[#This Row],[Nitrate (PPM)]]&gt;0.5, "2. Some evidence (0.5-1ppm)", IF(AllDataCorrected[[#This Row],[Nitrate (PPM)]]&gt;=0, "1. No evidence (&lt;0.5ppm)"))))</f>
        <v>4. Very high (&gt;2ppm)</v>
      </c>
      <c r="S563">
        <v>0.63</v>
      </c>
      <c r="T5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3">
        <v>2.5</v>
      </c>
      <c r="V563" t="s">
        <v>834</v>
      </c>
    </row>
    <row r="564" spans="1:22" x14ac:dyDescent="0.25">
      <c r="A564" t="s">
        <v>835</v>
      </c>
      <c r="B564" s="2">
        <v>45371</v>
      </c>
      <c r="C564" t="str" cm="1">
        <f t="array" ref="C5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4">
        <f>YEAR(AllDataCorrected[[#This Row],[Date]])</f>
        <v>2024</v>
      </c>
      <c r="E564" s="1">
        <v>9.7222222222222224E-2</v>
      </c>
      <c r="F56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64" t="str">
        <f>_xlfn.XLOOKUP(AllDataCorrected[[#This Row],[Location Name]], Locations[Location Name],Locations[Group As])</f>
        <v>Swiffen Bank</v>
      </c>
      <c r="H564" t="e" vm="2">
        <f>_xlfn.XLOOKUP(AllDataCorrected[[#This Row],[Site Name]],LocationsKey[Site Name],LocationsKey[District])</f>
        <v>#VALUE!</v>
      </c>
      <c r="I564" t="e" vm="13">
        <f>_xlfn.XLOOKUP(AllDataCorrected[[#This Row],[Site Name]],LocationsKey[Site Name],LocationsKey[Town])</f>
        <v>#VALUE!</v>
      </c>
      <c r="J564" t="str">
        <f>_xlfn.XLOOKUP(AllDataCorrected[[#This Row],[Site Name]],LocationsKey[Site Name], LocationsKey[Waterway])</f>
        <v>Avon</v>
      </c>
      <c r="K564" t="s">
        <v>284</v>
      </c>
      <c r="L564">
        <f>_xlfn.XLOOKUP(AllDataCorrected[[#This Row],[Site Name]],Tables!$B$12:$B$78, Tables!C$12:C$78)</f>
        <v>52.206446825000015</v>
      </c>
      <c r="M564">
        <f>_xlfn.XLOOKUP(AllDataCorrected[[#This Row],[Site Name]],Tables!$B$12:$B$78, Tables!D$12:D$78)</f>
        <v>-1.6541684000000003</v>
      </c>
      <c r="N564" t="s">
        <v>29</v>
      </c>
      <c r="O564">
        <v>542</v>
      </c>
      <c r="P564">
        <v>13</v>
      </c>
      <c r="Q564">
        <v>5</v>
      </c>
      <c r="R564" t="str">
        <f>IF(AllDataCorrected[[#This Row],[Nitrate (PPM)]]&gt;2, "4. Very high (&gt;2ppm)", IF(AllDataCorrected[[#This Row],[Nitrate (PPM)]]&gt;1, "3. High (1-2ppm)", IF(AllDataCorrected[[#This Row],[Nitrate (PPM)]]&gt;0.5, "2. Some evidence (0.5-1ppm)", IF(AllDataCorrected[[#This Row],[Nitrate (PPM)]]&gt;=0, "1. No evidence (&lt;0.5ppm)"))))</f>
        <v>4. Very high (&gt;2ppm)</v>
      </c>
      <c r="S564">
        <v>0.47</v>
      </c>
      <c r="T5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4">
        <v>1</v>
      </c>
      <c r="V564" t="s">
        <v>836</v>
      </c>
    </row>
    <row r="565" spans="1:22" x14ac:dyDescent="0.25">
      <c r="A565" t="s">
        <v>839</v>
      </c>
      <c r="B565" s="2">
        <v>45371</v>
      </c>
      <c r="C565" t="str" cm="1">
        <f t="array" ref="C5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5">
        <f>YEAR(AllDataCorrected[[#This Row],[Date]])</f>
        <v>2024</v>
      </c>
      <c r="E565" s="1">
        <v>0.625</v>
      </c>
      <c r="F5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5" t="str">
        <f>_xlfn.XLOOKUP(AllDataCorrected[[#This Row],[Location Name]], Locations[Location Name],Locations[Group As])</f>
        <v>Stour Newbold Mill</v>
      </c>
      <c r="H565" t="e" vm="2">
        <f>_xlfn.XLOOKUP(AllDataCorrected[[#This Row],[Site Name]],LocationsKey[Site Name],LocationsKey[District])</f>
        <v>#VALUE!</v>
      </c>
      <c r="I565" t="e" vm="8">
        <f>_xlfn.XLOOKUP(AllDataCorrected[[#This Row],[Site Name]],LocationsKey[Site Name],LocationsKey[Town])</f>
        <v>#VALUE!</v>
      </c>
      <c r="J565" t="str">
        <f>_xlfn.XLOOKUP(AllDataCorrected[[#This Row],[Site Name]],LocationsKey[Site Name], LocationsKey[Waterway])</f>
        <v>Stour</v>
      </c>
      <c r="K565" t="s">
        <v>140</v>
      </c>
      <c r="L565">
        <f>_xlfn.XLOOKUP(AllDataCorrected[[#This Row],[Site Name]],Tables!$B$12:$B$78, Tables!C$12:C$78)</f>
        <v>52.113052370370362</v>
      </c>
      <c r="M565">
        <f>_xlfn.XLOOKUP(AllDataCorrected[[#This Row],[Site Name]],Tables!$B$12:$B$78, Tables!D$12:D$78)</f>
        <v>-1.6333685185185185</v>
      </c>
      <c r="N565" t="s">
        <v>29</v>
      </c>
      <c r="O565">
        <v>560</v>
      </c>
      <c r="P565">
        <v>14.2</v>
      </c>
      <c r="Q565">
        <v>2</v>
      </c>
      <c r="R565" t="str">
        <f>IF(AllDataCorrected[[#This Row],[Nitrate (PPM)]]&gt;2, "4. Very high (&gt;2ppm)", IF(AllDataCorrected[[#This Row],[Nitrate (PPM)]]&gt;1, "3. High (1-2ppm)", IF(AllDataCorrected[[#This Row],[Nitrate (PPM)]]&gt;0.5, "2. Some evidence (0.5-1ppm)", IF(AllDataCorrected[[#This Row],[Nitrate (PPM)]]&gt;=0, "1. No evidence (&lt;0.5ppm)"))))</f>
        <v>3. High (1-2ppm)</v>
      </c>
      <c r="S565">
        <v>0.28999999999999998</v>
      </c>
      <c r="T5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5">
        <v>3</v>
      </c>
      <c r="V565" t="s">
        <v>840</v>
      </c>
    </row>
    <row r="566" spans="1:22" x14ac:dyDescent="0.25">
      <c r="A566" t="s">
        <v>837</v>
      </c>
      <c r="B566" s="2">
        <v>45371</v>
      </c>
      <c r="C566" t="str" cm="1">
        <f t="array" ref="C5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6">
        <f>YEAR(AllDataCorrected[[#This Row],[Date]])</f>
        <v>2024</v>
      </c>
      <c r="E566" s="1">
        <v>0.63402777777777775</v>
      </c>
      <c r="F5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6" t="str">
        <f>_xlfn.XLOOKUP(AllDataCorrected[[#This Row],[Location Name]], Locations[Location Name],Locations[Group As])</f>
        <v>Alveston Weir</v>
      </c>
      <c r="H566" t="e" vm="2">
        <f>_xlfn.XLOOKUP(AllDataCorrected[[#This Row],[Site Name]],LocationsKey[Site Name],LocationsKey[District])</f>
        <v>#VALUE!</v>
      </c>
      <c r="I566" t="e" vm="13">
        <f>_xlfn.XLOOKUP(AllDataCorrected[[#This Row],[Site Name]],LocationsKey[Site Name],LocationsKey[Town])</f>
        <v>#VALUE!</v>
      </c>
      <c r="J566" t="str">
        <f>_xlfn.XLOOKUP(AllDataCorrected[[#This Row],[Site Name]],LocationsKey[Site Name], LocationsKey[Waterway])</f>
        <v>Avon</v>
      </c>
      <c r="K566" t="s">
        <v>286</v>
      </c>
      <c r="L566">
        <f>_xlfn.XLOOKUP(AllDataCorrected[[#This Row],[Site Name]],Tables!$B$12:$B$78, Tables!C$12:C$78)</f>
        <v>52.212366690476216</v>
      </c>
      <c r="M566">
        <f>_xlfn.XLOOKUP(AllDataCorrected[[#This Row],[Site Name]],Tables!$B$12:$B$78, Tables!D$12:D$78)</f>
        <v>-1.6602567619047619</v>
      </c>
      <c r="N566" t="s">
        <v>29</v>
      </c>
      <c r="O566">
        <v>538</v>
      </c>
      <c r="P566">
        <v>17.399999999999999</v>
      </c>
      <c r="Q566">
        <v>5</v>
      </c>
      <c r="R566" t="str">
        <f>IF(AllDataCorrected[[#This Row],[Nitrate (PPM)]]&gt;2, "4. Very high (&gt;2ppm)", IF(AllDataCorrected[[#This Row],[Nitrate (PPM)]]&gt;1, "3. High (1-2ppm)", IF(AllDataCorrected[[#This Row],[Nitrate (PPM)]]&gt;0.5, "2. Some evidence (0.5-1ppm)", IF(AllDataCorrected[[#This Row],[Nitrate (PPM)]]&gt;=0, "1. No evidence (&lt;0.5ppm)"))))</f>
        <v>4. Very high (&gt;2ppm)</v>
      </c>
      <c r="S566">
        <v>0.44</v>
      </c>
      <c r="T5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6">
        <v>1</v>
      </c>
      <c r="V566" t="s">
        <v>838</v>
      </c>
    </row>
    <row r="567" spans="1:22" x14ac:dyDescent="0.25">
      <c r="A567" t="s">
        <v>841</v>
      </c>
      <c r="B567" s="2">
        <v>45372</v>
      </c>
      <c r="C567" t="str" cm="1">
        <f t="array" ref="C5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7">
        <f>YEAR(AllDataCorrected[[#This Row],[Date]])</f>
        <v>2024</v>
      </c>
      <c r="E567" s="1">
        <v>0.4375</v>
      </c>
      <c r="F5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7" t="str">
        <f>_xlfn.XLOOKUP(AllDataCorrected[[#This Row],[Location Name]], Locations[Location Name],Locations[Group As])</f>
        <v>Stour Willington</v>
      </c>
      <c r="H567" t="e" vm="2">
        <f>_xlfn.XLOOKUP(AllDataCorrected[[#This Row],[Site Name]],LocationsKey[Site Name],LocationsKey[District])</f>
        <v>#VALUE!</v>
      </c>
      <c r="I567" t="str">
        <f>_xlfn.XLOOKUP(AllDataCorrected[[#This Row],[Site Name]],LocationsKey[Site Name],LocationsKey[Town])</f>
        <v>Willington</v>
      </c>
      <c r="J567" t="str">
        <f>_xlfn.XLOOKUP(AllDataCorrected[[#This Row],[Site Name]],LocationsKey[Site Name], LocationsKey[Waterway])</f>
        <v>Stour</v>
      </c>
      <c r="K567" t="s">
        <v>517</v>
      </c>
      <c r="L567">
        <f>_xlfn.XLOOKUP(AllDataCorrected[[#This Row],[Site Name]],Tables!$B$12:$B$78, Tables!C$12:C$78)</f>
        <v>52.053154375000005</v>
      </c>
      <c r="M567">
        <f>_xlfn.XLOOKUP(AllDataCorrected[[#This Row],[Site Name]],Tables!$B$12:$B$78, Tables!D$12:D$78)</f>
        <v>-1.6191991562500001</v>
      </c>
      <c r="N567" t="s">
        <v>23</v>
      </c>
      <c r="O567">
        <v>556</v>
      </c>
      <c r="P567">
        <v>12.5</v>
      </c>
      <c r="Q567">
        <v>2</v>
      </c>
      <c r="R567" t="str">
        <f>IF(AllDataCorrected[[#This Row],[Nitrate (PPM)]]&gt;2, "4. Very high (&gt;2ppm)", IF(AllDataCorrected[[#This Row],[Nitrate (PPM)]]&gt;1, "3. High (1-2ppm)", IF(AllDataCorrected[[#This Row],[Nitrate (PPM)]]&gt;0.5, "2. Some evidence (0.5-1ppm)", IF(AllDataCorrected[[#This Row],[Nitrate (PPM)]]&gt;=0, "1. No evidence (&lt;0.5ppm)"))))</f>
        <v>3. High (1-2ppm)</v>
      </c>
      <c r="S567">
        <v>0.25</v>
      </c>
      <c r="T5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7">
        <v>0.5</v>
      </c>
    </row>
    <row r="568" spans="1:22" x14ac:dyDescent="0.25">
      <c r="A568" t="s">
        <v>842</v>
      </c>
      <c r="B568" s="2">
        <v>45372</v>
      </c>
      <c r="C568" t="str" cm="1">
        <f t="array" ref="C5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8">
        <f>YEAR(AllDataCorrected[[#This Row],[Date]])</f>
        <v>2024</v>
      </c>
      <c r="E568" s="1">
        <v>0.47916666666666669</v>
      </c>
      <c r="F5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8" t="str">
        <f>_xlfn.XLOOKUP(AllDataCorrected[[#This Row],[Location Name]], Locations[Location Name],Locations[Group As])</f>
        <v>Swilgate</v>
      </c>
      <c r="H568" t="e" vm="1">
        <f>_xlfn.XLOOKUP(AllDataCorrected[[#This Row],[Site Name]],LocationsKey[Site Name],LocationsKey[District])</f>
        <v>#VALUE!</v>
      </c>
      <c r="I568" t="e" vm="1">
        <f>_xlfn.XLOOKUP(AllDataCorrected[[#This Row],[Site Name]],LocationsKey[Site Name],LocationsKey[Town])</f>
        <v>#VALUE!</v>
      </c>
      <c r="J568" t="str">
        <f>_xlfn.XLOOKUP(AllDataCorrected[[#This Row],[Site Name]],LocationsKey[Site Name], LocationsKey[Waterway])</f>
        <v>Swilgate</v>
      </c>
      <c r="K568" t="s">
        <v>84</v>
      </c>
      <c r="L568">
        <f>_xlfn.XLOOKUP(AllDataCorrected[[#This Row],[Site Name]],Tables!$B$12:$B$78, Tables!C$12:C$78)</f>
        <v>51.9885442</v>
      </c>
      <c r="M568">
        <f>_xlfn.XLOOKUP(AllDataCorrected[[#This Row],[Site Name]],Tables!$B$12:$B$78, Tables!D$12:D$78)</f>
        <v>-2.1639010000000001</v>
      </c>
      <c r="N568" t="s">
        <v>23</v>
      </c>
      <c r="O568">
        <v>858</v>
      </c>
      <c r="P568">
        <v>12.6</v>
      </c>
      <c r="Q568">
        <v>3</v>
      </c>
      <c r="R568" t="str">
        <f>IF(AllDataCorrected[[#This Row],[Nitrate (PPM)]]&gt;2, "4. Very high (&gt;2ppm)", IF(AllDataCorrected[[#This Row],[Nitrate (PPM)]]&gt;1, "3. High (1-2ppm)", IF(AllDataCorrected[[#This Row],[Nitrate (PPM)]]&gt;0.5, "2. Some evidence (0.5-1ppm)", IF(AllDataCorrected[[#This Row],[Nitrate (PPM)]]&gt;=0, "1. No evidence (&lt;0.5ppm)"))))</f>
        <v>4. Very high (&gt;2ppm)</v>
      </c>
      <c r="S568">
        <v>0.41</v>
      </c>
      <c r="T5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8">
        <v>0</v>
      </c>
    </row>
    <row r="569" spans="1:22" x14ac:dyDescent="0.25">
      <c r="A569" t="s">
        <v>843</v>
      </c>
      <c r="B569" s="2">
        <v>45372</v>
      </c>
      <c r="C569" t="str" cm="1">
        <f t="array" ref="C5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9">
        <f>YEAR(AllDataCorrected[[#This Row],[Date]])</f>
        <v>2024</v>
      </c>
      <c r="E569" s="1">
        <v>0.64583333333333337</v>
      </c>
      <c r="F5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9" t="str">
        <f>_xlfn.XLOOKUP(AllDataCorrected[[#This Row],[Location Name]], Locations[Location Name],Locations[Group As])</f>
        <v>Preston-on-Stour River Bridge</v>
      </c>
      <c r="H569" t="e" vm="2">
        <f>_xlfn.XLOOKUP(AllDataCorrected[[#This Row],[Site Name]],LocationsKey[Site Name],LocationsKey[District])</f>
        <v>#VALUE!</v>
      </c>
      <c r="I569" t="e" vm="9">
        <f>_xlfn.XLOOKUP(AllDataCorrected[[#This Row],[Site Name]],LocationsKey[Site Name],LocationsKey[Town])</f>
        <v>#VALUE!</v>
      </c>
      <c r="J569" t="str">
        <f>_xlfn.XLOOKUP(AllDataCorrected[[#This Row],[Site Name]],LocationsKey[Site Name], LocationsKey[Waterway])</f>
        <v>Stour</v>
      </c>
      <c r="K569" t="s">
        <v>163</v>
      </c>
      <c r="L569">
        <f>_xlfn.XLOOKUP(AllDataCorrected[[#This Row],[Site Name]],Tables!$B$12:$B$78, Tables!C$12:C$78)</f>
        <v>52.146529500000007</v>
      </c>
      <c r="M569">
        <f>_xlfn.XLOOKUP(AllDataCorrected[[#This Row],[Site Name]],Tables!$B$12:$B$78, Tables!D$12:D$78)</f>
        <v>-1.6996899999999999</v>
      </c>
      <c r="N569" t="s">
        <v>29</v>
      </c>
      <c r="O569">
        <v>610</v>
      </c>
      <c r="P569">
        <v>11.3</v>
      </c>
      <c r="Q569">
        <v>6</v>
      </c>
      <c r="R569" t="str">
        <f>IF(AllDataCorrected[[#This Row],[Nitrate (PPM)]]&gt;2, "4. Very high (&gt;2ppm)", IF(AllDataCorrected[[#This Row],[Nitrate (PPM)]]&gt;1, "3. High (1-2ppm)", IF(AllDataCorrected[[#This Row],[Nitrate (PPM)]]&gt;0.5, "2. Some evidence (0.5-1ppm)", IF(AllDataCorrected[[#This Row],[Nitrate (PPM)]]&gt;=0, "1. No evidence (&lt;0.5ppm)"))))</f>
        <v>4. Very high (&gt;2ppm)</v>
      </c>
      <c r="S569">
        <v>0.31</v>
      </c>
      <c r="T5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9">
        <v>1.5</v>
      </c>
    </row>
    <row r="570" spans="1:22" x14ac:dyDescent="0.25">
      <c r="A570" t="s">
        <v>844</v>
      </c>
      <c r="B570" s="2">
        <v>45373</v>
      </c>
      <c r="C570" t="str" cm="1">
        <f t="array" ref="C5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0">
        <f>YEAR(AllDataCorrected[[#This Row],[Date]])</f>
        <v>2024</v>
      </c>
      <c r="E570" s="1">
        <v>0.37430555555555556</v>
      </c>
      <c r="F5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0" t="str">
        <f>_xlfn.XLOOKUP(AllDataCorrected[[#This Row],[Location Name]], Locations[Location Name],Locations[Group As])</f>
        <v>Mill Bridge Peopleton</v>
      </c>
      <c r="H570" t="e" vm="17">
        <f>_xlfn.XLOOKUP(AllDataCorrected[[#This Row],[Site Name]],LocationsKey[Site Name],LocationsKey[District])</f>
        <v>#VALUE!</v>
      </c>
      <c r="I570" t="str">
        <f>_xlfn.XLOOKUP(AllDataCorrected[[#This Row],[Site Name]],LocationsKey[Site Name],LocationsKey[Town])</f>
        <v>Peopleton</v>
      </c>
      <c r="J570" t="str">
        <f>_xlfn.XLOOKUP(AllDataCorrected[[#This Row],[Site Name]],LocationsKey[Site Name], LocationsKey[Waterway])</f>
        <v>Bow Brook</v>
      </c>
      <c r="K570" t="s">
        <v>845</v>
      </c>
      <c r="L570">
        <f>_xlfn.XLOOKUP(AllDataCorrected[[#This Row],[Site Name]],Tables!$B$12:$B$78, Tables!C$12:C$78)</f>
        <v>52.15202992857143</v>
      </c>
      <c r="M570">
        <f>_xlfn.XLOOKUP(AllDataCorrected[[#This Row],[Site Name]],Tables!$B$12:$B$78, Tables!D$12:D$78)</f>
        <v>-2.0954780000000004</v>
      </c>
      <c r="N570" t="s">
        <v>29</v>
      </c>
      <c r="O570">
        <v>851</v>
      </c>
      <c r="P570">
        <v>11.9</v>
      </c>
      <c r="Q570">
        <v>5</v>
      </c>
      <c r="R570" t="str">
        <f>IF(AllDataCorrected[[#This Row],[Nitrate (PPM)]]&gt;2, "4. Very high (&gt;2ppm)", IF(AllDataCorrected[[#This Row],[Nitrate (PPM)]]&gt;1, "3. High (1-2ppm)", IF(AllDataCorrected[[#This Row],[Nitrate (PPM)]]&gt;0.5, "2. Some evidence (0.5-1ppm)", IF(AllDataCorrected[[#This Row],[Nitrate (PPM)]]&gt;=0, "1. No evidence (&lt;0.5ppm)"))))</f>
        <v>4. Very high (&gt;2ppm)</v>
      </c>
      <c r="S570">
        <v>0.32</v>
      </c>
      <c r="T5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0">
        <v>0.9</v>
      </c>
      <c r="V570" t="s">
        <v>846</v>
      </c>
    </row>
    <row r="571" spans="1:22" x14ac:dyDescent="0.25">
      <c r="A571" t="s">
        <v>847</v>
      </c>
      <c r="B571" s="2">
        <v>45373</v>
      </c>
      <c r="C571" t="str" cm="1">
        <f t="array" ref="C5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1">
        <f>YEAR(AllDataCorrected[[#This Row],[Date]])</f>
        <v>2024</v>
      </c>
      <c r="E571" s="1">
        <v>0.38611111111111113</v>
      </c>
      <c r="F5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1" t="str">
        <f>_xlfn.XLOOKUP(AllDataCorrected[[#This Row],[Location Name]], Locations[Location Name],Locations[Group As])</f>
        <v>Black Bear</v>
      </c>
      <c r="H571" t="e" vm="1">
        <f>_xlfn.XLOOKUP(AllDataCorrected[[#This Row],[Site Name]],LocationsKey[Site Name],LocationsKey[District])</f>
        <v>#VALUE!</v>
      </c>
      <c r="I571" t="e" vm="1">
        <f>_xlfn.XLOOKUP(AllDataCorrected[[#This Row],[Site Name]],LocationsKey[Site Name],LocationsKey[Town])</f>
        <v>#VALUE!</v>
      </c>
      <c r="J571" t="str">
        <f>_xlfn.XLOOKUP(AllDataCorrected[[#This Row],[Site Name]],LocationsKey[Site Name], LocationsKey[Waterway])</f>
        <v>Avon</v>
      </c>
      <c r="K571" t="s">
        <v>567</v>
      </c>
      <c r="L571">
        <f>_xlfn.XLOOKUP(AllDataCorrected[[#This Row],[Site Name]],Tables!$B$12:$B$78, Tables!C$12:C$78)</f>
        <v>51.997435214285723</v>
      </c>
      <c r="M571">
        <f>_xlfn.XLOOKUP(AllDataCorrected[[#This Row],[Site Name]],Tables!$B$12:$B$78, Tables!D$12:D$78)</f>
        <v>-2.1562056785714288</v>
      </c>
      <c r="N571" t="s">
        <v>23</v>
      </c>
      <c r="O571">
        <v>675</v>
      </c>
      <c r="P571">
        <v>13.7</v>
      </c>
      <c r="Q571">
        <v>5</v>
      </c>
      <c r="R571" t="str">
        <f>IF(AllDataCorrected[[#This Row],[Nitrate (PPM)]]&gt;2, "4. Very high (&gt;2ppm)", IF(AllDataCorrected[[#This Row],[Nitrate (PPM)]]&gt;1, "3. High (1-2ppm)", IF(AllDataCorrected[[#This Row],[Nitrate (PPM)]]&gt;0.5, "2. Some evidence (0.5-1ppm)", IF(AllDataCorrected[[#This Row],[Nitrate (PPM)]]&gt;=0, "1. No evidence (&lt;0.5ppm)"))))</f>
        <v>4. Very high (&gt;2ppm)</v>
      </c>
      <c r="S571">
        <v>0.82</v>
      </c>
      <c r="T5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1">
        <v>0</v>
      </c>
    </row>
    <row r="572" spans="1:22" x14ac:dyDescent="0.25">
      <c r="A572" t="s">
        <v>848</v>
      </c>
      <c r="B572" s="2">
        <v>45373</v>
      </c>
      <c r="C572" t="str" cm="1">
        <f t="array" ref="C5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2">
        <f>YEAR(AllDataCorrected[[#This Row],[Date]])</f>
        <v>2024</v>
      </c>
      <c r="E572" s="1">
        <v>0.40277777777777779</v>
      </c>
      <c r="F5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2" t="str">
        <f>_xlfn.XLOOKUP(AllDataCorrected[[#This Row],[Location Name]], Locations[Location Name],Locations[Group As])</f>
        <v>Lower Lode</v>
      </c>
      <c r="H572" t="e" vm="1">
        <f>_xlfn.XLOOKUP(AllDataCorrected[[#This Row],[Site Name]],LocationsKey[Site Name],LocationsKey[District])</f>
        <v>#VALUE!</v>
      </c>
      <c r="I572" t="e" vm="1">
        <f>_xlfn.XLOOKUP(AllDataCorrected[[#This Row],[Site Name]],LocationsKey[Site Name],LocationsKey[Town])</f>
        <v>#VALUE!</v>
      </c>
      <c r="J572" t="str">
        <f>_xlfn.XLOOKUP(AllDataCorrected[[#This Row],[Site Name]],LocationsKey[Site Name], LocationsKey[Waterway])</f>
        <v>Avon</v>
      </c>
      <c r="K572" t="s">
        <v>592</v>
      </c>
      <c r="L572">
        <f>_xlfn.XLOOKUP(AllDataCorrected[[#This Row],[Site Name]],Tables!$B$12:$B$78, Tables!C$12:C$78)</f>
        <v>51.984954782608689</v>
      </c>
      <c r="M572">
        <f>_xlfn.XLOOKUP(AllDataCorrected[[#This Row],[Site Name]],Tables!$B$12:$B$78, Tables!D$12:D$78)</f>
        <v>-2.1744283478260868</v>
      </c>
      <c r="N572" t="s">
        <v>29</v>
      </c>
      <c r="O572">
        <v>7350</v>
      </c>
      <c r="P572">
        <v>12.4</v>
      </c>
      <c r="Q572">
        <v>10</v>
      </c>
      <c r="R572" t="str">
        <f>IF(AllDataCorrected[[#This Row],[Nitrate (PPM)]]&gt;2, "4. Very high (&gt;2ppm)", IF(AllDataCorrected[[#This Row],[Nitrate (PPM)]]&gt;1, "3. High (1-2ppm)", IF(AllDataCorrected[[#This Row],[Nitrate (PPM)]]&gt;0.5, "2. Some evidence (0.5-1ppm)", IF(AllDataCorrected[[#This Row],[Nitrate (PPM)]]&gt;=0, "1. No evidence (&lt;0.5ppm)"))))</f>
        <v>4. Very high (&gt;2ppm)</v>
      </c>
      <c r="S572">
        <v>0.43</v>
      </c>
      <c r="T5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2">
        <v>2</v>
      </c>
      <c r="V572" t="s">
        <v>849</v>
      </c>
    </row>
    <row r="573" spans="1:22" x14ac:dyDescent="0.25">
      <c r="A573" t="s">
        <v>850</v>
      </c>
      <c r="B573" s="2">
        <v>45373</v>
      </c>
      <c r="C573" t="str" cm="1">
        <f t="array" ref="C5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3">
        <f>YEAR(AllDataCorrected[[#This Row],[Date]])</f>
        <v>2024</v>
      </c>
      <c r="E573" s="1">
        <v>0.67361111111111116</v>
      </c>
      <c r="F5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3" t="str">
        <f>_xlfn.XLOOKUP(AllDataCorrected[[#This Row],[Location Name]], Locations[Location Name],Locations[Group As])</f>
        <v>Preston Bagot Canal</v>
      </c>
      <c r="H573" t="e" vm="2">
        <f>_xlfn.XLOOKUP(AllDataCorrected[[#This Row],[Site Name]],LocationsKey[Site Name],LocationsKey[District])</f>
        <v>#VALUE!</v>
      </c>
      <c r="I573" t="e" vm="19">
        <f>_xlfn.XLOOKUP(AllDataCorrected[[#This Row],[Site Name]],LocationsKey[Site Name],LocationsKey[Town])</f>
        <v>#VALUE!</v>
      </c>
      <c r="J573" t="str">
        <f>_xlfn.XLOOKUP(AllDataCorrected[[#This Row],[Site Name]],LocationsKey[Site Name], LocationsKey[Waterway])</f>
        <v>Preston Bagot Canal</v>
      </c>
      <c r="K573" t="s">
        <v>615</v>
      </c>
      <c r="L573">
        <f>_xlfn.XLOOKUP(AllDataCorrected[[#This Row],[Site Name]],Tables!$B$12:$B$78, Tables!C$12:C$78)</f>
        <v>52.286540000000002</v>
      </c>
      <c r="M573">
        <f>_xlfn.XLOOKUP(AllDataCorrected[[#This Row],[Site Name]],Tables!$B$12:$B$78, Tables!D$12:D$78)</f>
        <v>-1.74576</v>
      </c>
      <c r="N573" t="s">
        <v>23</v>
      </c>
      <c r="O573">
        <v>410</v>
      </c>
      <c r="P573">
        <v>12.6</v>
      </c>
      <c r="Q573">
        <v>2</v>
      </c>
      <c r="R573" t="str">
        <f>IF(AllDataCorrected[[#This Row],[Nitrate (PPM)]]&gt;2, "4. Very high (&gt;2ppm)", IF(AllDataCorrected[[#This Row],[Nitrate (PPM)]]&gt;1, "3. High (1-2ppm)", IF(AllDataCorrected[[#This Row],[Nitrate (PPM)]]&gt;0.5, "2. Some evidence (0.5-1ppm)", IF(AllDataCorrected[[#This Row],[Nitrate (PPM)]]&gt;=0, "1. No evidence (&lt;0.5ppm)"))))</f>
        <v>3. High (1-2ppm)</v>
      </c>
      <c r="S573">
        <v>0.26</v>
      </c>
      <c r="T5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3">
        <v>0</v>
      </c>
      <c r="V573" t="s">
        <v>851</v>
      </c>
    </row>
    <row r="574" spans="1:22" x14ac:dyDescent="0.25">
      <c r="A574" t="s">
        <v>852</v>
      </c>
      <c r="B574" s="2">
        <v>45374</v>
      </c>
      <c r="C574" t="str" cm="1">
        <f t="array" ref="C5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4">
        <f>YEAR(AllDataCorrected[[#This Row],[Date]])</f>
        <v>2024</v>
      </c>
      <c r="E574" s="1">
        <v>0.42708333333333331</v>
      </c>
      <c r="F57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4" t="str">
        <f>_xlfn.XLOOKUP(AllDataCorrected[[#This Row],[Location Name]], Locations[Location Name],Locations[Group As])</f>
        <v>Stour Whichford</v>
      </c>
      <c r="H574" t="e" vm="2">
        <f>_xlfn.XLOOKUP(AllDataCorrected[[#This Row],[Site Name]],LocationsKey[Site Name],LocationsKey[District])</f>
        <v>#VALUE!</v>
      </c>
      <c r="I574" t="e" vm="21">
        <f>_xlfn.XLOOKUP(AllDataCorrected[[#This Row],[Site Name]],LocationsKey[Site Name],LocationsKey[Town])</f>
        <v>#VALUE!</v>
      </c>
      <c r="J574" t="str">
        <f>_xlfn.XLOOKUP(AllDataCorrected[[#This Row],[Site Name]],LocationsKey[Site Name], LocationsKey[Waterway])</f>
        <v>Stour</v>
      </c>
      <c r="K574" t="s">
        <v>853</v>
      </c>
      <c r="L574">
        <f>_xlfn.XLOOKUP(AllDataCorrected[[#This Row],[Site Name]],Tables!$B$12:$B$78, Tables!C$12:C$78)</f>
        <v>52.017437000000001</v>
      </c>
      <c r="M574">
        <f>_xlfn.XLOOKUP(AllDataCorrected[[#This Row],[Site Name]],Tables!$B$12:$B$78, Tables!D$12:D$78)</f>
        <v>-1.544745</v>
      </c>
      <c r="N574" t="s">
        <v>29</v>
      </c>
      <c r="O574">
        <v>593</v>
      </c>
      <c r="P574">
        <v>9.5</v>
      </c>
      <c r="Q574">
        <v>2</v>
      </c>
      <c r="R574" t="str">
        <f>IF(AllDataCorrected[[#This Row],[Nitrate (PPM)]]&gt;2, "4. Very high (&gt;2ppm)", IF(AllDataCorrected[[#This Row],[Nitrate (PPM)]]&gt;1, "3. High (1-2ppm)", IF(AllDataCorrected[[#This Row],[Nitrate (PPM)]]&gt;0.5, "2. Some evidence (0.5-1ppm)", IF(AllDataCorrected[[#This Row],[Nitrate (PPM)]]&gt;=0, "1. No evidence (&lt;0.5ppm)"))))</f>
        <v>3. High (1-2ppm)</v>
      </c>
      <c r="S574">
        <v>0.35</v>
      </c>
      <c r="T5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4">
        <v>21.6</v>
      </c>
    </row>
    <row r="575" spans="1:22" x14ac:dyDescent="0.25">
      <c r="A575" t="s">
        <v>854</v>
      </c>
      <c r="B575" s="2">
        <v>45374</v>
      </c>
      <c r="C575" t="str" cm="1">
        <f t="array" ref="C5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5">
        <f>YEAR(AllDataCorrected[[#This Row],[Date]])</f>
        <v>2024</v>
      </c>
      <c r="E575" s="1">
        <v>0.44444444444444442</v>
      </c>
      <c r="F5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5" t="str">
        <f>_xlfn.XLOOKUP(AllDataCorrected[[#This Row],[Location Name]], Locations[Location Name],Locations[Group As])</f>
        <v>Stour Ascott Village</v>
      </c>
      <c r="H575" t="e" vm="2">
        <f>_xlfn.XLOOKUP(AllDataCorrected[[#This Row],[Site Name]],LocationsKey[Site Name],LocationsKey[District])</f>
        <v>#VALUE!</v>
      </c>
      <c r="I575" t="e" vm="22">
        <f>_xlfn.XLOOKUP(AllDataCorrected[[#This Row],[Site Name]],LocationsKey[Site Name],LocationsKey[Town])</f>
        <v>#VALUE!</v>
      </c>
      <c r="J575" t="str">
        <f>_xlfn.XLOOKUP(AllDataCorrected[[#This Row],[Site Name]],LocationsKey[Site Name], LocationsKey[Waterway])</f>
        <v>Stour</v>
      </c>
      <c r="K575" t="s">
        <v>855</v>
      </c>
      <c r="L575">
        <f>_xlfn.XLOOKUP(AllDataCorrected[[#This Row],[Site Name]],Tables!$B$12:$B$78, Tables!C$12:C$78)</f>
        <v>52.013255999999998</v>
      </c>
      <c r="M575">
        <f>_xlfn.XLOOKUP(AllDataCorrected[[#This Row],[Site Name]],Tables!$B$12:$B$78, Tables!D$12:D$78)</f>
        <v>-1.5387710000000001</v>
      </c>
      <c r="N575" t="s">
        <v>66</v>
      </c>
      <c r="O575">
        <v>558</v>
      </c>
      <c r="P575">
        <v>8.5</v>
      </c>
      <c r="Q575">
        <v>2</v>
      </c>
      <c r="R575" t="str">
        <f>IF(AllDataCorrected[[#This Row],[Nitrate (PPM)]]&gt;2, "4. Very high (&gt;2ppm)", IF(AllDataCorrected[[#This Row],[Nitrate (PPM)]]&gt;1, "3. High (1-2ppm)", IF(AllDataCorrected[[#This Row],[Nitrate (PPM)]]&gt;0.5, "2. Some evidence (0.5-1ppm)", IF(AllDataCorrected[[#This Row],[Nitrate (PPM)]]&gt;=0, "1. No evidence (&lt;0.5ppm)"))))</f>
        <v>3. High (1-2ppm)</v>
      </c>
      <c r="S575">
        <v>7.0000000000000007E-2</v>
      </c>
      <c r="T57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575">
        <v>12.7</v>
      </c>
    </row>
    <row r="576" spans="1:22" x14ac:dyDescent="0.25">
      <c r="A576" t="s">
        <v>856</v>
      </c>
      <c r="B576" s="2">
        <v>45374</v>
      </c>
      <c r="C576" t="str" cm="1">
        <f t="array" ref="C5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6">
        <f>YEAR(AllDataCorrected[[#This Row],[Date]])</f>
        <v>2024</v>
      </c>
      <c r="E576" s="1">
        <v>0.48958333333333331</v>
      </c>
      <c r="F5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6" t="str">
        <f>_xlfn.XLOOKUP(AllDataCorrected[[#This Row],[Location Name]], Locations[Location Name],Locations[Group As])</f>
        <v>Avon Smiths Meadow Wyre Piddle</v>
      </c>
      <c r="H576" t="e" vm="17">
        <f>_xlfn.XLOOKUP(AllDataCorrected[[#This Row],[Site Name]],LocationsKey[Site Name],LocationsKey[District])</f>
        <v>#VALUE!</v>
      </c>
      <c r="I576" t="e" vm="20">
        <f>_xlfn.XLOOKUP(AllDataCorrected[[#This Row],[Site Name]],LocationsKey[Site Name],LocationsKey[Town])</f>
        <v>#VALUE!</v>
      </c>
      <c r="J576" t="str">
        <f>_xlfn.XLOOKUP(AllDataCorrected[[#This Row],[Site Name]],LocationsKey[Site Name], LocationsKey[Waterway])</f>
        <v>Avon</v>
      </c>
      <c r="K576" t="s">
        <v>741</v>
      </c>
      <c r="L576">
        <f>_xlfn.XLOOKUP(AllDataCorrected[[#This Row],[Site Name]],Tables!$B$12:$B$78, Tables!C$12:C$78)</f>
        <v>52.123045961538452</v>
      </c>
      <c r="M576">
        <f>_xlfn.XLOOKUP(AllDataCorrected[[#This Row],[Site Name]],Tables!$B$12:$B$78, Tables!D$12:D$78)</f>
        <v>-2.0572161923076919</v>
      </c>
      <c r="N576" t="s">
        <v>23</v>
      </c>
      <c r="O576">
        <v>747</v>
      </c>
      <c r="P576">
        <v>10.4</v>
      </c>
      <c r="Q576">
        <v>10</v>
      </c>
      <c r="R576" t="str">
        <f>IF(AllDataCorrected[[#This Row],[Nitrate (PPM)]]&gt;2, "4. Very high (&gt;2ppm)", IF(AllDataCorrected[[#This Row],[Nitrate (PPM)]]&gt;1, "3. High (1-2ppm)", IF(AllDataCorrected[[#This Row],[Nitrate (PPM)]]&gt;0.5, "2. Some evidence (0.5-1ppm)", IF(AllDataCorrected[[#This Row],[Nitrate (PPM)]]&gt;=0, "1. No evidence (&lt;0.5ppm)"))))</f>
        <v>4. Very high (&gt;2ppm)</v>
      </c>
      <c r="S576">
        <v>0.67</v>
      </c>
      <c r="T5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6">
        <v>0.9</v>
      </c>
      <c r="V576" t="s">
        <v>857</v>
      </c>
    </row>
    <row r="577" spans="1:22" x14ac:dyDescent="0.25">
      <c r="A577" t="s">
        <v>858</v>
      </c>
      <c r="B577" s="2">
        <v>45374</v>
      </c>
      <c r="C577" t="str" cm="1">
        <f t="array" ref="C5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7">
        <f>YEAR(AllDataCorrected[[#This Row],[Date]])</f>
        <v>2024</v>
      </c>
      <c r="E577" s="1">
        <v>0.52083333333333337</v>
      </c>
      <c r="F5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7" t="str">
        <f>_xlfn.XLOOKUP(AllDataCorrected[[#This Row],[Location Name]], Locations[Location Name],Locations[Group As])</f>
        <v>Carrant Bredon Rd</v>
      </c>
      <c r="H577" t="e" vm="1">
        <f>_xlfn.XLOOKUP(AllDataCorrected[[#This Row],[Site Name]],LocationsKey[Site Name],LocationsKey[District])</f>
        <v>#VALUE!</v>
      </c>
      <c r="I577" t="e" vm="1">
        <f>_xlfn.XLOOKUP(AllDataCorrected[[#This Row],[Site Name]],LocationsKey[Site Name],LocationsKey[Town])</f>
        <v>#VALUE!</v>
      </c>
      <c r="J577" t="str">
        <f>_xlfn.XLOOKUP(AllDataCorrected[[#This Row],[Site Name]],LocationsKey[Site Name], LocationsKey[Waterway])</f>
        <v>Carrant</v>
      </c>
      <c r="K577" t="s">
        <v>600</v>
      </c>
      <c r="L577">
        <f>_xlfn.XLOOKUP(AllDataCorrected[[#This Row],[Site Name]],Tables!$B$12:$B$78, Tables!C$12:C$78)</f>
        <v>51.996416567567572</v>
      </c>
      <c r="M577">
        <f>_xlfn.XLOOKUP(AllDataCorrected[[#This Row],[Site Name]],Tables!$B$12:$B$78, Tables!D$12:D$78)</f>
        <v>-2.1556626756756749</v>
      </c>
      <c r="N577" t="s">
        <v>23</v>
      </c>
      <c r="O577">
        <v>780</v>
      </c>
      <c r="P577">
        <v>9.8000000000000007</v>
      </c>
      <c r="Q577">
        <v>4</v>
      </c>
      <c r="R577" t="str">
        <f>IF(AllDataCorrected[[#This Row],[Nitrate (PPM)]]&gt;2, "4. Very high (&gt;2ppm)", IF(AllDataCorrected[[#This Row],[Nitrate (PPM)]]&gt;1, "3. High (1-2ppm)", IF(AllDataCorrected[[#This Row],[Nitrate (PPM)]]&gt;0.5, "2. Some evidence (0.5-1ppm)", IF(AllDataCorrected[[#This Row],[Nitrate (PPM)]]&gt;=0, "1. No evidence (&lt;0.5ppm)"))))</f>
        <v>4. Very high (&gt;2ppm)</v>
      </c>
      <c r="S577">
        <v>0.25</v>
      </c>
      <c r="T5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7">
        <v>0.01</v>
      </c>
      <c r="V577" t="s">
        <v>859</v>
      </c>
    </row>
    <row r="578" spans="1:22" x14ac:dyDescent="0.25">
      <c r="A578" t="s">
        <v>860</v>
      </c>
      <c r="B578" s="2">
        <v>45374</v>
      </c>
      <c r="C578" t="str" cm="1">
        <f t="array" ref="C5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8">
        <f>YEAR(AllDataCorrected[[#This Row],[Date]])</f>
        <v>2024</v>
      </c>
      <c r="E578" s="1">
        <v>0.52083333333333337</v>
      </c>
      <c r="F5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8" t="str">
        <f>_xlfn.XLOOKUP(AllDataCorrected[[#This Row],[Location Name]], Locations[Location Name],Locations[Group As])</f>
        <v>Piddle Brook Wyre Piddle Bridge</v>
      </c>
      <c r="H578" t="e" vm="17">
        <f>_xlfn.XLOOKUP(AllDataCorrected[[#This Row],[Site Name]],LocationsKey[Site Name],LocationsKey[District])</f>
        <v>#VALUE!</v>
      </c>
      <c r="I578" t="e" vm="20">
        <f>_xlfn.XLOOKUP(AllDataCorrected[[#This Row],[Site Name]],LocationsKey[Site Name],LocationsKey[Town])</f>
        <v>#VALUE!</v>
      </c>
      <c r="J578" t="str">
        <f>_xlfn.XLOOKUP(AllDataCorrected[[#This Row],[Site Name]],LocationsKey[Site Name], LocationsKey[Waterway])</f>
        <v>Piddle Brook</v>
      </c>
      <c r="K578" t="s">
        <v>744</v>
      </c>
      <c r="L578">
        <f>_xlfn.XLOOKUP(AllDataCorrected[[#This Row],[Site Name]],Tables!$B$12:$B$78, Tables!C$12:C$78)</f>
        <v>52.126401720000004</v>
      </c>
      <c r="M578">
        <f>_xlfn.XLOOKUP(AllDataCorrected[[#This Row],[Site Name]],Tables!$B$12:$B$78, Tables!D$12:D$78)</f>
        <v>-2.0565162000000003</v>
      </c>
      <c r="N578" t="s">
        <v>23</v>
      </c>
      <c r="O578">
        <v>1020</v>
      </c>
      <c r="P578">
        <v>9.4</v>
      </c>
      <c r="Q578">
        <v>5</v>
      </c>
      <c r="R578" t="str">
        <f>IF(AllDataCorrected[[#This Row],[Nitrate (PPM)]]&gt;2, "4. Very high (&gt;2ppm)", IF(AllDataCorrected[[#This Row],[Nitrate (PPM)]]&gt;1, "3. High (1-2ppm)", IF(AllDataCorrected[[#This Row],[Nitrate (PPM)]]&gt;0.5, "2. Some evidence (0.5-1ppm)", IF(AllDataCorrected[[#This Row],[Nitrate (PPM)]]&gt;=0, "1. No evidence (&lt;0.5ppm)"))))</f>
        <v>4. Very high (&gt;2ppm)</v>
      </c>
      <c r="S578">
        <v>0.53</v>
      </c>
      <c r="T5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8">
        <v>0.34</v>
      </c>
      <c r="V578" t="s">
        <v>861</v>
      </c>
    </row>
    <row r="579" spans="1:22" x14ac:dyDescent="0.25">
      <c r="A579" t="s">
        <v>862</v>
      </c>
      <c r="B579" s="2">
        <v>45375</v>
      </c>
      <c r="C579" t="str" cm="1">
        <f t="array" ref="C5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9">
        <f>YEAR(AllDataCorrected[[#This Row],[Date]])</f>
        <v>2024</v>
      </c>
      <c r="E579" s="1">
        <v>0.44097222222222221</v>
      </c>
      <c r="F5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9" t="str">
        <f>_xlfn.XLOOKUP(AllDataCorrected[[#This Row],[Location Name]], Locations[Location Name],Locations[Group As])</f>
        <v>Fell Mill Footbridge</v>
      </c>
      <c r="H579" t="e" vm="2">
        <f>_xlfn.XLOOKUP(AllDataCorrected[[#This Row],[Site Name]],LocationsKey[Site Name],LocationsKey[District])</f>
        <v>#VALUE!</v>
      </c>
      <c r="I579" t="e" vm="10">
        <f>_xlfn.XLOOKUP(AllDataCorrected[[#This Row],[Site Name]],LocationsKey[Site Name],LocationsKey[Town])</f>
        <v>#VALUE!</v>
      </c>
      <c r="J579" t="str">
        <f>_xlfn.XLOOKUP(AllDataCorrected[[#This Row],[Site Name]],LocationsKey[Site Name], LocationsKey[Waterway])</f>
        <v>Stour</v>
      </c>
      <c r="K579" t="s">
        <v>818</v>
      </c>
      <c r="L579">
        <f>_xlfn.XLOOKUP(AllDataCorrected[[#This Row],[Site Name]],Tables!$B$12:$B$78, Tables!C$12:C$78)</f>
        <v>52.067966827586183</v>
      </c>
      <c r="M579">
        <f>_xlfn.XLOOKUP(AllDataCorrected[[#This Row],[Site Name]],Tables!$B$12:$B$78, Tables!D$12:D$78)</f>
        <v>-1.6118101379310343</v>
      </c>
      <c r="N579" t="s">
        <v>29</v>
      </c>
      <c r="O579">
        <v>592</v>
      </c>
      <c r="P579">
        <v>10.1</v>
      </c>
      <c r="Q579">
        <v>10</v>
      </c>
      <c r="R579" t="str">
        <f>IF(AllDataCorrected[[#This Row],[Nitrate (PPM)]]&gt;2, "4. Very high (&gt;2ppm)", IF(AllDataCorrected[[#This Row],[Nitrate (PPM)]]&gt;1, "3. High (1-2ppm)", IF(AllDataCorrected[[#This Row],[Nitrate (PPM)]]&gt;0.5, "2. Some evidence (0.5-1ppm)", IF(AllDataCorrected[[#This Row],[Nitrate (PPM)]]&gt;=0, "1. No evidence (&lt;0.5ppm)"))))</f>
        <v>4. Very high (&gt;2ppm)</v>
      </c>
      <c r="S579">
        <v>0.28999999999999998</v>
      </c>
      <c r="T5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9">
        <v>1.5</v>
      </c>
      <c r="V579" t="s">
        <v>863</v>
      </c>
    </row>
    <row r="580" spans="1:22" x14ac:dyDescent="0.25">
      <c r="A580" t="s">
        <v>874</v>
      </c>
      <c r="B580" s="2">
        <v>45375</v>
      </c>
      <c r="C580" t="str" cm="1">
        <f t="array" ref="C5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0">
        <f>YEAR(AllDataCorrected[[#This Row],[Date]])</f>
        <v>2024</v>
      </c>
      <c r="E580" s="1">
        <v>0.45833333333333331</v>
      </c>
      <c r="F5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80" t="str">
        <f>_xlfn.XLOOKUP(AllDataCorrected[[#This Row],[Location Name]], Locations[Location Name],Locations[Group As])</f>
        <v>Lucy's Mill Bridge</v>
      </c>
      <c r="H580" t="e" vm="2">
        <f>_xlfn.XLOOKUP(AllDataCorrected[[#This Row],[Site Name]],LocationsKey[Site Name],LocationsKey[District])</f>
        <v>#VALUE!</v>
      </c>
      <c r="I580" t="e" vm="7">
        <f>_xlfn.XLOOKUP(AllDataCorrected[[#This Row],[Site Name]],LocationsKey[Site Name],LocationsKey[Town])</f>
        <v>#VALUE!</v>
      </c>
      <c r="J580" t="str">
        <f>_xlfn.XLOOKUP(AllDataCorrected[[#This Row],[Site Name]],LocationsKey[Site Name], LocationsKey[Waterway])</f>
        <v>Avon</v>
      </c>
      <c r="K580" t="s">
        <v>216</v>
      </c>
      <c r="L580">
        <f>_xlfn.XLOOKUP(AllDataCorrected[[#This Row],[Site Name]],Tables!$B$12:$B$78, Tables!C$12:C$78)</f>
        <v>52.183699000000011</v>
      </c>
      <c r="M580">
        <f>_xlfn.XLOOKUP(AllDataCorrected[[#This Row],[Site Name]],Tables!$B$12:$B$78, Tables!D$12:D$78)</f>
        <v>-1.7078160000000004</v>
      </c>
      <c r="N580" t="s">
        <v>29</v>
      </c>
      <c r="P580">
        <v>11.5</v>
      </c>
      <c r="Q580">
        <v>5</v>
      </c>
      <c r="R580" t="str">
        <f>IF(AllDataCorrected[[#This Row],[Nitrate (PPM)]]&gt;2, "4. Very high (&gt;2ppm)", IF(AllDataCorrected[[#This Row],[Nitrate (PPM)]]&gt;1, "3. High (1-2ppm)", IF(AllDataCorrected[[#This Row],[Nitrate (PPM)]]&gt;0.5, "2. Some evidence (0.5-1ppm)", IF(AllDataCorrected[[#This Row],[Nitrate (PPM)]]&gt;=0, "1. No evidence (&lt;0.5ppm)"))))</f>
        <v>4. Very high (&gt;2ppm)</v>
      </c>
      <c r="S580">
        <v>0.25</v>
      </c>
      <c r="T5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0">
        <v>0.7</v>
      </c>
    </row>
    <row r="581" spans="1:22" x14ac:dyDescent="0.25">
      <c r="A581" t="s">
        <v>864</v>
      </c>
      <c r="B581" s="2">
        <v>45375</v>
      </c>
      <c r="C581" t="str" cm="1">
        <f t="array" ref="C5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1">
        <f>YEAR(AllDataCorrected[[#This Row],[Date]])</f>
        <v>2024</v>
      </c>
      <c r="E581" s="1">
        <v>0.55208333333333337</v>
      </c>
      <c r="F5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1" t="str">
        <f>_xlfn.XLOOKUP(AllDataCorrected[[#This Row],[Location Name]], Locations[Location Name],Locations[Group As])</f>
        <v>Pershore Bridges</v>
      </c>
      <c r="H581" t="e" vm="17">
        <f>_xlfn.XLOOKUP(AllDataCorrected[[#This Row],[Site Name]],LocationsKey[Site Name],LocationsKey[District])</f>
        <v>#VALUE!</v>
      </c>
      <c r="I581" t="e" vm="18">
        <f>_xlfn.XLOOKUP(AllDataCorrected[[#This Row],[Site Name]],LocationsKey[Site Name],LocationsKey[Town])</f>
        <v>#VALUE!</v>
      </c>
      <c r="J581" t="str">
        <f>_xlfn.XLOOKUP(AllDataCorrected[[#This Row],[Site Name]],LocationsKey[Site Name], LocationsKey[Waterway])</f>
        <v>Avon</v>
      </c>
      <c r="K581" t="s">
        <v>865</v>
      </c>
      <c r="L581">
        <f>_xlfn.XLOOKUP(AllDataCorrected[[#This Row],[Site Name]],Tables!$B$12:$B$78, Tables!C$12:C$78)</f>
        <v>52.104196285714281</v>
      </c>
      <c r="M581">
        <f>_xlfn.XLOOKUP(AllDataCorrected[[#This Row],[Site Name]],Tables!$B$12:$B$78, Tables!D$12:D$78)</f>
        <v>-2.0709292857142856</v>
      </c>
      <c r="O581">
        <v>770</v>
      </c>
      <c r="P581">
        <v>12</v>
      </c>
      <c r="Q581">
        <v>10</v>
      </c>
      <c r="R581" t="str">
        <f>IF(AllDataCorrected[[#This Row],[Nitrate (PPM)]]&gt;2, "4. Very high (&gt;2ppm)", IF(AllDataCorrected[[#This Row],[Nitrate (PPM)]]&gt;1, "3. High (1-2ppm)", IF(AllDataCorrected[[#This Row],[Nitrate (PPM)]]&gt;0.5, "2. Some evidence (0.5-1ppm)", IF(AllDataCorrected[[#This Row],[Nitrate (PPM)]]&gt;=0, "1. No evidence (&lt;0.5ppm)"))))</f>
        <v>4. Very high (&gt;2ppm)</v>
      </c>
      <c r="S581">
        <v>0.57999999999999996</v>
      </c>
      <c r="T5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1">
        <v>3.42</v>
      </c>
    </row>
    <row r="582" spans="1:22" x14ac:dyDescent="0.25">
      <c r="A582" t="s">
        <v>866</v>
      </c>
      <c r="B582" s="2">
        <v>45375</v>
      </c>
      <c r="C582" t="str" cm="1">
        <f t="array" ref="C5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2">
        <f>YEAR(AllDataCorrected[[#This Row],[Date]])</f>
        <v>2024</v>
      </c>
      <c r="E582" s="1">
        <v>0.5625</v>
      </c>
      <c r="F5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2" t="str">
        <f>_xlfn.XLOOKUP(AllDataCorrected[[#This Row],[Location Name]], Locations[Location Name],Locations[Group As])</f>
        <v>Clifford Chambers Mill Bridge</v>
      </c>
      <c r="H582" t="e" vm="2">
        <f>_xlfn.XLOOKUP(AllDataCorrected[[#This Row],[Site Name]],LocationsKey[Site Name],LocationsKey[District])</f>
        <v>#VALUE!</v>
      </c>
      <c r="I582" t="e" vm="12">
        <f>_xlfn.XLOOKUP(AllDataCorrected[[#This Row],[Site Name]],LocationsKey[Site Name],LocationsKey[Town])</f>
        <v>#VALUE!</v>
      </c>
      <c r="J582" t="str">
        <f>_xlfn.XLOOKUP(AllDataCorrected[[#This Row],[Site Name]],LocationsKey[Site Name], LocationsKey[Waterway])</f>
        <v>Stour</v>
      </c>
      <c r="K582" t="s">
        <v>263</v>
      </c>
      <c r="L582">
        <f>_xlfn.XLOOKUP(AllDataCorrected[[#This Row],[Site Name]],Tables!$B$12:$B$78, Tables!C$12:C$78)</f>
        <v>52.166358517241363</v>
      </c>
      <c r="M582">
        <f>_xlfn.XLOOKUP(AllDataCorrected[[#This Row],[Site Name]],Tables!$B$12:$B$78, Tables!D$12:D$78)</f>
        <v>-1.7080419310344837</v>
      </c>
      <c r="N582" t="s">
        <v>66</v>
      </c>
      <c r="O582">
        <v>663</v>
      </c>
      <c r="P582">
        <v>11.1</v>
      </c>
      <c r="Q582">
        <v>8</v>
      </c>
      <c r="R582" t="str">
        <f>IF(AllDataCorrected[[#This Row],[Nitrate (PPM)]]&gt;2, "4. Very high (&gt;2ppm)", IF(AllDataCorrected[[#This Row],[Nitrate (PPM)]]&gt;1, "3. High (1-2ppm)", IF(AllDataCorrected[[#This Row],[Nitrate (PPM)]]&gt;0.5, "2. Some evidence (0.5-1ppm)", IF(AllDataCorrected[[#This Row],[Nitrate (PPM)]]&gt;=0, "1. No evidence (&lt;0.5ppm)"))))</f>
        <v>4. Very high (&gt;2ppm)</v>
      </c>
      <c r="S582">
        <v>0.31</v>
      </c>
      <c r="T5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2">
        <v>1</v>
      </c>
    </row>
    <row r="583" spans="1:22" x14ac:dyDescent="0.25">
      <c r="A583" t="s">
        <v>867</v>
      </c>
      <c r="B583" s="2">
        <v>45375</v>
      </c>
      <c r="C583" t="str" cm="1">
        <f t="array" ref="C5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3">
        <f>YEAR(AllDataCorrected[[#This Row],[Date]])</f>
        <v>2024</v>
      </c>
      <c r="E583" s="1">
        <v>0.625</v>
      </c>
      <c r="F5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3" t="str">
        <f>_xlfn.XLOOKUP(AllDataCorrected[[#This Row],[Location Name]], Locations[Location Name],Locations[Group As])</f>
        <v>Sherbourne Brook 2</v>
      </c>
      <c r="H583" t="e" vm="2">
        <f>_xlfn.XLOOKUP(AllDataCorrected[[#This Row],[Site Name]],LocationsKey[Site Name],LocationsKey[District])</f>
        <v>#VALUE!</v>
      </c>
      <c r="I583" t="str">
        <f>_xlfn.XLOOKUP(AllDataCorrected[[#This Row],[Site Name]],LocationsKey[Site Name],LocationsKey[Town])</f>
        <v>Unknown</v>
      </c>
      <c r="J583" t="str">
        <f>_xlfn.XLOOKUP(AllDataCorrected[[#This Row],[Site Name]],LocationsKey[Site Name], LocationsKey[Waterway])</f>
        <v>Sherbourne Brook</v>
      </c>
      <c r="K583" t="s">
        <v>868</v>
      </c>
      <c r="L583" t="str">
        <f>_xlfn.XLOOKUP(AllDataCorrected[[#This Row],[Site Name]],Tables!$B$12:$B$78, Tables!C$12:C$78)</f>
        <v>Unknown</v>
      </c>
      <c r="M583" t="str">
        <f>_xlfn.XLOOKUP(AllDataCorrected[[#This Row],[Site Name]],Tables!$B$12:$B$78, Tables!D$12:D$78)</f>
        <v>Unknown</v>
      </c>
      <c r="N583" t="s">
        <v>23</v>
      </c>
      <c r="O583">
        <v>100</v>
      </c>
      <c r="P583">
        <v>10.8</v>
      </c>
      <c r="Q583">
        <v>4</v>
      </c>
      <c r="R583" t="str">
        <f>IF(AllDataCorrected[[#This Row],[Nitrate (PPM)]]&gt;2, "4. Very high (&gt;2ppm)", IF(AllDataCorrected[[#This Row],[Nitrate (PPM)]]&gt;1, "3. High (1-2ppm)", IF(AllDataCorrected[[#This Row],[Nitrate (PPM)]]&gt;0.5, "2. Some evidence (0.5-1ppm)", IF(AllDataCorrected[[#This Row],[Nitrate (PPM)]]&gt;=0, "1. No evidence (&lt;0.5ppm)"))))</f>
        <v>4. Very high (&gt;2ppm)</v>
      </c>
      <c r="S583">
        <v>0.57999999999999996</v>
      </c>
      <c r="T5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3">
        <v>0.2</v>
      </c>
      <c r="V583" t="s">
        <v>756</v>
      </c>
    </row>
    <row r="584" spans="1:22" x14ac:dyDescent="0.25">
      <c r="A584" t="s">
        <v>869</v>
      </c>
      <c r="B584" s="2">
        <v>45375</v>
      </c>
      <c r="C584" t="str" cm="1">
        <f t="array" ref="C5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4">
        <f>YEAR(AllDataCorrected[[#This Row],[Date]])</f>
        <v>2024</v>
      </c>
      <c r="E584" s="1">
        <v>0.63541666666666663</v>
      </c>
      <c r="F5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4" t="str">
        <f>_xlfn.XLOOKUP(AllDataCorrected[[#This Row],[Location Name]], Locations[Location Name],Locations[Group As])</f>
        <v>Bell Brook 1</v>
      </c>
      <c r="H584" t="e" vm="2">
        <f>_xlfn.XLOOKUP(AllDataCorrected[[#This Row],[Site Name]],LocationsKey[Site Name],LocationsKey[District])</f>
        <v>#VALUE!</v>
      </c>
      <c r="I584" t="e" vm="15">
        <f>_xlfn.XLOOKUP(AllDataCorrected[[#This Row],[Site Name]],LocationsKey[Site Name],LocationsKey[Town])</f>
        <v>#VALUE!</v>
      </c>
      <c r="J584" t="str">
        <f>_xlfn.XLOOKUP(AllDataCorrected[[#This Row],[Site Name]],LocationsKey[Site Name], LocationsKey[Waterway])</f>
        <v>Bell Brook</v>
      </c>
      <c r="K584" t="s">
        <v>534</v>
      </c>
      <c r="L584">
        <f>_xlfn.XLOOKUP(AllDataCorrected[[#This Row],[Site Name]],Tables!$B$12:$B$78, Tables!C$12:C$78)</f>
        <v>52.24489999999998</v>
      </c>
      <c r="M584">
        <f>_xlfn.XLOOKUP(AllDataCorrected[[#This Row],[Site Name]],Tables!$B$12:$B$78, Tables!D$12:D$78)</f>
        <v>-1.6617000000000013</v>
      </c>
      <c r="N584" t="s">
        <v>23</v>
      </c>
      <c r="O584">
        <v>107</v>
      </c>
      <c r="P584">
        <v>10.3</v>
      </c>
      <c r="Q584">
        <v>5</v>
      </c>
      <c r="R584" t="str">
        <f>IF(AllDataCorrected[[#This Row],[Nitrate (PPM)]]&gt;2, "4. Very high (&gt;2ppm)", IF(AllDataCorrected[[#This Row],[Nitrate (PPM)]]&gt;1, "3. High (1-2ppm)", IF(AllDataCorrected[[#This Row],[Nitrate (PPM)]]&gt;0.5, "2. Some evidence (0.5-1ppm)", IF(AllDataCorrected[[#This Row],[Nitrate (PPM)]]&gt;=0, "1. No evidence (&lt;0.5ppm)"))))</f>
        <v>4. Very high (&gt;2ppm)</v>
      </c>
      <c r="S584">
        <v>0.53</v>
      </c>
      <c r="T5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4">
        <v>0.15</v>
      </c>
      <c r="V584" t="s">
        <v>756</v>
      </c>
    </row>
    <row r="585" spans="1:22" x14ac:dyDescent="0.25">
      <c r="A585" t="s">
        <v>870</v>
      </c>
      <c r="B585" s="2">
        <v>45375</v>
      </c>
      <c r="C585" t="str" cm="1">
        <f t="array" ref="C5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5">
        <f>YEAR(AllDataCorrected[[#This Row],[Date]])</f>
        <v>2024</v>
      </c>
      <c r="E585" s="1">
        <v>0.66666666666666663</v>
      </c>
      <c r="F5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5" t="str">
        <f>_xlfn.XLOOKUP(AllDataCorrected[[#This Row],[Location Name]], Locations[Location Name],Locations[Group As])</f>
        <v>The Ford, Langley</v>
      </c>
      <c r="H585" t="e" vm="2">
        <f>_xlfn.XLOOKUP(AllDataCorrected[[#This Row],[Site Name]],LocationsKey[Site Name],LocationsKey[District])</f>
        <v>#VALUE!</v>
      </c>
      <c r="I585" t="str">
        <f>_xlfn.XLOOKUP(AllDataCorrected[[#This Row],[Site Name]],LocationsKey[Site Name],LocationsKey[Town])</f>
        <v>Langley</v>
      </c>
      <c r="J585" t="str">
        <f>_xlfn.XLOOKUP(AllDataCorrected[[#This Row],[Site Name]],LocationsKey[Site Name], LocationsKey[Waterway])</f>
        <v>Langley Ford</v>
      </c>
      <c r="K585" t="s">
        <v>557</v>
      </c>
      <c r="L585">
        <f>_xlfn.XLOOKUP(AllDataCorrected[[#This Row],[Site Name]],Tables!$B$12:$B$78, Tables!C$12:C$78)</f>
        <v>52.261724821428579</v>
      </c>
      <c r="M585">
        <f>_xlfn.XLOOKUP(AllDataCorrected[[#This Row],[Site Name]],Tables!$B$12:$B$78, Tables!D$12:D$78)</f>
        <v>-1.719408857142857</v>
      </c>
      <c r="N585" t="s">
        <v>29</v>
      </c>
      <c r="O585">
        <v>634</v>
      </c>
      <c r="P585">
        <v>9.6</v>
      </c>
      <c r="Q585">
        <v>2</v>
      </c>
      <c r="R585" t="str">
        <f>IF(AllDataCorrected[[#This Row],[Nitrate (PPM)]]&gt;2, "4. Very high (&gt;2ppm)", IF(AllDataCorrected[[#This Row],[Nitrate (PPM)]]&gt;1, "3. High (1-2ppm)", IF(AllDataCorrected[[#This Row],[Nitrate (PPM)]]&gt;0.5, "2. Some evidence (0.5-1ppm)", IF(AllDataCorrected[[#This Row],[Nitrate (PPM)]]&gt;=0, "1. No evidence (&lt;0.5ppm)"))))</f>
        <v>3. High (1-2ppm)</v>
      </c>
      <c r="S585">
        <v>0.68</v>
      </c>
      <c r="T5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5">
        <v>0.45</v>
      </c>
    </row>
    <row r="586" spans="1:22" x14ac:dyDescent="0.25">
      <c r="A586" t="s">
        <v>871</v>
      </c>
      <c r="B586" s="2">
        <v>45375</v>
      </c>
      <c r="C586" t="str" cm="1">
        <f t="array" ref="C5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6">
        <f>YEAR(AllDataCorrected[[#This Row],[Date]])</f>
        <v>2024</v>
      </c>
      <c r="E586" s="1">
        <v>0.75486111111111109</v>
      </c>
      <c r="F586"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586" t="str">
        <f>_xlfn.XLOOKUP(AllDataCorrected[[#This Row],[Location Name]], Locations[Location Name],Locations[Group As])</f>
        <v>Walcot Lane, Bow Brook Ford</v>
      </c>
      <c r="H586" t="e" vm="17">
        <f>_xlfn.XLOOKUP(AllDataCorrected[[#This Row],[Site Name]],LocationsKey[Site Name],LocationsKey[District])</f>
        <v>#VALUE!</v>
      </c>
      <c r="I586" t="e" vm="18">
        <f>_xlfn.XLOOKUP(AllDataCorrected[[#This Row],[Site Name]],LocationsKey[Site Name],LocationsKey[Town])</f>
        <v>#VALUE!</v>
      </c>
      <c r="J586" t="str">
        <f>_xlfn.XLOOKUP(AllDataCorrected[[#This Row],[Site Name]],LocationsKey[Site Name], LocationsKey[Waterway])</f>
        <v>Bow Brook</v>
      </c>
      <c r="K586" t="s">
        <v>872</v>
      </c>
      <c r="L586">
        <f>_xlfn.XLOOKUP(AllDataCorrected[[#This Row],[Site Name]],Tables!$B$12:$B$78, Tables!C$12:C$78)</f>
        <v>52.130499999999998</v>
      </c>
      <c r="M586">
        <f>_xlfn.XLOOKUP(AllDataCorrected[[#This Row],[Site Name]],Tables!$B$12:$B$78, Tables!D$12:D$78)</f>
        <v>-2.0787</v>
      </c>
      <c r="N586" t="s">
        <v>23</v>
      </c>
      <c r="O586">
        <v>933</v>
      </c>
      <c r="P586">
        <v>10.3</v>
      </c>
      <c r="Q586">
        <v>5</v>
      </c>
      <c r="R586" t="str">
        <f>IF(AllDataCorrected[[#This Row],[Nitrate (PPM)]]&gt;2, "4. Very high (&gt;2ppm)", IF(AllDataCorrected[[#This Row],[Nitrate (PPM)]]&gt;1, "3. High (1-2ppm)", IF(AllDataCorrected[[#This Row],[Nitrate (PPM)]]&gt;0.5, "2. Some evidence (0.5-1ppm)", IF(AllDataCorrected[[#This Row],[Nitrate (PPM)]]&gt;=0, "1. No evidence (&lt;0.5ppm)"))))</f>
        <v>4. Very high (&gt;2ppm)</v>
      </c>
      <c r="S586">
        <v>0.9</v>
      </c>
      <c r="T5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6">
        <v>0.5</v>
      </c>
      <c r="V586" t="s">
        <v>873</v>
      </c>
    </row>
    <row r="587" spans="1:22" x14ac:dyDescent="0.25">
      <c r="A587" t="s">
        <v>1761</v>
      </c>
      <c r="B587" s="2">
        <v>45375</v>
      </c>
      <c r="C587" t="str" cm="1">
        <f t="array" ref="C5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7">
        <f>YEAR(AllDataCorrected[[#This Row],[Date]])</f>
        <v>2024</v>
      </c>
      <c r="F58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7" t="str">
        <f>_xlfn.XLOOKUP(AllDataCorrected[[#This Row],[Location Name]], Locations[Location Name],Locations[Group As])</f>
        <v>Site 1  :  Middle Street</v>
      </c>
      <c r="H587" t="e" vm="2">
        <f>_xlfn.XLOOKUP(AllDataCorrected[[#This Row],[Site Name]],LocationsKey[Site Name],LocationsKey[District])</f>
        <v>#VALUE!</v>
      </c>
      <c r="I587" t="e" vm="11">
        <f>_xlfn.XLOOKUP(AllDataCorrected[[#This Row],[Site Name]],LocationsKey[Site Name],LocationsKey[Town])</f>
        <v>#VALUE!</v>
      </c>
      <c r="J587" t="str">
        <f>_xlfn.XLOOKUP(AllDataCorrected[[#This Row],[Site Name]],LocationsKey[Site Name], LocationsKey[Waterway])</f>
        <v>Fosseway Brook</v>
      </c>
      <c r="K587" t="s">
        <v>1859</v>
      </c>
      <c r="L587">
        <f>_xlfn.XLOOKUP(AllDataCorrected[[#This Row],[Site Name]],Tables!$B$12:$B$78, Tables!C$12:C$78)</f>
        <v>52.090077380952394</v>
      </c>
      <c r="M587">
        <f>_xlfn.XLOOKUP(AllDataCorrected[[#This Row],[Site Name]],Tables!$B$12:$B$78, Tables!D$12:D$78)</f>
        <v>-1.6926051666666673</v>
      </c>
      <c r="N587" t="s">
        <v>66</v>
      </c>
      <c r="O587">
        <v>588</v>
      </c>
      <c r="P587">
        <v>12.1</v>
      </c>
      <c r="Q587">
        <v>2</v>
      </c>
      <c r="R587" t="str">
        <f>IF(AllDataCorrected[[#This Row],[Nitrate (PPM)]]&gt;2, "4. Very high (&gt;2ppm)", IF(AllDataCorrected[[#This Row],[Nitrate (PPM)]]&gt;1, "3. High (1-2ppm)", IF(AllDataCorrected[[#This Row],[Nitrate (PPM)]]&gt;0.5, "2. Some evidence (0.5-1ppm)", IF(AllDataCorrected[[#This Row],[Nitrate (PPM)]]&gt;=0, "1. No evidence (&lt;0.5ppm)"))))</f>
        <v>3. High (1-2ppm)</v>
      </c>
      <c r="S587">
        <v>0</v>
      </c>
      <c r="T58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587">
        <v>0</v>
      </c>
      <c r="V587" t="s">
        <v>1905</v>
      </c>
    </row>
    <row r="588" spans="1:22" x14ac:dyDescent="0.25">
      <c r="A588" t="s">
        <v>1437</v>
      </c>
      <c r="B588" s="2">
        <v>45375</v>
      </c>
      <c r="C588" t="str" cm="1">
        <f t="array" ref="C5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8">
        <f>YEAR(AllDataCorrected[[#This Row],[Date]])</f>
        <v>2024</v>
      </c>
      <c r="F58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8" t="str">
        <f>_xlfn.XLOOKUP(AllDataCorrected[[#This Row],[Location Name]], Locations[Location Name],Locations[Group As])</f>
        <v>Site 1  :  Middle Street</v>
      </c>
      <c r="H588" t="e" vm="2">
        <f>_xlfn.XLOOKUP(AllDataCorrected[[#This Row],[Site Name]],LocationsKey[Site Name],LocationsKey[District])</f>
        <v>#VALUE!</v>
      </c>
      <c r="I588" t="e" vm="11">
        <f>_xlfn.XLOOKUP(AllDataCorrected[[#This Row],[Site Name]],LocationsKey[Site Name],LocationsKey[Town])</f>
        <v>#VALUE!</v>
      </c>
      <c r="J588" t="str">
        <f>_xlfn.XLOOKUP(AllDataCorrected[[#This Row],[Site Name]],LocationsKey[Site Name], LocationsKey[Waterway])</f>
        <v>Fosseway Brook</v>
      </c>
      <c r="K588" t="s">
        <v>1373</v>
      </c>
      <c r="L588">
        <f>_xlfn.XLOOKUP(AllDataCorrected[[#This Row],[Site Name]],Tables!$B$12:$B$78, Tables!C$12:C$78)</f>
        <v>52.090077380952394</v>
      </c>
      <c r="M588">
        <f>_xlfn.XLOOKUP(AllDataCorrected[[#This Row],[Site Name]],Tables!$B$12:$B$78, Tables!D$12:D$78)</f>
        <v>-1.6926051666666673</v>
      </c>
      <c r="N588" t="s">
        <v>66</v>
      </c>
      <c r="O588">
        <v>588</v>
      </c>
      <c r="P588">
        <v>12.1</v>
      </c>
      <c r="Q588">
        <v>2</v>
      </c>
      <c r="R588" t="str">
        <f>IF(AllDataCorrected[[#This Row],[Nitrate (PPM)]]&gt;2, "4. Very high (&gt;2ppm)", IF(AllDataCorrected[[#This Row],[Nitrate (PPM)]]&gt;1, "3. High (1-2ppm)", IF(AllDataCorrected[[#This Row],[Nitrate (PPM)]]&gt;0.5, "2. Some evidence (0.5-1ppm)", IF(AllDataCorrected[[#This Row],[Nitrate (PPM)]]&gt;=0, "1. No evidence (&lt;0.5ppm)"))))</f>
        <v>3. High (1-2ppm)</v>
      </c>
      <c r="S588">
        <v>0</v>
      </c>
      <c r="T58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V588" t="s">
        <v>1435</v>
      </c>
    </row>
    <row r="589" spans="1:22" x14ac:dyDescent="0.25">
      <c r="A589" t="s">
        <v>1762</v>
      </c>
      <c r="B589" s="2">
        <v>45375</v>
      </c>
      <c r="C589" t="str" cm="1">
        <f t="array" ref="C5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9">
        <f>YEAR(AllDataCorrected[[#This Row],[Date]])</f>
        <v>2024</v>
      </c>
      <c r="F58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9" t="str">
        <f>_xlfn.XLOOKUP(AllDataCorrected[[#This Row],[Location Name]], Locations[Location Name],Locations[Group As])</f>
        <v>Site 2  :  Cross Leys culvert</v>
      </c>
      <c r="H589" t="e" vm="2">
        <f>_xlfn.XLOOKUP(AllDataCorrected[[#This Row],[Site Name]],LocationsKey[Site Name],LocationsKey[District])</f>
        <v>#VALUE!</v>
      </c>
      <c r="I589" t="e" vm="11">
        <f>_xlfn.XLOOKUP(AllDataCorrected[[#This Row],[Site Name]],LocationsKey[Site Name],LocationsKey[Town])</f>
        <v>#VALUE!</v>
      </c>
      <c r="J589" t="str">
        <f>_xlfn.XLOOKUP(AllDataCorrected[[#This Row],[Site Name]],LocationsKey[Site Name], LocationsKey[Waterway])</f>
        <v>Fosseway Brook</v>
      </c>
      <c r="K589" t="s">
        <v>1860</v>
      </c>
      <c r="L589">
        <f>_xlfn.XLOOKUP(AllDataCorrected[[#This Row],[Site Name]],Tables!$B$12:$B$78, Tables!C$12:C$78)</f>
        <v>52.092990199999988</v>
      </c>
      <c r="M589">
        <f>_xlfn.XLOOKUP(AllDataCorrected[[#This Row],[Site Name]],Tables!$B$12:$B$78, Tables!D$12:D$78)</f>
        <v>-1.6862810999999998</v>
      </c>
      <c r="N589" t="s">
        <v>66</v>
      </c>
      <c r="O589">
        <v>666</v>
      </c>
      <c r="P589">
        <v>11.5</v>
      </c>
      <c r="Q589">
        <v>5</v>
      </c>
      <c r="R589" t="str">
        <f>IF(AllDataCorrected[[#This Row],[Nitrate (PPM)]]&gt;2, "4. Very high (&gt;2ppm)", IF(AllDataCorrected[[#This Row],[Nitrate (PPM)]]&gt;1, "3. High (1-2ppm)", IF(AllDataCorrected[[#This Row],[Nitrate (PPM)]]&gt;0.5, "2. Some evidence (0.5-1ppm)", IF(AllDataCorrected[[#This Row],[Nitrate (PPM)]]&gt;=0, "1. No evidence (&lt;0.5ppm)"))))</f>
        <v>4. Very high (&gt;2ppm)</v>
      </c>
      <c r="S589">
        <v>0.13</v>
      </c>
      <c r="T5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9">
        <v>0</v>
      </c>
      <c r="V589" t="s">
        <v>1905</v>
      </c>
    </row>
    <row r="590" spans="1:22" x14ac:dyDescent="0.25">
      <c r="A590" t="s">
        <v>1436</v>
      </c>
      <c r="B590" s="2">
        <v>45375</v>
      </c>
      <c r="C590" t="str" cm="1">
        <f t="array" ref="C5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0">
        <f>YEAR(AllDataCorrected[[#This Row],[Date]])</f>
        <v>2024</v>
      </c>
      <c r="F59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0" t="str">
        <f>_xlfn.XLOOKUP(AllDataCorrected[[#This Row],[Location Name]], Locations[Location Name],Locations[Group As])</f>
        <v>Site 2  :  Cross Leys culvert</v>
      </c>
      <c r="H590" t="e" vm="2">
        <f>_xlfn.XLOOKUP(AllDataCorrected[[#This Row],[Site Name]],LocationsKey[Site Name],LocationsKey[District])</f>
        <v>#VALUE!</v>
      </c>
      <c r="I590" t="e" vm="11">
        <f>_xlfn.XLOOKUP(AllDataCorrected[[#This Row],[Site Name]],LocationsKey[Site Name],LocationsKey[Town])</f>
        <v>#VALUE!</v>
      </c>
      <c r="J590" t="str">
        <f>_xlfn.XLOOKUP(AllDataCorrected[[#This Row],[Site Name]],LocationsKey[Site Name], LocationsKey[Waterway])</f>
        <v>Fosseway Brook</v>
      </c>
      <c r="K590" t="s">
        <v>1371</v>
      </c>
      <c r="L590">
        <f>_xlfn.XLOOKUP(AllDataCorrected[[#This Row],[Site Name]],Tables!$B$12:$B$78, Tables!C$12:C$78)</f>
        <v>52.092990199999988</v>
      </c>
      <c r="M590">
        <f>_xlfn.XLOOKUP(AllDataCorrected[[#This Row],[Site Name]],Tables!$B$12:$B$78, Tables!D$12:D$78)</f>
        <v>-1.6862810999999998</v>
      </c>
      <c r="N590" t="s">
        <v>66</v>
      </c>
      <c r="O590">
        <v>666</v>
      </c>
      <c r="P590">
        <v>11.5</v>
      </c>
      <c r="Q590">
        <v>5</v>
      </c>
      <c r="R590" t="str">
        <f>IF(AllDataCorrected[[#This Row],[Nitrate (PPM)]]&gt;2, "4. Very high (&gt;2ppm)", IF(AllDataCorrected[[#This Row],[Nitrate (PPM)]]&gt;1, "3. High (1-2ppm)", IF(AllDataCorrected[[#This Row],[Nitrate (PPM)]]&gt;0.5, "2. Some evidence (0.5-1ppm)", IF(AllDataCorrected[[#This Row],[Nitrate (PPM)]]&gt;=0, "1. No evidence (&lt;0.5ppm)"))))</f>
        <v>4. Very high (&gt;2ppm)</v>
      </c>
      <c r="S590">
        <v>0.13</v>
      </c>
      <c r="T5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590" t="s">
        <v>1435</v>
      </c>
    </row>
    <row r="591" spans="1:22" x14ac:dyDescent="0.25">
      <c r="A591" t="s">
        <v>1763</v>
      </c>
      <c r="B591" s="2">
        <v>45375</v>
      </c>
      <c r="C591" t="str" cm="1">
        <f t="array" ref="C5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1">
        <f>YEAR(AllDataCorrected[[#This Row],[Date]])</f>
        <v>2024</v>
      </c>
      <c r="F59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1" t="str">
        <f>_xlfn.XLOOKUP(AllDataCorrected[[#This Row],[Location Name]], Locations[Location Name],Locations[Group As])</f>
        <v>Site 3  :  Severn Trent Water processing plant outflow</v>
      </c>
      <c r="H591" t="e" vm="2">
        <f>_xlfn.XLOOKUP(AllDataCorrected[[#This Row],[Site Name]],LocationsKey[Site Name],LocationsKey[District])</f>
        <v>#VALUE!</v>
      </c>
      <c r="I591" t="e" vm="11">
        <f>_xlfn.XLOOKUP(AllDataCorrected[[#This Row],[Site Name]],LocationsKey[Site Name],LocationsKey[Town])</f>
        <v>#VALUE!</v>
      </c>
      <c r="J591" t="str">
        <f>_xlfn.XLOOKUP(AllDataCorrected[[#This Row],[Site Name]],LocationsKey[Site Name], LocationsKey[Waterway])</f>
        <v>Fosseway Brook</v>
      </c>
      <c r="K591" t="s">
        <v>1861</v>
      </c>
      <c r="L591">
        <f>_xlfn.XLOOKUP(AllDataCorrected[[#This Row],[Site Name]],Tables!$B$12:$B$78, Tables!C$12:C$78)</f>
        <v>52.094341024390218</v>
      </c>
      <c r="M591">
        <f>_xlfn.XLOOKUP(AllDataCorrected[[#This Row],[Site Name]],Tables!$B$12:$B$78, Tables!D$12:D$78)</f>
        <v>-1.6731015853658531</v>
      </c>
      <c r="N591" t="s">
        <v>29</v>
      </c>
      <c r="O591">
        <v>866</v>
      </c>
      <c r="P591">
        <v>13.3</v>
      </c>
      <c r="Q591">
        <v>10</v>
      </c>
      <c r="R591" t="str">
        <f>IF(AllDataCorrected[[#This Row],[Nitrate (PPM)]]&gt;2, "4. Very high (&gt;2ppm)", IF(AllDataCorrected[[#This Row],[Nitrate (PPM)]]&gt;1, "3. High (1-2ppm)", IF(AllDataCorrected[[#This Row],[Nitrate (PPM)]]&gt;0.5, "2. Some evidence (0.5-1ppm)", IF(AllDataCorrected[[#This Row],[Nitrate (PPM)]]&gt;=0, "1. No evidence (&lt;0.5ppm)"))))</f>
        <v>4. Very high (&gt;2ppm)</v>
      </c>
      <c r="S591">
        <v>2.5</v>
      </c>
      <c r="T5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1">
        <v>0</v>
      </c>
      <c r="V591" t="s">
        <v>1907</v>
      </c>
    </row>
    <row r="592" spans="1:22" x14ac:dyDescent="0.25">
      <c r="A592" t="s">
        <v>1434</v>
      </c>
      <c r="B592" s="2">
        <v>45375</v>
      </c>
      <c r="C592" t="str" cm="1">
        <f t="array" ref="C5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2">
        <f>YEAR(AllDataCorrected[[#This Row],[Date]])</f>
        <v>2024</v>
      </c>
      <c r="F59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2" t="str">
        <f>_xlfn.XLOOKUP(AllDataCorrected[[#This Row],[Location Name]], Locations[Location Name],Locations[Group As])</f>
        <v>Site 3  :  Severn Trent Water processing plant outflow</v>
      </c>
      <c r="H592" t="e" vm="2">
        <f>_xlfn.XLOOKUP(AllDataCorrected[[#This Row],[Site Name]],LocationsKey[Site Name],LocationsKey[District])</f>
        <v>#VALUE!</v>
      </c>
      <c r="I592" t="e" vm="11">
        <f>_xlfn.XLOOKUP(AllDataCorrected[[#This Row],[Site Name]],LocationsKey[Site Name],LocationsKey[Town])</f>
        <v>#VALUE!</v>
      </c>
      <c r="J592" t="str">
        <f>_xlfn.XLOOKUP(AllDataCorrected[[#This Row],[Site Name]],LocationsKey[Site Name], LocationsKey[Waterway])</f>
        <v>Fosseway Brook</v>
      </c>
      <c r="K592" t="s">
        <v>1368</v>
      </c>
      <c r="L592">
        <f>_xlfn.XLOOKUP(AllDataCorrected[[#This Row],[Site Name]],Tables!$B$12:$B$78, Tables!C$12:C$78)</f>
        <v>52.094341024390218</v>
      </c>
      <c r="M592">
        <f>_xlfn.XLOOKUP(AllDataCorrected[[#This Row],[Site Name]],Tables!$B$12:$B$78, Tables!D$12:D$78)</f>
        <v>-1.6731015853658531</v>
      </c>
      <c r="N592" t="s">
        <v>29</v>
      </c>
      <c r="O592">
        <v>866</v>
      </c>
      <c r="P592">
        <v>13.3</v>
      </c>
      <c r="Q592">
        <v>10</v>
      </c>
      <c r="R592" t="str">
        <f>IF(AllDataCorrected[[#This Row],[Nitrate (PPM)]]&gt;2, "4. Very high (&gt;2ppm)", IF(AllDataCorrected[[#This Row],[Nitrate (PPM)]]&gt;1, "3. High (1-2ppm)", IF(AllDataCorrected[[#This Row],[Nitrate (PPM)]]&gt;0.5, "2. Some evidence (0.5-1ppm)", IF(AllDataCorrected[[#This Row],[Nitrate (PPM)]]&gt;=0, "1. No evidence (&lt;0.5ppm)"))))</f>
        <v>4. Very high (&gt;2ppm)</v>
      </c>
      <c r="S592">
        <v>2.5</v>
      </c>
      <c r="T5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92" t="s">
        <v>1435</v>
      </c>
    </row>
    <row r="593" spans="1:22" x14ac:dyDescent="0.25">
      <c r="A593" t="s">
        <v>875</v>
      </c>
      <c r="B593" s="2">
        <v>45376</v>
      </c>
      <c r="C593" t="str" cm="1">
        <f t="array" ref="C5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3">
        <f>YEAR(AllDataCorrected[[#This Row],[Date]])</f>
        <v>2024</v>
      </c>
      <c r="E593" s="1">
        <v>0.37361111111111112</v>
      </c>
      <c r="F5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3" t="str">
        <f>_xlfn.XLOOKUP(AllDataCorrected[[#This Row],[Location Name]], Locations[Location Name],Locations[Group As])</f>
        <v>Stour Stretton-on-Fosse Village</v>
      </c>
      <c r="H593" t="e" vm="2">
        <f>_xlfn.XLOOKUP(AllDataCorrected[[#This Row],[Site Name]],LocationsKey[Site Name],LocationsKey[District])</f>
        <v>#VALUE!</v>
      </c>
      <c r="I593" t="e" vm="14">
        <f>_xlfn.XLOOKUP(AllDataCorrected[[#This Row],[Site Name]],LocationsKey[Site Name],LocationsKey[Town])</f>
        <v>#VALUE!</v>
      </c>
      <c r="J593" t="str">
        <f>_xlfn.XLOOKUP(AllDataCorrected[[#This Row],[Site Name]],LocationsKey[Site Name], LocationsKey[Waterway])</f>
        <v>Stour</v>
      </c>
      <c r="K593" t="s">
        <v>544</v>
      </c>
      <c r="L593">
        <f>_xlfn.XLOOKUP(AllDataCorrected[[#This Row],[Site Name]],Tables!$B$12:$B$78, Tables!C$12:C$78)</f>
        <v>52.046517558823524</v>
      </c>
      <c r="M593">
        <f>_xlfn.XLOOKUP(AllDataCorrected[[#This Row],[Site Name]],Tables!$B$12:$B$78, Tables!D$12:D$78)</f>
        <v>-1.6734143529411767</v>
      </c>
      <c r="N593" t="s">
        <v>66</v>
      </c>
      <c r="O593">
        <v>702</v>
      </c>
      <c r="P593">
        <v>8.4</v>
      </c>
      <c r="Q593">
        <v>2</v>
      </c>
      <c r="R593" t="str">
        <f>IF(AllDataCorrected[[#This Row],[Nitrate (PPM)]]&gt;2, "4. Very high (&gt;2ppm)", IF(AllDataCorrected[[#This Row],[Nitrate (PPM)]]&gt;1, "3. High (1-2ppm)", IF(AllDataCorrected[[#This Row],[Nitrate (PPM)]]&gt;0.5, "2. Some evidence (0.5-1ppm)", IF(AllDataCorrected[[#This Row],[Nitrate (PPM)]]&gt;=0, "1. No evidence (&lt;0.5ppm)"))))</f>
        <v>3. High (1-2ppm)</v>
      </c>
      <c r="S593">
        <v>1.57</v>
      </c>
      <c r="T5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3">
        <v>0.2</v>
      </c>
    </row>
    <row r="594" spans="1:22" x14ac:dyDescent="0.25">
      <c r="A594" t="s">
        <v>876</v>
      </c>
      <c r="B594" s="2">
        <v>45376</v>
      </c>
      <c r="C594" t="str" cm="1">
        <f t="array" ref="C5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4">
        <f>YEAR(AllDataCorrected[[#This Row],[Date]])</f>
        <v>2024</v>
      </c>
      <c r="E594" s="1">
        <v>0.37986111111111109</v>
      </c>
      <c r="F5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4" t="str">
        <f>_xlfn.XLOOKUP(AllDataCorrected[[#This Row],[Location Name]], Locations[Location Name],Locations[Group As])</f>
        <v>Stour Stretton-on-Fosse Sewage Works</v>
      </c>
      <c r="H594" t="e" vm="2">
        <f>_xlfn.XLOOKUP(AllDataCorrected[[#This Row],[Site Name]],LocationsKey[Site Name],LocationsKey[District])</f>
        <v>#VALUE!</v>
      </c>
      <c r="I594" t="e" vm="14">
        <f>_xlfn.XLOOKUP(AllDataCorrected[[#This Row],[Site Name]],LocationsKey[Site Name],LocationsKey[Town])</f>
        <v>#VALUE!</v>
      </c>
      <c r="J594" t="str">
        <f>_xlfn.XLOOKUP(AllDataCorrected[[#This Row],[Site Name]],LocationsKey[Site Name], LocationsKey[Waterway])</f>
        <v>Stour</v>
      </c>
      <c r="K594" t="s">
        <v>335</v>
      </c>
      <c r="L594">
        <f>_xlfn.XLOOKUP(AllDataCorrected[[#This Row],[Site Name]],Tables!$B$12:$B$78, Tables!C$12:C$78)</f>
        <v>52.045653647058806</v>
      </c>
      <c r="M594">
        <f>_xlfn.XLOOKUP(AllDataCorrected[[#This Row],[Site Name]],Tables!$B$12:$B$78, Tables!D$12:D$78)</f>
        <v>-1.6719221470588235</v>
      </c>
      <c r="N594" t="s">
        <v>29</v>
      </c>
      <c r="O594">
        <v>760</v>
      </c>
      <c r="P594">
        <v>8.1</v>
      </c>
      <c r="Q594">
        <v>2</v>
      </c>
      <c r="R594" t="str">
        <f>IF(AllDataCorrected[[#This Row],[Nitrate (PPM)]]&gt;2, "4. Very high (&gt;2ppm)", IF(AllDataCorrected[[#This Row],[Nitrate (PPM)]]&gt;1, "3. High (1-2ppm)", IF(AllDataCorrected[[#This Row],[Nitrate (PPM)]]&gt;0.5, "2. Some evidence (0.5-1ppm)", IF(AllDataCorrected[[#This Row],[Nitrate (PPM)]]&gt;=0, "1. No evidence (&lt;0.5ppm)"))))</f>
        <v>3. High (1-2ppm)</v>
      </c>
      <c r="S594">
        <v>2.5</v>
      </c>
      <c r="T5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4">
        <v>0.3</v>
      </c>
      <c r="V594" t="s">
        <v>877</v>
      </c>
    </row>
    <row r="595" spans="1:22" x14ac:dyDescent="0.25">
      <c r="A595" t="s">
        <v>878</v>
      </c>
      <c r="B595" s="2">
        <v>45378</v>
      </c>
      <c r="C595" t="str" cm="1">
        <f t="array" ref="C5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5">
        <f>YEAR(AllDataCorrected[[#This Row],[Date]])</f>
        <v>2024</v>
      </c>
      <c r="E595" s="1">
        <v>0.40069444444444446</v>
      </c>
      <c r="F5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5" t="str">
        <f>_xlfn.XLOOKUP(AllDataCorrected[[#This Row],[Location Name]], Locations[Location Name],Locations[Group As])</f>
        <v>Abbey Mill</v>
      </c>
      <c r="H595" t="e" vm="1">
        <f>_xlfn.XLOOKUP(AllDataCorrected[[#This Row],[Site Name]],LocationsKey[Site Name],LocationsKey[District])</f>
        <v>#VALUE!</v>
      </c>
      <c r="I595" t="e" vm="1">
        <f>_xlfn.XLOOKUP(AllDataCorrected[[#This Row],[Site Name]],LocationsKey[Site Name],LocationsKey[Town])</f>
        <v>#VALUE!</v>
      </c>
      <c r="J595" t="str">
        <f>_xlfn.XLOOKUP(AllDataCorrected[[#This Row],[Site Name]],LocationsKey[Site Name], LocationsKey[Waterway])</f>
        <v>Avon</v>
      </c>
      <c r="K595" t="s">
        <v>25</v>
      </c>
      <c r="L595">
        <f>_xlfn.XLOOKUP(AllDataCorrected[[#This Row],[Site Name]],Tables!$B$12:$B$78, Tables!C$12:C$78)</f>
        <v>51.991389555555564</v>
      </c>
      <c r="M595">
        <f>_xlfn.XLOOKUP(AllDataCorrected[[#This Row],[Site Name]],Tables!$B$12:$B$78, Tables!D$12:D$78)</f>
        <v>-2.1620794000000005</v>
      </c>
      <c r="N595" t="s">
        <v>23</v>
      </c>
      <c r="O595">
        <v>810</v>
      </c>
      <c r="P595">
        <v>9.8000000000000007</v>
      </c>
      <c r="Q595">
        <v>5</v>
      </c>
      <c r="R595" t="str">
        <f>IF(AllDataCorrected[[#This Row],[Nitrate (PPM)]]&gt;2, "4. Very high (&gt;2ppm)", IF(AllDataCorrected[[#This Row],[Nitrate (PPM)]]&gt;1, "3. High (1-2ppm)", IF(AllDataCorrected[[#This Row],[Nitrate (PPM)]]&gt;0.5, "2. Some evidence (0.5-1ppm)", IF(AllDataCorrected[[#This Row],[Nitrate (PPM)]]&gt;=0, "1. No evidence (&lt;0.5ppm)"))))</f>
        <v>4. Very high (&gt;2ppm)</v>
      </c>
      <c r="S595">
        <v>0.98</v>
      </c>
      <c r="T5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5">
        <v>0.7</v>
      </c>
      <c r="V595" t="s">
        <v>879</v>
      </c>
    </row>
    <row r="596" spans="1:22" x14ac:dyDescent="0.25">
      <c r="A596" t="s">
        <v>880</v>
      </c>
      <c r="B596" s="2">
        <v>45378</v>
      </c>
      <c r="C596" t="str" cm="1">
        <f t="array" ref="C5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6">
        <f>YEAR(AllDataCorrected[[#This Row],[Date]])</f>
        <v>2024</v>
      </c>
      <c r="E596" s="1">
        <v>0.57708333333333328</v>
      </c>
      <c r="F5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6" t="str">
        <f>_xlfn.XLOOKUP(AllDataCorrected[[#This Row],[Location Name]], Locations[Location Name],Locations[Group As])</f>
        <v>Swiffen Bank</v>
      </c>
      <c r="H596" t="e" vm="2">
        <f>_xlfn.XLOOKUP(AllDataCorrected[[#This Row],[Site Name]],LocationsKey[Site Name],LocationsKey[District])</f>
        <v>#VALUE!</v>
      </c>
      <c r="I596" t="e" vm="13">
        <f>_xlfn.XLOOKUP(AllDataCorrected[[#This Row],[Site Name]],LocationsKey[Site Name],LocationsKey[Town])</f>
        <v>#VALUE!</v>
      </c>
      <c r="J596" t="str">
        <f>_xlfn.XLOOKUP(AllDataCorrected[[#This Row],[Site Name]],LocationsKey[Site Name], LocationsKey[Waterway])</f>
        <v>Avon</v>
      </c>
      <c r="K596" t="s">
        <v>284</v>
      </c>
      <c r="L596">
        <f>_xlfn.XLOOKUP(AllDataCorrected[[#This Row],[Site Name]],Tables!$B$12:$B$78, Tables!C$12:C$78)</f>
        <v>52.206446825000015</v>
      </c>
      <c r="M596">
        <f>_xlfn.XLOOKUP(AllDataCorrected[[#This Row],[Site Name]],Tables!$B$12:$B$78, Tables!D$12:D$78)</f>
        <v>-1.6541684000000003</v>
      </c>
      <c r="N596" t="s">
        <v>29</v>
      </c>
      <c r="O596">
        <v>542</v>
      </c>
      <c r="P596">
        <v>12.1</v>
      </c>
      <c r="Q596">
        <v>5</v>
      </c>
      <c r="R596" t="str">
        <f>IF(AllDataCorrected[[#This Row],[Nitrate (PPM)]]&gt;2, "4. Very high (&gt;2ppm)", IF(AllDataCorrected[[#This Row],[Nitrate (PPM)]]&gt;1, "3. High (1-2ppm)", IF(AllDataCorrected[[#This Row],[Nitrate (PPM)]]&gt;0.5, "2. Some evidence (0.5-1ppm)", IF(AllDataCorrected[[#This Row],[Nitrate (PPM)]]&gt;=0, "1. No evidence (&lt;0.5ppm)"))))</f>
        <v>4. Very high (&gt;2ppm)</v>
      </c>
      <c r="S596">
        <v>0.74</v>
      </c>
      <c r="T5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6">
        <v>1.75</v>
      </c>
      <c r="V596" t="s">
        <v>881</v>
      </c>
    </row>
    <row r="597" spans="1:22" x14ac:dyDescent="0.25">
      <c r="A597" t="s">
        <v>882</v>
      </c>
      <c r="B597" s="2">
        <v>45378</v>
      </c>
      <c r="C597" t="str" cm="1">
        <f t="array" ref="C5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7">
        <f>YEAR(AllDataCorrected[[#This Row],[Date]])</f>
        <v>2024</v>
      </c>
      <c r="E597" s="1">
        <v>0.59375</v>
      </c>
      <c r="F5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7" t="str">
        <f>_xlfn.XLOOKUP(AllDataCorrected[[#This Row],[Location Name]], Locations[Location Name],Locations[Group As])</f>
        <v>Alveston Weir</v>
      </c>
      <c r="H597" t="e" vm="2">
        <f>_xlfn.XLOOKUP(AllDataCorrected[[#This Row],[Site Name]],LocationsKey[Site Name],LocationsKey[District])</f>
        <v>#VALUE!</v>
      </c>
      <c r="I597" t="e" vm="13">
        <f>_xlfn.XLOOKUP(AllDataCorrected[[#This Row],[Site Name]],LocationsKey[Site Name],LocationsKey[Town])</f>
        <v>#VALUE!</v>
      </c>
      <c r="J597" t="str">
        <f>_xlfn.XLOOKUP(AllDataCorrected[[#This Row],[Site Name]],LocationsKey[Site Name], LocationsKey[Waterway])</f>
        <v>Avon</v>
      </c>
      <c r="K597" t="s">
        <v>286</v>
      </c>
      <c r="L597">
        <f>_xlfn.XLOOKUP(AllDataCorrected[[#This Row],[Site Name]],Tables!$B$12:$B$78, Tables!C$12:C$78)</f>
        <v>52.212366690476216</v>
      </c>
      <c r="M597">
        <f>_xlfn.XLOOKUP(AllDataCorrected[[#This Row],[Site Name]],Tables!$B$12:$B$78, Tables!D$12:D$78)</f>
        <v>-1.6602567619047619</v>
      </c>
      <c r="N597" t="s">
        <v>29</v>
      </c>
      <c r="O597">
        <v>545</v>
      </c>
      <c r="P597">
        <v>11</v>
      </c>
      <c r="Q597">
        <v>5</v>
      </c>
      <c r="R597" t="str">
        <f>IF(AllDataCorrected[[#This Row],[Nitrate (PPM)]]&gt;2, "4. Very high (&gt;2ppm)", IF(AllDataCorrected[[#This Row],[Nitrate (PPM)]]&gt;1, "3. High (1-2ppm)", IF(AllDataCorrected[[#This Row],[Nitrate (PPM)]]&gt;0.5, "2. Some evidence (0.5-1ppm)", IF(AllDataCorrected[[#This Row],[Nitrate (PPM)]]&gt;=0, "1. No evidence (&lt;0.5ppm)"))))</f>
        <v>4. Very high (&gt;2ppm)</v>
      </c>
      <c r="S597">
        <v>0.43</v>
      </c>
      <c r="T59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7">
        <v>1.75</v>
      </c>
      <c r="V597" t="s">
        <v>883</v>
      </c>
    </row>
    <row r="598" spans="1:22" x14ac:dyDescent="0.25">
      <c r="A598" t="s">
        <v>884</v>
      </c>
      <c r="B598" s="2">
        <v>45378</v>
      </c>
      <c r="C598" t="str" cm="1">
        <f t="array" ref="C5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8">
        <f>YEAR(AllDataCorrected[[#This Row],[Date]])</f>
        <v>2024</v>
      </c>
      <c r="E598" s="1">
        <v>0.625</v>
      </c>
      <c r="F5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8" t="str">
        <f>_xlfn.XLOOKUP(AllDataCorrected[[#This Row],[Location Name]], Locations[Location Name],Locations[Group As])</f>
        <v>Stour Newbold Mill</v>
      </c>
      <c r="H598" t="e" vm="2">
        <f>_xlfn.XLOOKUP(AllDataCorrected[[#This Row],[Site Name]],LocationsKey[Site Name],LocationsKey[District])</f>
        <v>#VALUE!</v>
      </c>
      <c r="I598" t="e" vm="8">
        <f>_xlfn.XLOOKUP(AllDataCorrected[[#This Row],[Site Name]],LocationsKey[Site Name],LocationsKey[Town])</f>
        <v>#VALUE!</v>
      </c>
      <c r="J598" t="str">
        <f>_xlfn.XLOOKUP(AllDataCorrected[[#This Row],[Site Name]],LocationsKey[Site Name], LocationsKey[Waterway])</f>
        <v>Stour</v>
      </c>
      <c r="K598" t="s">
        <v>140</v>
      </c>
      <c r="L598">
        <f>_xlfn.XLOOKUP(AllDataCorrected[[#This Row],[Site Name]],Tables!$B$12:$B$78, Tables!C$12:C$78)</f>
        <v>52.113052370370362</v>
      </c>
      <c r="M598">
        <f>_xlfn.XLOOKUP(AllDataCorrected[[#This Row],[Site Name]],Tables!$B$12:$B$78, Tables!D$12:D$78)</f>
        <v>-1.6333685185185185</v>
      </c>
      <c r="N598" t="s">
        <v>66</v>
      </c>
      <c r="O598">
        <v>460</v>
      </c>
      <c r="P598">
        <v>13.1</v>
      </c>
      <c r="Q598">
        <v>2</v>
      </c>
      <c r="R598" t="str">
        <f>IF(AllDataCorrected[[#This Row],[Nitrate (PPM)]]&gt;2, "4. Very high (&gt;2ppm)", IF(AllDataCorrected[[#This Row],[Nitrate (PPM)]]&gt;1, "3. High (1-2ppm)", IF(AllDataCorrected[[#This Row],[Nitrate (PPM)]]&gt;0.5, "2. Some evidence (0.5-1ppm)", IF(AllDataCorrected[[#This Row],[Nitrate (PPM)]]&gt;=0, "1. No evidence (&lt;0.5ppm)"))))</f>
        <v>3. High (1-2ppm)</v>
      </c>
      <c r="S598">
        <v>0.19</v>
      </c>
      <c r="T5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8">
        <v>3.5</v>
      </c>
      <c r="V598" t="s">
        <v>840</v>
      </c>
    </row>
    <row r="599" spans="1:22" x14ac:dyDescent="0.25">
      <c r="A599" t="s">
        <v>885</v>
      </c>
      <c r="B599" s="2">
        <v>45379</v>
      </c>
      <c r="C599" t="str" cm="1">
        <f t="array" ref="C5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9">
        <f>YEAR(AllDataCorrected[[#This Row],[Date]])</f>
        <v>2024</v>
      </c>
      <c r="E599" s="1">
        <v>0.44722222222222224</v>
      </c>
      <c r="F59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9" t="str">
        <f>_xlfn.XLOOKUP(AllDataCorrected[[#This Row],[Location Name]], Locations[Location Name],Locations[Group As])</f>
        <v>Stour Willington</v>
      </c>
      <c r="H599" t="e" vm="2">
        <f>_xlfn.XLOOKUP(AllDataCorrected[[#This Row],[Site Name]],LocationsKey[Site Name],LocationsKey[District])</f>
        <v>#VALUE!</v>
      </c>
      <c r="I599" t="str">
        <f>_xlfn.XLOOKUP(AllDataCorrected[[#This Row],[Site Name]],LocationsKey[Site Name],LocationsKey[Town])</f>
        <v>Willington</v>
      </c>
      <c r="J599" t="str">
        <f>_xlfn.XLOOKUP(AllDataCorrected[[#This Row],[Site Name]],LocationsKey[Site Name], LocationsKey[Waterway])</f>
        <v>Stour</v>
      </c>
      <c r="K599" t="s">
        <v>517</v>
      </c>
      <c r="L599">
        <f>_xlfn.XLOOKUP(AllDataCorrected[[#This Row],[Site Name]],Tables!$B$12:$B$78, Tables!C$12:C$78)</f>
        <v>52.053154375000005</v>
      </c>
      <c r="M599">
        <f>_xlfn.XLOOKUP(AllDataCorrected[[#This Row],[Site Name]],Tables!$B$12:$B$78, Tables!D$12:D$78)</f>
        <v>-1.6191991562500001</v>
      </c>
      <c r="N599" t="s">
        <v>23</v>
      </c>
      <c r="O599">
        <v>353</v>
      </c>
      <c r="P599">
        <v>10.199999999999999</v>
      </c>
      <c r="Q599">
        <v>1.5</v>
      </c>
      <c r="R599" t="str">
        <f>IF(AllDataCorrected[[#This Row],[Nitrate (PPM)]]&gt;2, "4. Very high (&gt;2ppm)", IF(AllDataCorrected[[#This Row],[Nitrate (PPM)]]&gt;1, "3. High (1-2ppm)", IF(AllDataCorrected[[#This Row],[Nitrate (PPM)]]&gt;0.5, "2. Some evidence (0.5-1ppm)", IF(AllDataCorrected[[#This Row],[Nitrate (PPM)]]&gt;=0, "1. No evidence (&lt;0.5ppm)"))))</f>
        <v>3. High (1-2ppm)</v>
      </c>
      <c r="S599">
        <v>0.25</v>
      </c>
      <c r="T5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9">
        <v>0.5</v>
      </c>
    </row>
    <row r="600" spans="1:22" x14ac:dyDescent="0.25">
      <c r="A600" t="s">
        <v>886</v>
      </c>
      <c r="B600" s="2">
        <v>45379</v>
      </c>
      <c r="C600" t="str" cm="1">
        <f t="array" ref="C6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0">
        <f>YEAR(AllDataCorrected[[#This Row],[Date]])</f>
        <v>2024</v>
      </c>
      <c r="E600" s="1">
        <v>0.44791666666666669</v>
      </c>
      <c r="F60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0" t="str">
        <f>_xlfn.XLOOKUP(AllDataCorrected[[#This Row],[Location Name]], Locations[Location Name],Locations[Group As])</f>
        <v>Swilgate</v>
      </c>
      <c r="H600" t="e" vm="1">
        <f>_xlfn.XLOOKUP(AllDataCorrected[[#This Row],[Site Name]],LocationsKey[Site Name],LocationsKey[District])</f>
        <v>#VALUE!</v>
      </c>
      <c r="I600" t="e" vm="1">
        <f>_xlfn.XLOOKUP(AllDataCorrected[[#This Row],[Site Name]],LocationsKey[Site Name],LocationsKey[Town])</f>
        <v>#VALUE!</v>
      </c>
      <c r="J600" t="str">
        <f>_xlfn.XLOOKUP(AllDataCorrected[[#This Row],[Site Name]],LocationsKey[Site Name], LocationsKey[Waterway])</f>
        <v>Swilgate</v>
      </c>
      <c r="K600" t="s">
        <v>84</v>
      </c>
      <c r="L600">
        <f>_xlfn.XLOOKUP(AllDataCorrected[[#This Row],[Site Name]],Tables!$B$12:$B$78, Tables!C$12:C$78)</f>
        <v>51.9885442</v>
      </c>
      <c r="M600">
        <f>_xlfn.XLOOKUP(AllDataCorrected[[#This Row],[Site Name]],Tables!$B$12:$B$78, Tables!D$12:D$78)</f>
        <v>-2.1639010000000001</v>
      </c>
      <c r="N600" t="s">
        <v>23</v>
      </c>
      <c r="O600">
        <v>450</v>
      </c>
      <c r="P600">
        <v>8.8000000000000007</v>
      </c>
      <c r="Q600">
        <v>2</v>
      </c>
      <c r="R600" t="str">
        <f>IF(AllDataCorrected[[#This Row],[Nitrate (PPM)]]&gt;2, "4. Very high (&gt;2ppm)", IF(AllDataCorrected[[#This Row],[Nitrate (PPM)]]&gt;1, "3. High (1-2ppm)", IF(AllDataCorrected[[#This Row],[Nitrate (PPM)]]&gt;0.5, "2. Some evidence (0.5-1ppm)", IF(AllDataCorrected[[#This Row],[Nitrate (PPM)]]&gt;=0, "1. No evidence (&lt;0.5ppm)"))))</f>
        <v>3. High (1-2ppm)</v>
      </c>
      <c r="S600">
        <v>0.43</v>
      </c>
      <c r="T6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0">
        <v>1.5</v>
      </c>
    </row>
    <row r="601" spans="1:22" x14ac:dyDescent="0.25">
      <c r="A601" t="s">
        <v>887</v>
      </c>
      <c r="B601" s="2">
        <v>45381</v>
      </c>
      <c r="C601" t="str" cm="1">
        <f t="array" ref="C6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1">
        <f>YEAR(AllDataCorrected[[#This Row],[Date]])</f>
        <v>2024</v>
      </c>
      <c r="E601" s="1">
        <v>0.45416666666666666</v>
      </c>
      <c r="F6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1" t="str">
        <f>_xlfn.XLOOKUP(AllDataCorrected[[#This Row],[Location Name]], Locations[Location Name],Locations[Group As])</f>
        <v>Avon Smiths Meadow Wyre Piddle</v>
      </c>
      <c r="H601" t="e" vm="17">
        <f>_xlfn.XLOOKUP(AllDataCorrected[[#This Row],[Site Name]],LocationsKey[Site Name],LocationsKey[District])</f>
        <v>#VALUE!</v>
      </c>
      <c r="I601" t="e" vm="20">
        <f>_xlfn.XLOOKUP(AllDataCorrected[[#This Row],[Site Name]],LocationsKey[Site Name],LocationsKey[Town])</f>
        <v>#VALUE!</v>
      </c>
      <c r="J601" t="str">
        <f>_xlfn.XLOOKUP(AllDataCorrected[[#This Row],[Site Name]],LocationsKey[Site Name], LocationsKey[Waterway])</f>
        <v>Avon</v>
      </c>
      <c r="K601" t="s">
        <v>741</v>
      </c>
      <c r="L601">
        <f>_xlfn.XLOOKUP(AllDataCorrected[[#This Row],[Site Name]],Tables!$B$12:$B$78, Tables!C$12:C$78)</f>
        <v>52.123045961538452</v>
      </c>
      <c r="M601">
        <f>_xlfn.XLOOKUP(AllDataCorrected[[#This Row],[Site Name]],Tables!$B$12:$B$78, Tables!D$12:D$78)</f>
        <v>-2.0572161923076919</v>
      </c>
      <c r="N601" t="s">
        <v>23</v>
      </c>
      <c r="O601">
        <v>492</v>
      </c>
      <c r="P601">
        <v>10.5</v>
      </c>
      <c r="Q601">
        <v>5</v>
      </c>
      <c r="R601" t="str">
        <f>IF(AllDataCorrected[[#This Row],[Nitrate (PPM)]]&gt;2, "4. Very high (&gt;2ppm)", IF(AllDataCorrected[[#This Row],[Nitrate (PPM)]]&gt;1, "3. High (1-2ppm)", IF(AllDataCorrected[[#This Row],[Nitrate (PPM)]]&gt;0.5, "2. Some evidence (0.5-1ppm)", IF(AllDataCorrected[[#This Row],[Nitrate (PPM)]]&gt;=0, "1. No evidence (&lt;0.5ppm)"))))</f>
        <v>4. Very high (&gt;2ppm)</v>
      </c>
      <c r="S601">
        <v>0.47</v>
      </c>
      <c r="T6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1">
        <v>1.88</v>
      </c>
      <c r="V601" t="s">
        <v>888</v>
      </c>
    </row>
    <row r="602" spans="1:22" x14ac:dyDescent="0.25">
      <c r="A602" t="s">
        <v>889</v>
      </c>
      <c r="B602" s="2">
        <v>45381</v>
      </c>
      <c r="C602" t="str" cm="1">
        <f t="array" ref="C6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2">
        <f>YEAR(AllDataCorrected[[#This Row],[Date]])</f>
        <v>2024</v>
      </c>
      <c r="E602" s="1">
        <v>0.50347222222222221</v>
      </c>
      <c r="F6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2" t="str">
        <f>_xlfn.XLOOKUP(AllDataCorrected[[#This Row],[Location Name]], Locations[Location Name],Locations[Group As])</f>
        <v>Pershore Bridges</v>
      </c>
      <c r="H602" t="e" vm="17">
        <f>_xlfn.XLOOKUP(AllDataCorrected[[#This Row],[Site Name]],LocationsKey[Site Name],LocationsKey[District])</f>
        <v>#VALUE!</v>
      </c>
      <c r="I602" t="e" vm="18">
        <f>_xlfn.XLOOKUP(AllDataCorrected[[#This Row],[Site Name]],LocationsKey[Site Name],LocationsKey[Town])</f>
        <v>#VALUE!</v>
      </c>
      <c r="J602" t="str">
        <f>_xlfn.XLOOKUP(AllDataCorrected[[#This Row],[Site Name]],LocationsKey[Site Name], LocationsKey[Waterway])</f>
        <v>Avon</v>
      </c>
      <c r="K602" t="s">
        <v>865</v>
      </c>
      <c r="L602">
        <f>_xlfn.XLOOKUP(AllDataCorrected[[#This Row],[Site Name]],Tables!$B$12:$B$78, Tables!C$12:C$78)</f>
        <v>52.104196285714281</v>
      </c>
      <c r="M602">
        <f>_xlfn.XLOOKUP(AllDataCorrected[[#This Row],[Site Name]],Tables!$B$12:$B$78, Tables!D$12:D$78)</f>
        <v>-2.0709292857142856</v>
      </c>
      <c r="O602">
        <v>520</v>
      </c>
      <c r="P602">
        <v>13.4</v>
      </c>
      <c r="Q602">
        <v>10</v>
      </c>
      <c r="R602" t="str">
        <f>IF(AllDataCorrected[[#This Row],[Nitrate (PPM)]]&gt;2, "4. Very high (&gt;2ppm)", IF(AllDataCorrected[[#This Row],[Nitrate (PPM)]]&gt;1, "3. High (1-2ppm)", IF(AllDataCorrected[[#This Row],[Nitrate (PPM)]]&gt;0.5, "2. Some evidence (0.5-1ppm)", IF(AllDataCorrected[[#This Row],[Nitrate (PPM)]]&gt;=0, "1. No evidence (&lt;0.5ppm)"))))</f>
        <v>4. Very high (&gt;2ppm)</v>
      </c>
      <c r="S602">
        <v>0.53</v>
      </c>
      <c r="T6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2">
        <v>3.41</v>
      </c>
    </row>
    <row r="603" spans="1:22" x14ac:dyDescent="0.25">
      <c r="A603" t="s">
        <v>890</v>
      </c>
      <c r="B603" s="2">
        <v>45381</v>
      </c>
      <c r="C603" t="str" cm="1">
        <f t="array" ref="C6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3">
        <f>YEAR(AllDataCorrected[[#This Row],[Date]])</f>
        <v>2024</v>
      </c>
      <c r="E603" s="1">
        <v>0.50486111111111109</v>
      </c>
      <c r="F6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3" t="str">
        <f>_xlfn.XLOOKUP(AllDataCorrected[[#This Row],[Location Name]], Locations[Location Name],Locations[Group As])</f>
        <v>Piddle Brook Wyre Piddle Bridge</v>
      </c>
      <c r="H603" t="e" vm="17">
        <f>_xlfn.XLOOKUP(AllDataCorrected[[#This Row],[Site Name]],LocationsKey[Site Name],LocationsKey[District])</f>
        <v>#VALUE!</v>
      </c>
      <c r="I603" t="e" vm="20">
        <f>_xlfn.XLOOKUP(AllDataCorrected[[#This Row],[Site Name]],LocationsKey[Site Name],LocationsKey[Town])</f>
        <v>#VALUE!</v>
      </c>
      <c r="J603" t="str">
        <f>_xlfn.XLOOKUP(AllDataCorrected[[#This Row],[Site Name]],LocationsKey[Site Name], LocationsKey[Waterway])</f>
        <v>Piddle Brook</v>
      </c>
      <c r="K603" t="s">
        <v>744</v>
      </c>
      <c r="L603">
        <f>_xlfn.XLOOKUP(AllDataCorrected[[#This Row],[Site Name]],Tables!$B$12:$B$78, Tables!C$12:C$78)</f>
        <v>52.126401720000004</v>
      </c>
      <c r="M603">
        <f>_xlfn.XLOOKUP(AllDataCorrected[[#This Row],[Site Name]],Tables!$B$12:$B$78, Tables!D$12:D$78)</f>
        <v>-2.0565162000000003</v>
      </c>
      <c r="N603" t="s">
        <v>23</v>
      </c>
      <c r="O603">
        <v>650</v>
      </c>
      <c r="P603">
        <v>10.8</v>
      </c>
      <c r="Q603">
        <v>4</v>
      </c>
      <c r="R603" t="str">
        <f>IF(AllDataCorrected[[#This Row],[Nitrate (PPM)]]&gt;2, "4. Very high (&gt;2ppm)", IF(AllDataCorrected[[#This Row],[Nitrate (PPM)]]&gt;1, "3. High (1-2ppm)", IF(AllDataCorrected[[#This Row],[Nitrate (PPM)]]&gt;0.5, "2. Some evidence (0.5-1ppm)", IF(AllDataCorrected[[#This Row],[Nitrate (PPM)]]&gt;=0, "1. No evidence (&lt;0.5ppm)"))))</f>
        <v>4. Very high (&gt;2ppm)</v>
      </c>
      <c r="S603">
        <v>0.37</v>
      </c>
      <c r="T6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3">
        <v>0.72</v>
      </c>
      <c r="V603" t="s">
        <v>891</v>
      </c>
    </row>
    <row r="604" spans="1:22" x14ac:dyDescent="0.25">
      <c r="A604" t="s">
        <v>892</v>
      </c>
      <c r="B604" s="2">
        <v>45381</v>
      </c>
      <c r="C604" t="str" cm="1">
        <f t="array" ref="C6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4">
        <f>YEAR(AllDataCorrected[[#This Row],[Date]])</f>
        <v>2024</v>
      </c>
      <c r="E604" s="1">
        <v>0.53611111111111109</v>
      </c>
      <c r="F6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4" t="str">
        <f>_xlfn.XLOOKUP(AllDataCorrected[[#This Row],[Location Name]], Locations[Location Name],Locations[Group As])</f>
        <v>Preston-on-Stour River Bridge</v>
      </c>
      <c r="H604" t="e" vm="2">
        <f>_xlfn.XLOOKUP(AllDataCorrected[[#This Row],[Site Name]],LocationsKey[Site Name],LocationsKey[District])</f>
        <v>#VALUE!</v>
      </c>
      <c r="I604" t="e" vm="9">
        <f>_xlfn.XLOOKUP(AllDataCorrected[[#This Row],[Site Name]],LocationsKey[Site Name],LocationsKey[Town])</f>
        <v>#VALUE!</v>
      </c>
      <c r="J604" t="str">
        <f>_xlfn.XLOOKUP(AllDataCorrected[[#This Row],[Site Name]],LocationsKey[Site Name], LocationsKey[Waterway])</f>
        <v>Stour</v>
      </c>
      <c r="K604" t="s">
        <v>163</v>
      </c>
      <c r="L604">
        <f>_xlfn.XLOOKUP(AllDataCorrected[[#This Row],[Site Name]],Tables!$B$12:$B$78, Tables!C$12:C$78)</f>
        <v>52.146529500000007</v>
      </c>
      <c r="M604">
        <f>_xlfn.XLOOKUP(AllDataCorrected[[#This Row],[Site Name]],Tables!$B$12:$B$78, Tables!D$12:D$78)</f>
        <v>-1.6996899999999999</v>
      </c>
      <c r="N604" t="s">
        <v>29</v>
      </c>
      <c r="O604">
        <v>541</v>
      </c>
      <c r="P604">
        <v>10.8</v>
      </c>
      <c r="Q604">
        <v>6</v>
      </c>
      <c r="R604" t="str">
        <f>IF(AllDataCorrected[[#This Row],[Nitrate (PPM)]]&gt;2, "4. Very high (&gt;2ppm)", IF(AllDataCorrected[[#This Row],[Nitrate (PPM)]]&gt;1, "3. High (1-2ppm)", IF(AllDataCorrected[[#This Row],[Nitrate (PPM)]]&gt;0.5, "2. Some evidence (0.5-1ppm)", IF(AllDataCorrected[[#This Row],[Nitrate (PPM)]]&gt;=0, "1. No evidence (&lt;0.5ppm)"))))</f>
        <v>4. Very high (&gt;2ppm)</v>
      </c>
      <c r="S604">
        <v>0.21</v>
      </c>
      <c r="T6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4">
        <v>2</v>
      </c>
    </row>
    <row r="605" spans="1:22" x14ac:dyDescent="0.25">
      <c r="A605" t="s">
        <v>893</v>
      </c>
      <c r="B605" s="2">
        <v>45381</v>
      </c>
      <c r="C605" t="str" cm="1">
        <f t="array" ref="C6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5">
        <f>YEAR(AllDataCorrected[[#This Row],[Date]])</f>
        <v>2024</v>
      </c>
      <c r="E605" s="1">
        <v>0.65277777777777779</v>
      </c>
      <c r="F6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5" t="str">
        <f>_xlfn.XLOOKUP(AllDataCorrected[[#This Row],[Location Name]], Locations[Location Name],Locations[Group As])</f>
        <v>Stour Ascott Village</v>
      </c>
      <c r="H605" t="e" vm="2">
        <f>_xlfn.XLOOKUP(AllDataCorrected[[#This Row],[Site Name]],LocationsKey[Site Name],LocationsKey[District])</f>
        <v>#VALUE!</v>
      </c>
      <c r="I605" t="e" vm="22">
        <f>_xlfn.XLOOKUP(AllDataCorrected[[#This Row],[Site Name]],LocationsKey[Site Name],LocationsKey[Town])</f>
        <v>#VALUE!</v>
      </c>
      <c r="J605" t="str">
        <f>_xlfn.XLOOKUP(AllDataCorrected[[#This Row],[Site Name]],LocationsKey[Site Name], LocationsKey[Waterway])</f>
        <v>Stour</v>
      </c>
      <c r="K605" t="s">
        <v>855</v>
      </c>
      <c r="L605">
        <f>_xlfn.XLOOKUP(AllDataCorrected[[#This Row],[Site Name]],Tables!$B$12:$B$78, Tables!C$12:C$78)</f>
        <v>52.013255999999998</v>
      </c>
      <c r="M605">
        <f>_xlfn.XLOOKUP(AllDataCorrected[[#This Row],[Site Name]],Tables!$B$12:$B$78, Tables!D$12:D$78)</f>
        <v>-1.5387710000000001</v>
      </c>
      <c r="N605" t="s">
        <v>66</v>
      </c>
      <c r="O605">
        <v>50.06</v>
      </c>
      <c r="P605">
        <v>13.7</v>
      </c>
      <c r="Q605">
        <v>2</v>
      </c>
      <c r="R605" t="str">
        <f>IF(AllDataCorrected[[#This Row],[Nitrate (PPM)]]&gt;2, "4. Very high (&gt;2ppm)", IF(AllDataCorrected[[#This Row],[Nitrate (PPM)]]&gt;1, "3. High (1-2ppm)", IF(AllDataCorrected[[#This Row],[Nitrate (PPM)]]&gt;0.5, "2. Some evidence (0.5-1ppm)", IF(AllDataCorrected[[#This Row],[Nitrate (PPM)]]&gt;=0, "1. No evidence (&lt;0.5ppm)"))))</f>
        <v>3. High (1-2ppm)</v>
      </c>
      <c r="S605">
        <v>0.73</v>
      </c>
      <c r="T6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5">
        <v>17</v>
      </c>
    </row>
    <row r="606" spans="1:22" x14ac:dyDescent="0.25">
      <c r="A606" t="s">
        <v>894</v>
      </c>
      <c r="B606" s="2">
        <v>45381</v>
      </c>
      <c r="C606" t="str" cm="1">
        <f t="array" ref="C6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6">
        <f>YEAR(AllDataCorrected[[#This Row],[Date]])</f>
        <v>2024</v>
      </c>
      <c r="E606" s="1">
        <v>0.67708333333333337</v>
      </c>
      <c r="F6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6" t="str">
        <f>_xlfn.XLOOKUP(AllDataCorrected[[#This Row],[Location Name]], Locations[Location Name],Locations[Group As])</f>
        <v>Stour Whichford</v>
      </c>
      <c r="H606" t="e" vm="2">
        <f>_xlfn.XLOOKUP(AllDataCorrected[[#This Row],[Site Name]],LocationsKey[Site Name],LocationsKey[District])</f>
        <v>#VALUE!</v>
      </c>
      <c r="I606" t="e" vm="21">
        <f>_xlfn.XLOOKUP(AllDataCorrected[[#This Row],[Site Name]],LocationsKey[Site Name],LocationsKey[Town])</f>
        <v>#VALUE!</v>
      </c>
      <c r="J606" t="str">
        <f>_xlfn.XLOOKUP(AllDataCorrected[[#This Row],[Site Name]],LocationsKey[Site Name], LocationsKey[Waterway])</f>
        <v>Stour</v>
      </c>
      <c r="K606" t="s">
        <v>895</v>
      </c>
      <c r="L606">
        <f>_xlfn.XLOOKUP(AllDataCorrected[[#This Row],[Site Name]],Tables!$B$12:$B$78, Tables!C$12:C$78)</f>
        <v>52.017437000000001</v>
      </c>
      <c r="M606">
        <f>_xlfn.XLOOKUP(AllDataCorrected[[#This Row],[Site Name]],Tables!$B$12:$B$78, Tables!D$12:D$78)</f>
        <v>-1.544745</v>
      </c>
      <c r="N606" t="s">
        <v>29</v>
      </c>
      <c r="O606">
        <v>53.7</v>
      </c>
      <c r="P606">
        <v>12.5</v>
      </c>
      <c r="Q606">
        <v>2</v>
      </c>
      <c r="R606" t="str">
        <f>IF(AllDataCorrected[[#This Row],[Nitrate (PPM)]]&gt;2, "4. Very high (&gt;2ppm)", IF(AllDataCorrected[[#This Row],[Nitrate (PPM)]]&gt;1, "3. High (1-2ppm)", IF(AllDataCorrected[[#This Row],[Nitrate (PPM)]]&gt;0.5, "2. Some evidence (0.5-1ppm)", IF(AllDataCorrected[[#This Row],[Nitrate (PPM)]]&gt;=0, "1. No evidence (&lt;0.5ppm)"))))</f>
        <v>3. High (1-2ppm)</v>
      </c>
      <c r="S606">
        <v>0.31</v>
      </c>
      <c r="T6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6">
        <v>29</v>
      </c>
    </row>
    <row r="607" spans="1:22" x14ac:dyDescent="0.25">
      <c r="A607" t="s">
        <v>896</v>
      </c>
      <c r="B607" s="2">
        <v>45382</v>
      </c>
      <c r="C607" t="str" cm="1">
        <f t="array" ref="C6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7">
        <f>YEAR(AllDataCorrected[[#This Row],[Date]])</f>
        <v>2024</v>
      </c>
      <c r="E607" s="1">
        <v>5.2777777777777778E-2</v>
      </c>
      <c r="F60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07" t="str">
        <f>_xlfn.XLOOKUP(AllDataCorrected[[#This Row],[Location Name]], Locations[Location Name],Locations[Group As])</f>
        <v>The Ford, Langley</v>
      </c>
      <c r="H607" t="e" vm="2">
        <f>_xlfn.XLOOKUP(AllDataCorrected[[#This Row],[Site Name]],LocationsKey[Site Name],LocationsKey[District])</f>
        <v>#VALUE!</v>
      </c>
      <c r="I607" t="str">
        <f>_xlfn.XLOOKUP(AllDataCorrected[[#This Row],[Site Name]],LocationsKey[Site Name],LocationsKey[Town])</f>
        <v>Langley</v>
      </c>
      <c r="J607" t="str">
        <f>_xlfn.XLOOKUP(AllDataCorrected[[#This Row],[Site Name]],LocationsKey[Site Name], LocationsKey[Waterway])</f>
        <v>Langley Ford</v>
      </c>
      <c r="K607" t="s">
        <v>557</v>
      </c>
      <c r="L607">
        <f>_xlfn.XLOOKUP(AllDataCorrected[[#This Row],[Site Name]],Tables!$B$12:$B$78, Tables!C$12:C$78)</f>
        <v>52.261724821428579</v>
      </c>
      <c r="M607">
        <f>_xlfn.XLOOKUP(AllDataCorrected[[#This Row],[Site Name]],Tables!$B$12:$B$78, Tables!D$12:D$78)</f>
        <v>-1.719408857142857</v>
      </c>
      <c r="N607" t="s">
        <v>29</v>
      </c>
      <c r="O607">
        <v>522</v>
      </c>
      <c r="P607">
        <v>8.8000000000000007</v>
      </c>
      <c r="Q607">
        <v>2</v>
      </c>
      <c r="R607" t="str">
        <f>IF(AllDataCorrected[[#This Row],[Nitrate (PPM)]]&gt;2, "4. Very high (&gt;2ppm)", IF(AllDataCorrected[[#This Row],[Nitrate (PPM)]]&gt;1, "3. High (1-2ppm)", IF(AllDataCorrected[[#This Row],[Nitrate (PPM)]]&gt;0.5, "2. Some evidence (0.5-1ppm)", IF(AllDataCorrected[[#This Row],[Nitrate (PPM)]]&gt;=0, "1. No evidence (&lt;0.5ppm)"))))</f>
        <v>3. High (1-2ppm)</v>
      </c>
      <c r="S607">
        <v>0.6</v>
      </c>
      <c r="T6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7">
        <v>0.5</v>
      </c>
      <c r="V607" t="s">
        <v>897</v>
      </c>
    </row>
    <row r="608" spans="1:22" x14ac:dyDescent="0.25">
      <c r="A608" t="s">
        <v>906</v>
      </c>
      <c r="B608" s="2">
        <v>45382</v>
      </c>
      <c r="C608" t="str" cm="1">
        <f t="array" ref="C6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8">
        <f>YEAR(AllDataCorrected[[#This Row],[Date]])</f>
        <v>2024</v>
      </c>
      <c r="E608" s="1">
        <v>0.4375</v>
      </c>
      <c r="F6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8" t="str">
        <f>_xlfn.XLOOKUP(AllDataCorrected[[#This Row],[Location Name]], Locations[Location Name],Locations[Group As])</f>
        <v>Lucy's Mill Bridge</v>
      </c>
      <c r="H608" t="e" vm="2">
        <f>_xlfn.XLOOKUP(AllDataCorrected[[#This Row],[Site Name]],LocationsKey[Site Name],LocationsKey[District])</f>
        <v>#VALUE!</v>
      </c>
      <c r="I608" t="e" vm="7">
        <f>_xlfn.XLOOKUP(AllDataCorrected[[#This Row],[Site Name]],LocationsKey[Site Name],LocationsKey[Town])</f>
        <v>#VALUE!</v>
      </c>
      <c r="J608" t="str">
        <f>_xlfn.XLOOKUP(AllDataCorrected[[#This Row],[Site Name]],LocationsKey[Site Name], LocationsKey[Waterway])</f>
        <v>Avon</v>
      </c>
      <c r="K608" t="s">
        <v>216</v>
      </c>
      <c r="L608">
        <f>_xlfn.XLOOKUP(AllDataCorrected[[#This Row],[Site Name]],Tables!$B$12:$B$78, Tables!C$12:C$78)</f>
        <v>52.183699000000011</v>
      </c>
      <c r="M608">
        <f>_xlfn.XLOOKUP(AllDataCorrected[[#This Row],[Site Name]],Tables!$B$12:$B$78, Tables!D$12:D$78)</f>
        <v>-1.7078160000000004</v>
      </c>
      <c r="N608" t="s">
        <v>29</v>
      </c>
      <c r="P608">
        <v>11</v>
      </c>
      <c r="Q608">
        <v>0</v>
      </c>
      <c r="R60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08">
        <v>0.28000000000000003</v>
      </c>
      <c r="T6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8">
        <v>0.7</v>
      </c>
    </row>
    <row r="609" spans="1:22" x14ac:dyDescent="0.25">
      <c r="A609" t="s">
        <v>898</v>
      </c>
      <c r="B609" s="2">
        <v>45382</v>
      </c>
      <c r="C609" t="str" cm="1">
        <f t="array" ref="C6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9">
        <f>YEAR(AllDataCorrected[[#This Row],[Date]])</f>
        <v>2024</v>
      </c>
      <c r="E609" s="1">
        <v>0.44444444444444442</v>
      </c>
      <c r="F6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9" t="str">
        <f>_xlfn.XLOOKUP(AllDataCorrected[[#This Row],[Location Name]], Locations[Location Name],Locations[Group As])</f>
        <v>Pitch 16</v>
      </c>
      <c r="H609" t="e" vm="2">
        <f>_xlfn.XLOOKUP(AllDataCorrected[[#This Row],[Site Name]],LocationsKey[Site Name],LocationsKey[District])</f>
        <v>#VALUE!</v>
      </c>
      <c r="I609" t="e" vm="7">
        <f>_xlfn.XLOOKUP(AllDataCorrected[[#This Row],[Site Name]],LocationsKey[Site Name],LocationsKey[Town])</f>
        <v>#VALUE!</v>
      </c>
      <c r="J609" t="str">
        <f>_xlfn.XLOOKUP(AllDataCorrected[[#This Row],[Site Name]],LocationsKey[Site Name], LocationsKey[Waterway])</f>
        <v>Avon</v>
      </c>
      <c r="K609" t="s">
        <v>69</v>
      </c>
      <c r="L609">
        <f>_xlfn.XLOOKUP(AllDataCorrected[[#This Row],[Site Name]],Tables!$B$12:$B$78, Tables!C$12:C$78)</f>
        <v>52.17355294117646</v>
      </c>
      <c r="M609">
        <f>_xlfn.XLOOKUP(AllDataCorrected[[#This Row],[Site Name]],Tables!$B$12:$B$78, Tables!D$12:D$78)</f>
        <v>-1.7433199411764708</v>
      </c>
      <c r="N609" t="s">
        <v>29</v>
      </c>
      <c r="O609">
        <v>586</v>
      </c>
      <c r="P609">
        <v>11.1</v>
      </c>
      <c r="Q609">
        <v>3</v>
      </c>
      <c r="R609" t="str">
        <f>IF(AllDataCorrected[[#This Row],[Nitrate (PPM)]]&gt;2, "4. Very high (&gt;2ppm)", IF(AllDataCorrected[[#This Row],[Nitrate (PPM)]]&gt;1, "3. High (1-2ppm)", IF(AllDataCorrected[[#This Row],[Nitrate (PPM)]]&gt;0.5, "2. Some evidence (0.5-1ppm)", IF(AllDataCorrected[[#This Row],[Nitrate (PPM)]]&gt;=0, "1. No evidence (&lt;0.5ppm)"))))</f>
        <v>4. Very high (&gt;2ppm)</v>
      </c>
      <c r="S609">
        <v>0.46</v>
      </c>
      <c r="T6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9">
        <v>0.84</v>
      </c>
      <c r="V609" t="s">
        <v>899</v>
      </c>
    </row>
    <row r="610" spans="1:22" x14ac:dyDescent="0.25">
      <c r="A610" t="s">
        <v>900</v>
      </c>
      <c r="B610" s="2">
        <v>45382</v>
      </c>
      <c r="C610" t="str" cm="1">
        <f t="array" ref="C6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0">
        <f>YEAR(AllDataCorrected[[#This Row],[Date]])</f>
        <v>2024</v>
      </c>
      <c r="E610" s="1">
        <v>0.45833333333333331</v>
      </c>
      <c r="F6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10" t="str">
        <f>_xlfn.XLOOKUP(AllDataCorrected[[#This Row],[Location Name]], Locations[Location Name],Locations[Group As])</f>
        <v>Avonbank Drive</v>
      </c>
      <c r="H610" t="e" vm="2">
        <f>_xlfn.XLOOKUP(AllDataCorrected[[#This Row],[Site Name]],LocationsKey[Site Name],LocationsKey[District])</f>
        <v>#VALUE!</v>
      </c>
      <c r="I610" t="e" vm="7">
        <f>_xlfn.XLOOKUP(AllDataCorrected[[#This Row],[Site Name]],LocationsKey[Site Name],LocationsKey[Town])</f>
        <v>#VALUE!</v>
      </c>
      <c r="J610" t="str">
        <f>_xlfn.XLOOKUP(AllDataCorrected[[#This Row],[Site Name]],LocationsKey[Site Name], LocationsKey[Waterway])</f>
        <v>Avon</v>
      </c>
      <c r="K610" t="s">
        <v>65</v>
      </c>
      <c r="L610">
        <f>_xlfn.XLOOKUP(AllDataCorrected[[#This Row],[Site Name]],Tables!$B$12:$B$78, Tables!C$12:C$78)</f>
        <v>52.177054657142854</v>
      </c>
      <c r="M610">
        <f>_xlfn.XLOOKUP(AllDataCorrected[[#This Row],[Site Name]],Tables!$B$12:$B$78, Tables!D$12:D$78)</f>
        <v>-1.7358669999999996</v>
      </c>
      <c r="N610" t="s">
        <v>66</v>
      </c>
      <c r="O610">
        <v>594</v>
      </c>
      <c r="P610">
        <v>10.1</v>
      </c>
      <c r="Q610">
        <v>3</v>
      </c>
      <c r="R610" t="str">
        <f>IF(AllDataCorrected[[#This Row],[Nitrate (PPM)]]&gt;2, "4. Very high (&gt;2ppm)", IF(AllDataCorrected[[#This Row],[Nitrate (PPM)]]&gt;1, "3. High (1-2ppm)", IF(AllDataCorrected[[#This Row],[Nitrate (PPM)]]&gt;0.5, "2. Some evidence (0.5-1ppm)", IF(AllDataCorrected[[#This Row],[Nitrate (PPM)]]&gt;=0, "1. No evidence (&lt;0.5ppm)"))))</f>
        <v>4. Very high (&gt;2ppm)</v>
      </c>
      <c r="S610">
        <v>0.31</v>
      </c>
      <c r="T6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0">
        <v>0.84</v>
      </c>
    </row>
    <row r="611" spans="1:22" x14ac:dyDescent="0.25">
      <c r="A611" t="s">
        <v>901</v>
      </c>
      <c r="B611" s="2">
        <v>45382</v>
      </c>
      <c r="C611" t="str" cm="1">
        <f t="array" ref="C6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1">
        <f>YEAR(AllDataCorrected[[#This Row],[Date]])</f>
        <v>2024</v>
      </c>
      <c r="E611" s="1">
        <v>0.52083333333333337</v>
      </c>
      <c r="F6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1" t="str">
        <f>_xlfn.XLOOKUP(AllDataCorrected[[#This Row],[Location Name]], Locations[Location Name],Locations[Group As])</f>
        <v>Carrant Bredon Rd</v>
      </c>
      <c r="H611" t="e" vm="1">
        <f>_xlfn.XLOOKUP(AllDataCorrected[[#This Row],[Site Name]],LocationsKey[Site Name],LocationsKey[District])</f>
        <v>#VALUE!</v>
      </c>
      <c r="I611" t="e" vm="1">
        <f>_xlfn.XLOOKUP(AllDataCorrected[[#This Row],[Site Name]],LocationsKey[Site Name],LocationsKey[Town])</f>
        <v>#VALUE!</v>
      </c>
      <c r="J611" t="str">
        <f>_xlfn.XLOOKUP(AllDataCorrected[[#This Row],[Site Name]],LocationsKey[Site Name], LocationsKey[Waterway])</f>
        <v>Carrant</v>
      </c>
      <c r="K611" t="s">
        <v>600</v>
      </c>
      <c r="L611">
        <f>_xlfn.XLOOKUP(AllDataCorrected[[#This Row],[Site Name]],Tables!$B$12:$B$78, Tables!C$12:C$78)</f>
        <v>51.996416567567572</v>
      </c>
      <c r="M611">
        <f>_xlfn.XLOOKUP(AllDataCorrected[[#This Row],[Site Name]],Tables!$B$12:$B$78, Tables!D$12:D$78)</f>
        <v>-2.1556626756756749</v>
      </c>
      <c r="N611" t="s">
        <v>23</v>
      </c>
      <c r="O611">
        <v>539</v>
      </c>
      <c r="P611">
        <v>10.6</v>
      </c>
      <c r="Q611">
        <v>4</v>
      </c>
      <c r="R611" t="str">
        <f>IF(AllDataCorrected[[#This Row],[Nitrate (PPM)]]&gt;2, "4. Very high (&gt;2ppm)", IF(AllDataCorrected[[#This Row],[Nitrate (PPM)]]&gt;1, "3. High (1-2ppm)", IF(AllDataCorrected[[#This Row],[Nitrate (PPM)]]&gt;0.5, "2. Some evidence (0.5-1ppm)", IF(AllDataCorrected[[#This Row],[Nitrate (PPM)]]&gt;=0, "1. No evidence (&lt;0.5ppm)"))))</f>
        <v>4. Very high (&gt;2ppm)</v>
      </c>
      <c r="S611">
        <v>0.45</v>
      </c>
      <c r="T6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1">
        <v>1.7</v>
      </c>
      <c r="V611" t="s">
        <v>902</v>
      </c>
    </row>
    <row r="612" spans="1:22" x14ac:dyDescent="0.25">
      <c r="A612" t="s">
        <v>903</v>
      </c>
      <c r="B612" s="2">
        <v>45382</v>
      </c>
      <c r="C612" t="str" cm="1">
        <f t="array" ref="C6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2">
        <f>YEAR(AllDataCorrected[[#This Row],[Date]])</f>
        <v>2024</v>
      </c>
      <c r="E612" s="1">
        <v>0.53125</v>
      </c>
      <c r="F6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2" t="str">
        <f>_xlfn.XLOOKUP(AllDataCorrected[[#This Row],[Location Name]], Locations[Location Name],Locations[Group As])</f>
        <v>Black Bear</v>
      </c>
      <c r="H612" t="e" vm="1">
        <f>_xlfn.XLOOKUP(AllDataCorrected[[#This Row],[Site Name]],LocationsKey[Site Name],LocationsKey[District])</f>
        <v>#VALUE!</v>
      </c>
      <c r="I612" t="e" vm="1">
        <f>_xlfn.XLOOKUP(AllDataCorrected[[#This Row],[Site Name]],LocationsKey[Site Name],LocationsKey[Town])</f>
        <v>#VALUE!</v>
      </c>
      <c r="J612" t="str">
        <f>_xlfn.XLOOKUP(AllDataCorrected[[#This Row],[Site Name]],LocationsKey[Site Name], LocationsKey[Waterway])</f>
        <v>Avon</v>
      </c>
      <c r="K612" t="s">
        <v>567</v>
      </c>
      <c r="L612">
        <f>_xlfn.XLOOKUP(AllDataCorrected[[#This Row],[Site Name]],Tables!$B$12:$B$78, Tables!C$12:C$78)</f>
        <v>51.997435214285723</v>
      </c>
      <c r="M612">
        <f>_xlfn.XLOOKUP(AllDataCorrected[[#This Row],[Site Name]],Tables!$B$12:$B$78, Tables!D$12:D$78)</f>
        <v>-2.1562056785714288</v>
      </c>
      <c r="N612" t="s">
        <v>23</v>
      </c>
      <c r="O612">
        <v>571</v>
      </c>
      <c r="P612">
        <v>10.4</v>
      </c>
      <c r="Q612">
        <v>4</v>
      </c>
      <c r="R612" t="str">
        <f>IF(AllDataCorrected[[#This Row],[Nitrate (PPM)]]&gt;2, "4. Very high (&gt;2ppm)", IF(AllDataCorrected[[#This Row],[Nitrate (PPM)]]&gt;1, "3. High (1-2ppm)", IF(AllDataCorrected[[#This Row],[Nitrate (PPM)]]&gt;0.5, "2. Some evidence (0.5-1ppm)", IF(AllDataCorrected[[#This Row],[Nitrate (PPM)]]&gt;=0, "1. No evidence (&lt;0.5ppm)"))))</f>
        <v>4. Very high (&gt;2ppm)</v>
      </c>
      <c r="S612">
        <v>0.36</v>
      </c>
      <c r="T6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2">
        <v>0</v>
      </c>
      <c r="V612" t="s">
        <v>904</v>
      </c>
    </row>
    <row r="613" spans="1:22" x14ac:dyDescent="0.25">
      <c r="A613" t="s">
        <v>905</v>
      </c>
      <c r="B613" s="2">
        <v>45382</v>
      </c>
      <c r="C613" t="str" cm="1">
        <f t="array" ref="C6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3">
        <f>YEAR(AllDataCorrected[[#This Row],[Date]])</f>
        <v>2024</v>
      </c>
      <c r="E613" s="1">
        <v>0.5625</v>
      </c>
      <c r="F6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3" t="str">
        <f>_xlfn.XLOOKUP(AllDataCorrected[[#This Row],[Location Name]], Locations[Location Name],Locations[Group As])</f>
        <v>Clifford Chambers Mill Bridge</v>
      </c>
      <c r="H613" t="e" vm="2">
        <f>_xlfn.XLOOKUP(AllDataCorrected[[#This Row],[Site Name]],LocationsKey[Site Name],LocationsKey[District])</f>
        <v>#VALUE!</v>
      </c>
      <c r="I613" t="e" vm="12">
        <f>_xlfn.XLOOKUP(AllDataCorrected[[#This Row],[Site Name]],LocationsKey[Site Name],LocationsKey[Town])</f>
        <v>#VALUE!</v>
      </c>
      <c r="J613" t="str">
        <f>_xlfn.XLOOKUP(AllDataCorrected[[#This Row],[Site Name]],LocationsKey[Site Name], LocationsKey[Waterway])</f>
        <v>Stour</v>
      </c>
      <c r="K613" t="s">
        <v>263</v>
      </c>
      <c r="L613">
        <f>_xlfn.XLOOKUP(AllDataCorrected[[#This Row],[Site Name]],Tables!$B$12:$B$78, Tables!C$12:C$78)</f>
        <v>52.166358517241363</v>
      </c>
      <c r="M613">
        <f>_xlfn.XLOOKUP(AllDataCorrected[[#This Row],[Site Name]],Tables!$B$12:$B$78, Tables!D$12:D$78)</f>
        <v>-1.7080419310344837</v>
      </c>
      <c r="N613" t="s">
        <v>66</v>
      </c>
      <c r="O613">
        <v>610</v>
      </c>
      <c r="P613">
        <v>10.1</v>
      </c>
      <c r="Q613">
        <v>10</v>
      </c>
      <c r="R613" t="str">
        <f>IF(AllDataCorrected[[#This Row],[Nitrate (PPM)]]&gt;2, "4. Very high (&gt;2ppm)", IF(AllDataCorrected[[#This Row],[Nitrate (PPM)]]&gt;1, "3. High (1-2ppm)", IF(AllDataCorrected[[#This Row],[Nitrate (PPM)]]&gt;0.5, "2. Some evidence (0.5-1ppm)", IF(AllDataCorrected[[#This Row],[Nitrate (PPM)]]&gt;=0, "1. No evidence (&lt;0.5ppm)"))))</f>
        <v>4. Very high (&gt;2ppm)</v>
      </c>
      <c r="S613">
        <v>0.28000000000000003</v>
      </c>
      <c r="T6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3">
        <v>1.25</v>
      </c>
    </row>
    <row r="614" spans="1:22" x14ac:dyDescent="0.25">
      <c r="A614" t="s">
        <v>1779</v>
      </c>
      <c r="B614" s="2">
        <v>45383</v>
      </c>
      <c r="C614" t="str" cm="1">
        <f t="array" ref="C6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4">
        <f>YEAR(AllDataCorrected[[#This Row],[Date]])</f>
        <v>2024</v>
      </c>
      <c r="F61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4" t="str">
        <f>_xlfn.XLOOKUP(AllDataCorrected[[#This Row],[Location Name]], Locations[Location Name],Locations[Group As])</f>
        <v>Site 1  :  Middle Street</v>
      </c>
      <c r="H614" t="e" vm="2">
        <f>_xlfn.XLOOKUP(AllDataCorrected[[#This Row],[Site Name]],LocationsKey[Site Name],LocationsKey[District])</f>
        <v>#VALUE!</v>
      </c>
      <c r="I614" t="e" vm="11">
        <f>_xlfn.XLOOKUP(AllDataCorrected[[#This Row],[Site Name]],LocationsKey[Site Name],LocationsKey[Town])</f>
        <v>#VALUE!</v>
      </c>
      <c r="J614" t="str">
        <f>_xlfn.XLOOKUP(AllDataCorrected[[#This Row],[Site Name]],LocationsKey[Site Name], LocationsKey[Waterway])</f>
        <v>Fosseway Brook</v>
      </c>
      <c r="K614" t="s">
        <v>1859</v>
      </c>
      <c r="L614">
        <f>_xlfn.XLOOKUP(AllDataCorrected[[#This Row],[Site Name]],Tables!$B$12:$B$78, Tables!C$12:C$78)</f>
        <v>52.090077380952394</v>
      </c>
      <c r="M614">
        <f>_xlfn.XLOOKUP(AllDataCorrected[[#This Row],[Site Name]],Tables!$B$12:$B$78, Tables!D$12:D$78)</f>
        <v>-1.6926051666666673</v>
      </c>
      <c r="N614" t="s">
        <v>66</v>
      </c>
      <c r="O614">
        <v>525</v>
      </c>
      <c r="P614">
        <v>14.2</v>
      </c>
      <c r="Q614">
        <v>3.5</v>
      </c>
      <c r="R614" t="str">
        <f>IF(AllDataCorrected[[#This Row],[Nitrate (PPM)]]&gt;2, "4. Very high (&gt;2ppm)", IF(AllDataCorrected[[#This Row],[Nitrate (PPM)]]&gt;1, "3. High (1-2ppm)", IF(AllDataCorrected[[#This Row],[Nitrate (PPM)]]&gt;0.5, "2. Some evidence (0.5-1ppm)", IF(AllDataCorrected[[#This Row],[Nitrate (PPM)]]&gt;=0, "1. No evidence (&lt;0.5ppm)"))))</f>
        <v>4. Very high (&gt;2ppm)</v>
      </c>
      <c r="S614">
        <v>0.24</v>
      </c>
      <c r="T6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4">
        <v>0</v>
      </c>
      <c r="V614" t="s">
        <v>1909</v>
      </c>
    </row>
    <row r="615" spans="1:22" x14ac:dyDescent="0.25">
      <c r="A615" t="s">
        <v>1414</v>
      </c>
      <c r="B615" s="2">
        <v>45383</v>
      </c>
      <c r="C615" t="str" cm="1">
        <f t="array" ref="C6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5">
        <f>YEAR(AllDataCorrected[[#This Row],[Date]])</f>
        <v>2024</v>
      </c>
      <c r="F61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5" t="str">
        <f>_xlfn.XLOOKUP(AllDataCorrected[[#This Row],[Location Name]], Locations[Location Name],Locations[Group As])</f>
        <v>Site 1  :  Middle Street</v>
      </c>
      <c r="H615" t="e" vm="2">
        <f>_xlfn.XLOOKUP(AllDataCorrected[[#This Row],[Site Name]],LocationsKey[Site Name],LocationsKey[District])</f>
        <v>#VALUE!</v>
      </c>
      <c r="I615" t="e" vm="11">
        <f>_xlfn.XLOOKUP(AllDataCorrected[[#This Row],[Site Name]],LocationsKey[Site Name],LocationsKey[Town])</f>
        <v>#VALUE!</v>
      </c>
      <c r="J615" t="str">
        <f>_xlfn.XLOOKUP(AllDataCorrected[[#This Row],[Site Name]],LocationsKey[Site Name], LocationsKey[Waterway])</f>
        <v>Fosseway Brook</v>
      </c>
      <c r="K615" t="s">
        <v>1373</v>
      </c>
      <c r="L615">
        <f>_xlfn.XLOOKUP(AllDataCorrected[[#This Row],[Site Name]],Tables!$B$12:$B$78, Tables!C$12:C$78)</f>
        <v>52.090077380952394</v>
      </c>
      <c r="M615">
        <f>_xlfn.XLOOKUP(AllDataCorrected[[#This Row],[Site Name]],Tables!$B$12:$B$78, Tables!D$12:D$78)</f>
        <v>-1.6926051666666673</v>
      </c>
      <c r="N615" t="s">
        <v>66</v>
      </c>
      <c r="O615">
        <v>525</v>
      </c>
      <c r="P615">
        <v>14.2</v>
      </c>
      <c r="Q615">
        <v>3.5</v>
      </c>
      <c r="R615" t="str">
        <f>IF(AllDataCorrected[[#This Row],[Nitrate (PPM)]]&gt;2, "4. Very high (&gt;2ppm)", IF(AllDataCorrected[[#This Row],[Nitrate (PPM)]]&gt;1, "3. High (1-2ppm)", IF(AllDataCorrected[[#This Row],[Nitrate (PPM)]]&gt;0.5, "2. Some evidence (0.5-1ppm)", IF(AllDataCorrected[[#This Row],[Nitrate (PPM)]]&gt;=0, "1. No evidence (&lt;0.5ppm)"))))</f>
        <v>4. Very high (&gt;2ppm)</v>
      </c>
      <c r="S615">
        <v>0.24</v>
      </c>
      <c r="T6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616" spans="1:22" x14ac:dyDescent="0.25">
      <c r="A616" t="s">
        <v>1781</v>
      </c>
      <c r="B616" s="2">
        <v>45383</v>
      </c>
      <c r="C616" t="str" cm="1">
        <f t="array" ref="C6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6">
        <f>YEAR(AllDataCorrected[[#This Row],[Date]])</f>
        <v>2024</v>
      </c>
      <c r="F61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6" t="str">
        <f>_xlfn.XLOOKUP(AllDataCorrected[[#This Row],[Location Name]], Locations[Location Name],Locations[Group As])</f>
        <v>Site 2  :  Cross Leys culvert</v>
      </c>
      <c r="H616" t="e" vm="2">
        <f>_xlfn.XLOOKUP(AllDataCorrected[[#This Row],[Site Name]],LocationsKey[Site Name],LocationsKey[District])</f>
        <v>#VALUE!</v>
      </c>
      <c r="I616" t="e" vm="11">
        <f>_xlfn.XLOOKUP(AllDataCorrected[[#This Row],[Site Name]],LocationsKey[Site Name],LocationsKey[Town])</f>
        <v>#VALUE!</v>
      </c>
      <c r="J616" t="str">
        <f>_xlfn.XLOOKUP(AllDataCorrected[[#This Row],[Site Name]],LocationsKey[Site Name], LocationsKey[Waterway])</f>
        <v>Fosseway Brook</v>
      </c>
      <c r="K616" t="s">
        <v>1860</v>
      </c>
      <c r="L616">
        <f>_xlfn.XLOOKUP(AllDataCorrected[[#This Row],[Site Name]],Tables!$B$12:$B$78, Tables!C$12:C$78)</f>
        <v>52.092990199999988</v>
      </c>
      <c r="M616">
        <f>_xlfn.XLOOKUP(AllDataCorrected[[#This Row],[Site Name]],Tables!$B$12:$B$78, Tables!D$12:D$78)</f>
        <v>-1.6862810999999998</v>
      </c>
      <c r="N616" t="s">
        <v>66</v>
      </c>
      <c r="O616">
        <v>580</v>
      </c>
      <c r="P616">
        <v>13.3</v>
      </c>
      <c r="Q616">
        <v>2</v>
      </c>
      <c r="R616" t="str">
        <f>IF(AllDataCorrected[[#This Row],[Nitrate (PPM)]]&gt;2, "4. Very high (&gt;2ppm)", IF(AllDataCorrected[[#This Row],[Nitrate (PPM)]]&gt;1, "3. High (1-2ppm)", IF(AllDataCorrected[[#This Row],[Nitrate (PPM)]]&gt;0.5, "2. Some evidence (0.5-1ppm)", IF(AllDataCorrected[[#This Row],[Nitrate (PPM)]]&gt;=0, "1. No evidence (&lt;0.5ppm)"))))</f>
        <v>3. High (1-2ppm)</v>
      </c>
      <c r="S616">
        <v>0.25</v>
      </c>
      <c r="T6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6">
        <v>0</v>
      </c>
      <c r="V616" t="s">
        <v>1917</v>
      </c>
    </row>
    <row r="617" spans="1:22" x14ac:dyDescent="0.25">
      <c r="A617" t="s">
        <v>1411</v>
      </c>
      <c r="B617" s="2">
        <v>45383</v>
      </c>
      <c r="C617" t="str" cm="1">
        <f t="array" ref="C6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7">
        <f>YEAR(AllDataCorrected[[#This Row],[Date]])</f>
        <v>2024</v>
      </c>
      <c r="F6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7" t="str">
        <f>_xlfn.XLOOKUP(AllDataCorrected[[#This Row],[Location Name]], Locations[Location Name],Locations[Group As])</f>
        <v>Site 2  :  Cross Leys culvert</v>
      </c>
      <c r="H617" t="e" vm="2">
        <f>_xlfn.XLOOKUP(AllDataCorrected[[#This Row],[Site Name]],LocationsKey[Site Name],LocationsKey[District])</f>
        <v>#VALUE!</v>
      </c>
      <c r="I617" t="e" vm="11">
        <f>_xlfn.XLOOKUP(AllDataCorrected[[#This Row],[Site Name]],LocationsKey[Site Name],LocationsKey[Town])</f>
        <v>#VALUE!</v>
      </c>
      <c r="J617" t="str">
        <f>_xlfn.XLOOKUP(AllDataCorrected[[#This Row],[Site Name]],LocationsKey[Site Name], LocationsKey[Waterway])</f>
        <v>Fosseway Brook</v>
      </c>
      <c r="K617" t="s">
        <v>1371</v>
      </c>
      <c r="L617">
        <f>_xlfn.XLOOKUP(AllDataCorrected[[#This Row],[Site Name]],Tables!$B$12:$B$78, Tables!C$12:C$78)</f>
        <v>52.092990199999988</v>
      </c>
      <c r="M617">
        <f>_xlfn.XLOOKUP(AllDataCorrected[[#This Row],[Site Name]],Tables!$B$12:$B$78, Tables!D$12:D$78)</f>
        <v>-1.6862810999999998</v>
      </c>
      <c r="N617" t="s">
        <v>66</v>
      </c>
      <c r="O617">
        <v>580</v>
      </c>
      <c r="P617">
        <v>13.3</v>
      </c>
      <c r="Q617">
        <v>2</v>
      </c>
      <c r="R617" t="str">
        <f>IF(AllDataCorrected[[#This Row],[Nitrate (PPM)]]&gt;2, "4. Very high (&gt;2ppm)", IF(AllDataCorrected[[#This Row],[Nitrate (PPM)]]&gt;1, "3. High (1-2ppm)", IF(AllDataCorrected[[#This Row],[Nitrate (PPM)]]&gt;0.5, "2. Some evidence (0.5-1ppm)", IF(AllDataCorrected[[#This Row],[Nitrate (PPM)]]&gt;=0, "1. No evidence (&lt;0.5ppm)"))))</f>
        <v>3. High (1-2ppm)</v>
      </c>
      <c r="S617">
        <v>0.25</v>
      </c>
      <c r="T6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17" t="s">
        <v>1412</v>
      </c>
    </row>
    <row r="618" spans="1:22" x14ac:dyDescent="0.25">
      <c r="A618" t="s">
        <v>1782</v>
      </c>
      <c r="B618" s="2">
        <v>45383</v>
      </c>
      <c r="C618" t="str" cm="1">
        <f t="array" ref="C6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8">
        <f>YEAR(AllDataCorrected[[#This Row],[Date]])</f>
        <v>2024</v>
      </c>
      <c r="F6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8" t="str">
        <f>_xlfn.XLOOKUP(AllDataCorrected[[#This Row],[Location Name]], Locations[Location Name],Locations[Group As])</f>
        <v>Site 3  :  Severn Trent Water processing plant outflow</v>
      </c>
      <c r="H618" t="e" vm="2">
        <f>_xlfn.XLOOKUP(AllDataCorrected[[#This Row],[Site Name]],LocationsKey[Site Name],LocationsKey[District])</f>
        <v>#VALUE!</v>
      </c>
      <c r="I618" t="e" vm="11">
        <f>_xlfn.XLOOKUP(AllDataCorrected[[#This Row],[Site Name]],LocationsKey[Site Name],LocationsKey[Town])</f>
        <v>#VALUE!</v>
      </c>
      <c r="J618" t="str">
        <f>_xlfn.XLOOKUP(AllDataCorrected[[#This Row],[Site Name]],LocationsKey[Site Name], LocationsKey[Waterway])</f>
        <v>Fosseway Brook</v>
      </c>
      <c r="K618" t="s">
        <v>1861</v>
      </c>
      <c r="L618">
        <f>_xlfn.XLOOKUP(AllDataCorrected[[#This Row],[Site Name]],Tables!$B$12:$B$78, Tables!C$12:C$78)</f>
        <v>52.094341024390218</v>
      </c>
      <c r="M618">
        <f>_xlfn.XLOOKUP(AllDataCorrected[[#This Row],[Site Name]],Tables!$B$12:$B$78, Tables!D$12:D$78)</f>
        <v>-1.6731015853658531</v>
      </c>
      <c r="N618" t="s">
        <v>29</v>
      </c>
      <c r="O618">
        <v>718</v>
      </c>
      <c r="P618">
        <v>13.9</v>
      </c>
      <c r="Q618">
        <v>7.5</v>
      </c>
      <c r="R618" t="str">
        <f>IF(AllDataCorrected[[#This Row],[Nitrate (PPM)]]&gt;2, "4. Very high (&gt;2ppm)", IF(AllDataCorrected[[#This Row],[Nitrate (PPM)]]&gt;1, "3. High (1-2ppm)", IF(AllDataCorrected[[#This Row],[Nitrate (PPM)]]&gt;0.5, "2. Some evidence (0.5-1ppm)", IF(AllDataCorrected[[#This Row],[Nitrate (PPM)]]&gt;=0, "1. No evidence (&lt;0.5ppm)"))))</f>
        <v>4. Very high (&gt;2ppm)</v>
      </c>
      <c r="S618">
        <v>0.87</v>
      </c>
      <c r="T6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18">
        <v>0</v>
      </c>
      <c r="V618" t="s">
        <v>1910</v>
      </c>
    </row>
    <row r="619" spans="1:22" x14ac:dyDescent="0.25">
      <c r="A619" t="s">
        <v>1410</v>
      </c>
      <c r="B619" s="2">
        <v>45383</v>
      </c>
      <c r="C619" t="str" cm="1">
        <f t="array" ref="C6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9">
        <f>YEAR(AllDataCorrected[[#This Row],[Date]])</f>
        <v>2024</v>
      </c>
      <c r="F6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9" t="str">
        <f>_xlfn.XLOOKUP(AllDataCorrected[[#This Row],[Location Name]], Locations[Location Name],Locations[Group As])</f>
        <v>Site 3  :  Severn Trent Water processing plant outflow</v>
      </c>
      <c r="H619" t="e" vm="2">
        <f>_xlfn.XLOOKUP(AllDataCorrected[[#This Row],[Site Name]],LocationsKey[Site Name],LocationsKey[District])</f>
        <v>#VALUE!</v>
      </c>
      <c r="I619" t="e" vm="11">
        <f>_xlfn.XLOOKUP(AllDataCorrected[[#This Row],[Site Name]],LocationsKey[Site Name],LocationsKey[Town])</f>
        <v>#VALUE!</v>
      </c>
      <c r="J619" t="str">
        <f>_xlfn.XLOOKUP(AllDataCorrected[[#This Row],[Site Name]],LocationsKey[Site Name], LocationsKey[Waterway])</f>
        <v>Fosseway Brook</v>
      </c>
      <c r="K619" t="s">
        <v>1368</v>
      </c>
      <c r="L619">
        <f>_xlfn.XLOOKUP(AllDataCorrected[[#This Row],[Site Name]],Tables!$B$12:$B$78, Tables!C$12:C$78)</f>
        <v>52.094341024390218</v>
      </c>
      <c r="M619">
        <f>_xlfn.XLOOKUP(AllDataCorrected[[#This Row],[Site Name]],Tables!$B$12:$B$78, Tables!D$12:D$78)</f>
        <v>-1.6731015853658531</v>
      </c>
      <c r="N619" t="s">
        <v>29</v>
      </c>
      <c r="O619">
        <v>718</v>
      </c>
      <c r="P619">
        <v>13.9</v>
      </c>
      <c r="Q619">
        <v>7.5</v>
      </c>
      <c r="R619" t="str">
        <f>IF(AllDataCorrected[[#This Row],[Nitrate (PPM)]]&gt;2, "4. Very high (&gt;2ppm)", IF(AllDataCorrected[[#This Row],[Nitrate (PPM)]]&gt;1, "3. High (1-2ppm)", IF(AllDataCorrected[[#This Row],[Nitrate (PPM)]]&gt;0.5, "2. Some evidence (0.5-1ppm)", IF(AllDataCorrected[[#This Row],[Nitrate (PPM)]]&gt;=0, "1. No evidence (&lt;0.5ppm)"))))</f>
        <v>4. Very high (&gt;2ppm)</v>
      </c>
      <c r="S619">
        <v>0.87</v>
      </c>
      <c r="T6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620" spans="1:22" x14ac:dyDescent="0.25">
      <c r="A620" t="s">
        <v>907</v>
      </c>
      <c r="B620" s="2">
        <v>45384</v>
      </c>
      <c r="C620" t="str" cm="1">
        <f t="array" ref="C6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0">
        <f>YEAR(AllDataCorrected[[#This Row],[Date]])</f>
        <v>2024</v>
      </c>
      <c r="E620" s="1">
        <v>0.40277777777777779</v>
      </c>
      <c r="F6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0" t="str">
        <f>_xlfn.XLOOKUP(AllDataCorrected[[#This Row],[Location Name]], Locations[Location Name],Locations[Group As])</f>
        <v>Stour Stretton-on-Fosse Village</v>
      </c>
      <c r="H620" t="e" vm="2">
        <f>_xlfn.XLOOKUP(AllDataCorrected[[#This Row],[Site Name]],LocationsKey[Site Name],LocationsKey[District])</f>
        <v>#VALUE!</v>
      </c>
      <c r="I620" t="e" vm="14">
        <f>_xlfn.XLOOKUP(AllDataCorrected[[#This Row],[Site Name]],LocationsKey[Site Name],LocationsKey[Town])</f>
        <v>#VALUE!</v>
      </c>
      <c r="J620" t="str">
        <f>_xlfn.XLOOKUP(AllDataCorrected[[#This Row],[Site Name]],LocationsKey[Site Name], LocationsKey[Waterway])</f>
        <v>Stour</v>
      </c>
      <c r="K620" t="s">
        <v>544</v>
      </c>
      <c r="L620">
        <f>_xlfn.XLOOKUP(AllDataCorrected[[#This Row],[Site Name]],Tables!$B$12:$B$78, Tables!C$12:C$78)</f>
        <v>52.046517558823524</v>
      </c>
      <c r="M620">
        <f>_xlfn.XLOOKUP(AllDataCorrected[[#This Row],[Site Name]],Tables!$B$12:$B$78, Tables!D$12:D$78)</f>
        <v>-1.6734143529411767</v>
      </c>
      <c r="N620" t="s">
        <v>66</v>
      </c>
      <c r="O620">
        <v>418</v>
      </c>
      <c r="P620">
        <v>9.6</v>
      </c>
      <c r="Q620">
        <v>0.5</v>
      </c>
      <c r="R62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0">
        <v>0.42</v>
      </c>
      <c r="T6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0">
        <v>0.3</v>
      </c>
    </row>
    <row r="621" spans="1:22" x14ac:dyDescent="0.25">
      <c r="A621" t="s">
        <v>908</v>
      </c>
      <c r="B621" s="2">
        <v>45384</v>
      </c>
      <c r="C621" t="str" cm="1">
        <f t="array" ref="C6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1">
        <f>YEAR(AllDataCorrected[[#This Row],[Date]])</f>
        <v>2024</v>
      </c>
      <c r="E621" s="1">
        <v>0.41597222222222224</v>
      </c>
      <c r="F62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1" t="str">
        <f>_xlfn.XLOOKUP(AllDataCorrected[[#This Row],[Location Name]], Locations[Location Name],Locations[Group As])</f>
        <v>Stour Stretton-on-Fosse Sewage Works</v>
      </c>
      <c r="H621" t="e" vm="2">
        <f>_xlfn.XLOOKUP(AllDataCorrected[[#This Row],[Site Name]],LocationsKey[Site Name],LocationsKey[District])</f>
        <v>#VALUE!</v>
      </c>
      <c r="I621" t="e" vm="14">
        <f>_xlfn.XLOOKUP(AllDataCorrected[[#This Row],[Site Name]],LocationsKey[Site Name],LocationsKey[Town])</f>
        <v>#VALUE!</v>
      </c>
      <c r="J621" t="str">
        <f>_xlfn.XLOOKUP(AllDataCorrected[[#This Row],[Site Name]],LocationsKey[Site Name], LocationsKey[Waterway])</f>
        <v>Stour</v>
      </c>
      <c r="K621" t="s">
        <v>335</v>
      </c>
      <c r="L621">
        <f>_xlfn.XLOOKUP(AllDataCorrected[[#This Row],[Site Name]],Tables!$B$12:$B$78, Tables!C$12:C$78)</f>
        <v>52.045653647058806</v>
      </c>
      <c r="M621">
        <f>_xlfn.XLOOKUP(AllDataCorrected[[#This Row],[Site Name]],Tables!$B$12:$B$78, Tables!D$12:D$78)</f>
        <v>-1.6719221470588235</v>
      </c>
      <c r="N621" t="s">
        <v>29</v>
      </c>
      <c r="O621">
        <v>452</v>
      </c>
      <c r="P621">
        <v>9.6999999999999993</v>
      </c>
      <c r="Q621">
        <v>0.5</v>
      </c>
      <c r="R62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1">
        <v>0.7</v>
      </c>
      <c r="T6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1">
        <v>0.35</v>
      </c>
    </row>
    <row r="622" spans="1:22" x14ac:dyDescent="0.25">
      <c r="A622" t="s">
        <v>909</v>
      </c>
      <c r="B622" s="2">
        <v>45385</v>
      </c>
      <c r="C622" t="str" cm="1">
        <f t="array" ref="C6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2">
        <f>YEAR(AllDataCorrected[[#This Row],[Date]])</f>
        <v>2024</v>
      </c>
      <c r="E622" s="1">
        <v>0.625</v>
      </c>
      <c r="F6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2" t="str">
        <f>_xlfn.XLOOKUP(AllDataCorrected[[#This Row],[Location Name]], Locations[Location Name],Locations[Group As])</f>
        <v>Sherbourne Brook 1</v>
      </c>
      <c r="H622" t="e" vm="2">
        <f>_xlfn.XLOOKUP(AllDataCorrected[[#This Row],[Site Name]],LocationsKey[Site Name],LocationsKey[District])</f>
        <v>#VALUE!</v>
      </c>
      <c r="I622" t="e" vm="16">
        <f>_xlfn.XLOOKUP(AllDataCorrected[[#This Row],[Site Name]],LocationsKey[Site Name],LocationsKey[Town])</f>
        <v>#VALUE!</v>
      </c>
      <c r="J622" t="str">
        <f>_xlfn.XLOOKUP(AllDataCorrected[[#This Row],[Site Name]],LocationsKey[Site Name], LocationsKey[Waterway])</f>
        <v>Sherbourne Brook</v>
      </c>
      <c r="K622" t="s">
        <v>570</v>
      </c>
      <c r="L622">
        <f>_xlfn.XLOOKUP(AllDataCorrected[[#This Row],[Site Name]],Tables!$B$12:$B$78, Tables!C$12:C$78)</f>
        <v>52.252500000000033</v>
      </c>
      <c r="M622">
        <f>_xlfn.XLOOKUP(AllDataCorrected[[#This Row],[Site Name]],Tables!$B$12:$B$78, Tables!D$12:D$78)</f>
        <v>-1.6685000000000012</v>
      </c>
      <c r="N622" t="s">
        <v>23</v>
      </c>
      <c r="O622">
        <v>685</v>
      </c>
      <c r="P622">
        <v>11.4</v>
      </c>
      <c r="Q622">
        <v>5</v>
      </c>
      <c r="R622" t="str">
        <f>IF(AllDataCorrected[[#This Row],[Nitrate (PPM)]]&gt;2, "4. Very high (&gt;2ppm)", IF(AllDataCorrected[[#This Row],[Nitrate (PPM)]]&gt;1, "3. High (1-2ppm)", IF(AllDataCorrected[[#This Row],[Nitrate (PPM)]]&gt;0.5, "2. Some evidence (0.5-1ppm)", IF(AllDataCorrected[[#This Row],[Nitrate (PPM)]]&gt;=0, "1. No evidence (&lt;0.5ppm)"))))</f>
        <v>4. Very high (&gt;2ppm)</v>
      </c>
      <c r="S622">
        <v>0.8</v>
      </c>
      <c r="T6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2">
        <v>0.5</v>
      </c>
      <c r="V622" t="s">
        <v>910</v>
      </c>
    </row>
    <row r="623" spans="1:22" x14ac:dyDescent="0.25">
      <c r="A623" t="s">
        <v>912</v>
      </c>
      <c r="B623" s="2">
        <v>45385</v>
      </c>
      <c r="C623" t="str" cm="1">
        <f t="array" ref="C6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3">
        <f>YEAR(AllDataCorrected[[#This Row],[Date]])</f>
        <v>2024</v>
      </c>
      <c r="E623" s="1">
        <v>0.63541666666666663</v>
      </c>
      <c r="F6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3" t="str">
        <f>_xlfn.XLOOKUP(AllDataCorrected[[#This Row],[Location Name]], Locations[Location Name],Locations[Group As])</f>
        <v>Stour Newbold Mill</v>
      </c>
      <c r="H623" t="e" vm="2">
        <f>_xlfn.XLOOKUP(AllDataCorrected[[#This Row],[Site Name]],LocationsKey[Site Name],LocationsKey[District])</f>
        <v>#VALUE!</v>
      </c>
      <c r="I623" t="e" vm="8">
        <f>_xlfn.XLOOKUP(AllDataCorrected[[#This Row],[Site Name]],LocationsKey[Site Name],LocationsKey[Town])</f>
        <v>#VALUE!</v>
      </c>
      <c r="J623" t="str">
        <f>_xlfn.XLOOKUP(AllDataCorrected[[#This Row],[Site Name]],LocationsKey[Site Name], LocationsKey[Waterway])</f>
        <v>Stour</v>
      </c>
      <c r="K623" t="s">
        <v>140</v>
      </c>
      <c r="L623">
        <f>_xlfn.XLOOKUP(AllDataCorrected[[#This Row],[Site Name]],Tables!$B$12:$B$78, Tables!C$12:C$78)</f>
        <v>52.113052370370362</v>
      </c>
      <c r="M623">
        <f>_xlfn.XLOOKUP(AllDataCorrected[[#This Row],[Site Name]],Tables!$B$12:$B$78, Tables!D$12:D$78)</f>
        <v>-1.6333685185185185</v>
      </c>
      <c r="N623" t="s">
        <v>29</v>
      </c>
      <c r="O623">
        <v>571</v>
      </c>
      <c r="P623">
        <v>14.1</v>
      </c>
      <c r="Q623">
        <v>2</v>
      </c>
      <c r="R623" t="str">
        <f>IF(AllDataCorrected[[#This Row],[Nitrate (PPM)]]&gt;2, "4. Very high (&gt;2ppm)", IF(AllDataCorrected[[#This Row],[Nitrate (PPM)]]&gt;1, "3. High (1-2ppm)", IF(AllDataCorrected[[#This Row],[Nitrate (PPM)]]&gt;0.5, "2. Some evidence (0.5-1ppm)", IF(AllDataCorrected[[#This Row],[Nitrate (PPM)]]&gt;=0, "1. No evidence (&lt;0.5ppm)"))))</f>
        <v>3. High (1-2ppm)</v>
      </c>
      <c r="S623">
        <v>0.23</v>
      </c>
      <c r="T6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3">
        <v>3</v>
      </c>
      <c r="V623" t="s">
        <v>840</v>
      </c>
    </row>
    <row r="624" spans="1:22" x14ac:dyDescent="0.25">
      <c r="A624" t="s">
        <v>911</v>
      </c>
      <c r="B624" s="2">
        <v>45385</v>
      </c>
      <c r="C624" t="str" cm="1">
        <f t="array" ref="C6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4">
        <f>YEAR(AllDataCorrected[[#This Row],[Date]])</f>
        <v>2024</v>
      </c>
      <c r="E624" s="1">
        <v>0.63888888888888884</v>
      </c>
      <c r="F6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4" t="str">
        <f>_xlfn.XLOOKUP(AllDataCorrected[[#This Row],[Location Name]], Locations[Location Name],Locations[Group As])</f>
        <v>Bell Brook 1</v>
      </c>
      <c r="H624" t="e" vm="2">
        <f>_xlfn.XLOOKUP(AllDataCorrected[[#This Row],[Site Name]],LocationsKey[Site Name],LocationsKey[District])</f>
        <v>#VALUE!</v>
      </c>
      <c r="I624" t="e" vm="15">
        <f>_xlfn.XLOOKUP(AllDataCorrected[[#This Row],[Site Name]],LocationsKey[Site Name],LocationsKey[Town])</f>
        <v>#VALUE!</v>
      </c>
      <c r="J624" t="str">
        <f>_xlfn.XLOOKUP(AllDataCorrected[[#This Row],[Site Name]],LocationsKey[Site Name], LocationsKey[Waterway])</f>
        <v>Bell Brook</v>
      </c>
      <c r="K624" t="s">
        <v>534</v>
      </c>
      <c r="L624">
        <f>_xlfn.XLOOKUP(AllDataCorrected[[#This Row],[Site Name]],Tables!$B$12:$B$78, Tables!C$12:C$78)</f>
        <v>52.24489999999998</v>
      </c>
      <c r="M624">
        <f>_xlfn.XLOOKUP(AllDataCorrected[[#This Row],[Site Name]],Tables!$B$12:$B$78, Tables!D$12:D$78)</f>
        <v>-1.6617000000000013</v>
      </c>
      <c r="N624" t="s">
        <v>23</v>
      </c>
      <c r="O624">
        <v>531</v>
      </c>
      <c r="P624">
        <v>10.7</v>
      </c>
      <c r="Q624">
        <v>3</v>
      </c>
      <c r="R624" t="str">
        <f>IF(AllDataCorrected[[#This Row],[Nitrate (PPM)]]&gt;2, "4. Very high (&gt;2ppm)", IF(AllDataCorrected[[#This Row],[Nitrate (PPM)]]&gt;1, "3. High (1-2ppm)", IF(AllDataCorrected[[#This Row],[Nitrate (PPM)]]&gt;0.5, "2. Some evidence (0.5-1ppm)", IF(AllDataCorrected[[#This Row],[Nitrate (PPM)]]&gt;=0, "1. No evidence (&lt;0.5ppm)"))))</f>
        <v>4. Very high (&gt;2ppm)</v>
      </c>
      <c r="S624">
        <v>0.28999999999999998</v>
      </c>
      <c r="T6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4">
        <v>0.3</v>
      </c>
      <c r="V624" t="s">
        <v>756</v>
      </c>
    </row>
    <row r="625" spans="1:22" x14ac:dyDescent="0.25">
      <c r="A625" t="s">
        <v>913</v>
      </c>
      <c r="B625" s="2">
        <v>45386</v>
      </c>
      <c r="C625" t="str" cm="1">
        <f t="array" ref="C6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5">
        <f>YEAR(AllDataCorrected[[#This Row],[Date]])</f>
        <v>2024</v>
      </c>
      <c r="E625" s="1">
        <v>0.41666666666666669</v>
      </c>
      <c r="F6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5" t="str">
        <f>_xlfn.XLOOKUP(AllDataCorrected[[#This Row],[Location Name]], Locations[Location Name],Locations[Group As])</f>
        <v>Swilgate</v>
      </c>
      <c r="H625" t="e" vm="1">
        <f>_xlfn.XLOOKUP(AllDataCorrected[[#This Row],[Site Name]],LocationsKey[Site Name],LocationsKey[District])</f>
        <v>#VALUE!</v>
      </c>
      <c r="I625" t="e" vm="1">
        <f>_xlfn.XLOOKUP(AllDataCorrected[[#This Row],[Site Name]],LocationsKey[Site Name],LocationsKey[Town])</f>
        <v>#VALUE!</v>
      </c>
      <c r="J625" t="str">
        <f>_xlfn.XLOOKUP(AllDataCorrected[[#This Row],[Site Name]],LocationsKey[Site Name], LocationsKey[Waterway])</f>
        <v>Swilgate</v>
      </c>
      <c r="K625" t="s">
        <v>84</v>
      </c>
      <c r="L625">
        <f>_xlfn.XLOOKUP(AllDataCorrected[[#This Row],[Site Name]],Tables!$B$12:$B$78, Tables!C$12:C$78)</f>
        <v>51.9885442</v>
      </c>
      <c r="M625">
        <f>_xlfn.XLOOKUP(AllDataCorrected[[#This Row],[Site Name]],Tables!$B$12:$B$78, Tables!D$12:D$78)</f>
        <v>-2.1639010000000001</v>
      </c>
      <c r="N625" t="s">
        <v>23</v>
      </c>
      <c r="O625">
        <v>416</v>
      </c>
      <c r="P625">
        <v>11.1</v>
      </c>
      <c r="Q625">
        <v>2</v>
      </c>
      <c r="R625" t="str">
        <f>IF(AllDataCorrected[[#This Row],[Nitrate (PPM)]]&gt;2, "4. Very high (&gt;2ppm)", IF(AllDataCorrected[[#This Row],[Nitrate (PPM)]]&gt;1, "3. High (1-2ppm)", IF(AllDataCorrected[[#This Row],[Nitrate (PPM)]]&gt;0.5, "2. Some evidence (0.5-1ppm)", IF(AllDataCorrected[[#This Row],[Nitrate (PPM)]]&gt;=0, "1. No evidence (&lt;0.5ppm)"))))</f>
        <v>3. High (1-2ppm)</v>
      </c>
      <c r="S625">
        <v>0.2</v>
      </c>
      <c r="T6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5">
        <v>1</v>
      </c>
    </row>
    <row r="626" spans="1:22" x14ac:dyDescent="0.25">
      <c r="A626" t="s">
        <v>914</v>
      </c>
      <c r="B626" s="2">
        <v>45386</v>
      </c>
      <c r="C626" t="str" cm="1">
        <f t="array" ref="C6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6">
        <f>YEAR(AllDataCorrected[[#This Row],[Date]])</f>
        <v>2024</v>
      </c>
      <c r="E626" s="1">
        <v>0.46875</v>
      </c>
      <c r="F6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6" t="str">
        <f>_xlfn.XLOOKUP(AllDataCorrected[[#This Row],[Location Name]], Locations[Location Name],Locations[Group As])</f>
        <v>Alveston Weir</v>
      </c>
      <c r="H626" t="e" vm="2">
        <f>_xlfn.XLOOKUP(AllDataCorrected[[#This Row],[Site Name]],LocationsKey[Site Name],LocationsKey[District])</f>
        <v>#VALUE!</v>
      </c>
      <c r="I626" t="e" vm="13">
        <f>_xlfn.XLOOKUP(AllDataCorrected[[#This Row],[Site Name]],LocationsKey[Site Name],LocationsKey[Town])</f>
        <v>#VALUE!</v>
      </c>
      <c r="J626" t="str">
        <f>_xlfn.XLOOKUP(AllDataCorrected[[#This Row],[Site Name]],LocationsKey[Site Name], LocationsKey[Waterway])</f>
        <v>Avon</v>
      </c>
      <c r="K626" t="s">
        <v>286</v>
      </c>
      <c r="L626">
        <f>_xlfn.XLOOKUP(AllDataCorrected[[#This Row],[Site Name]],Tables!$B$12:$B$78, Tables!C$12:C$78)</f>
        <v>52.212366690476216</v>
      </c>
      <c r="M626">
        <f>_xlfn.XLOOKUP(AllDataCorrected[[#This Row],[Site Name]],Tables!$B$12:$B$78, Tables!D$12:D$78)</f>
        <v>-1.6602567619047619</v>
      </c>
      <c r="N626" t="s">
        <v>29</v>
      </c>
      <c r="O626">
        <v>493</v>
      </c>
      <c r="P626">
        <v>14.4</v>
      </c>
      <c r="Q626">
        <v>5</v>
      </c>
      <c r="R626" t="str">
        <f>IF(AllDataCorrected[[#This Row],[Nitrate (PPM)]]&gt;2, "4. Very high (&gt;2ppm)", IF(AllDataCorrected[[#This Row],[Nitrate (PPM)]]&gt;1, "3. High (1-2ppm)", IF(AllDataCorrected[[#This Row],[Nitrate (PPM)]]&gt;0.5, "2. Some evidence (0.5-1ppm)", IF(AllDataCorrected[[#This Row],[Nitrate (PPM)]]&gt;=0, "1. No evidence (&lt;0.5ppm)"))))</f>
        <v>4. Very high (&gt;2ppm)</v>
      </c>
      <c r="S626">
        <v>0.35</v>
      </c>
      <c r="T6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6">
        <v>1.5</v>
      </c>
      <c r="V626" t="s">
        <v>915</v>
      </c>
    </row>
    <row r="627" spans="1:22" x14ac:dyDescent="0.25">
      <c r="A627" t="s">
        <v>916</v>
      </c>
      <c r="B627" s="2">
        <v>45386</v>
      </c>
      <c r="C627" t="str" cm="1">
        <f t="array" ref="C6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7">
        <f>YEAR(AllDataCorrected[[#This Row],[Date]])</f>
        <v>2024</v>
      </c>
      <c r="E627" s="1">
        <v>0.47222222222222221</v>
      </c>
      <c r="F6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7" t="str">
        <f>_xlfn.XLOOKUP(AllDataCorrected[[#This Row],[Location Name]], Locations[Location Name],Locations[Group As])</f>
        <v>Swiffen Bank</v>
      </c>
      <c r="H627" t="e" vm="2">
        <f>_xlfn.XLOOKUP(AllDataCorrected[[#This Row],[Site Name]],LocationsKey[Site Name],LocationsKey[District])</f>
        <v>#VALUE!</v>
      </c>
      <c r="I627" t="e" vm="13">
        <f>_xlfn.XLOOKUP(AllDataCorrected[[#This Row],[Site Name]],LocationsKey[Site Name],LocationsKey[Town])</f>
        <v>#VALUE!</v>
      </c>
      <c r="J627" t="str">
        <f>_xlfn.XLOOKUP(AllDataCorrected[[#This Row],[Site Name]],LocationsKey[Site Name], LocationsKey[Waterway])</f>
        <v>Avon</v>
      </c>
      <c r="K627" t="s">
        <v>284</v>
      </c>
      <c r="L627">
        <f>_xlfn.XLOOKUP(AllDataCorrected[[#This Row],[Site Name]],Tables!$B$12:$B$78, Tables!C$12:C$78)</f>
        <v>52.206446825000015</v>
      </c>
      <c r="M627">
        <f>_xlfn.XLOOKUP(AllDataCorrected[[#This Row],[Site Name]],Tables!$B$12:$B$78, Tables!D$12:D$78)</f>
        <v>-1.6541684000000003</v>
      </c>
      <c r="N627" t="s">
        <v>29</v>
      </c>
      <c r="O627">
        <v>519</v>
      </c>
      <c r="P627">
        <v>13.8</v>
      </c>
      <c r="Q627">
        <v>5</v>
      </c>
      <c r="R627" t="str">
        <f>IF(AllDataCorrected[[#This Row],[Nitrate (PPM)]]&gt;2, "4. Very high (&gt;2ppm)", IF(AllDataCorrected[[#This Row],[Nitrate (PPM)]]&gt;1, "3. High (1-2ppm)", IF(AllDataCorrected[[#This Row],[Nitrate (PPM)]]&gt;0.5, "2. Some evidence (0.5-1ppm)", IF(AllDataCorrected[[#This Row],[Nitrate (PPM)]]&gt;=0, "1. No evidence (&lt;0.5ppm)"))))</f>
        <v>4. Very high (&gt;2ppm)</v>
      </c>
      <c r="S627">
        <v>0.51</v>
      </c>
      <c r="T6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7">
        <v>2</v>
      </c>
      <c r="V627" t="s">
        <v>917</v>
      </c>
    </row>
    <row r="628" spans="1:22" x14ac:dyDescent="0.25">
      <c r="A628" t="s">
        <v>918</v>
      </c>
      <c r="B628" s="2">
        <v>45386</v>
      </c>
      <c r="C628" t="str" cm="1">
        <f t="array" ref="C6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8">
        <f>YEAR(AllDataCorrected[[#This Row],[Date]])</f>
        <v>2024</v>
      </c>
      <c r="E628" s="1">
        <v>0.47916666666666669</v>
      </c>
      <c r="F6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8" t="str">
        <f>_xlfn.XLOOKUP(AllDataCorrected[[#This Row],[Location Name]], Locations[Location Name],Locations[Group As])</f>
        <v>Stour Willington</v>
      </c>
      <c r="H628" t="e" vm="2">
        <f>_xlfn.XLOOKUP(AllDataCorrected[[#This Row],[Site Name]],LocationsKey[Site Name],LocationsKey[District])</f>
        <v>#VALUE!</v>
      </c>
      <c r="I628" t="str">
        <f>_xlfn.XLOOKUP(AllDataCorrected[[#This Row],[Site Name]],LocationsKey[Site Name],LocationsKey[Town])</f>
        <v>Willington</v>
      </c>
      <c r="J628" t="str">
        <f>_xlfn.XLOOKUP(AllDataCorrected[[#This Row],[Site Name]],LocationsKey[Site Name], LocationsKey[Waterway])</f>
        <v>Stour</v>
      </c>
      <c r="K628" t="s">
        <v>517</v>
      </c>
      <c r="L628">
        <f>_xlfn.XLOOKUP(AllDataCorrected[[#This Row],[Site Name]],Tables!$B$12:$B$78, Tables!C$12:C$78)</f>
        <v>52.053154375000005</v>
      </c>
      <c r="M628">
        <f>_xlfn.XLOOKUP(AllDataCorrected[[#This Row],[Site Name]],Tables!$B$12:$B$78, Tables!D$12:D$78)</f>
        <v>-1.6191991562500001</v>
      </c>
      <c r="N628" t="s">
        <v>23</v>
      </c>
      <c r="O628">
        <v>325</v>
      </c>
      <c r="P628">
        <v>12.9</v>
      </c>
      <c r="Q628">
        <v>0.5</v>
      </c>
      <c r="R62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8">
        <v>0.06</v>
      </c>
      <c r="T628"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28">
        <v>1.5</v>
      </c>
      <c r="V628" t="s">
        <v>919</v>
      </c>
    </row>
    <row r="629" spans="1:22" x14ac:dyDescent="0.25">
      <c r="A629" t="s">
        <v>920</v>
      </c>
      <c r="B629" s="2">
        <v>45387</v>
      </c>
      <c r="C629" t="str" cm="1">
        <f t="array" ref="C6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9">
        <f>YEAR(AllDataCorrected[[#This Row],[Date]])</f>
        <v>2024</v>
      </c>
      <c r="E629" s="1">
        <v>0.3923611111111111</v>
      </c>
      <c r="F6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9" t="str">
        <f>_xlfn.XLOOKUP(AllDataCorrected[[#This Row],[Location Name]], Locations[Location Name],Locations[Group As])</f>
        <v>Mill Bridge Peopleton</v>
      </c>
      <c r="H629" t="e" vm="17">
        <f>_xlfn.XLOOKUP(AllDataCorrected[[#This Row],[Site Name]],LocationsKey[Site Name],LocationsKey[District])</f>
        <v>#VALUE!</v>
      </c>
      <c r="I629" t="str">
        <f>_xlfn.XLOOKUP(AllDataCorrected[[#This Row],[Site Name]],LocationsKey[Site Name],LocationsKey[Town])</f>
        <v>Peopleton</v>
      </c>
      <c r="J629" t="str">
        <f>_xlfn.XLOOKUP(AllDataCorrected[[#This Row],[Site Name]],LocationsKey[Site Name], LocationsKey[Waterway])</f>
        <v>Bow Brook</v>
      </c>
      <c r="K629" t="s">
        <v>921</v>
      </c>
      <c r="L629">
        <f>_xlfn.XLOOKUP(AllDataCorrected[[#This Row],[Site Name]],Tables!$B$12:$B$78, Tables!C$12:C$78)</f>
        <v>52.15202992857143</v>
      </c>
      <c r="M629">
        <f>_xlfn.XLOOKUP(AllDataCorrected[[#This Row],[Site Name]],Tables!$B$12:$B$78, Tables!D$12:D$78)</f>
        <v>-2.0954780000000004</v>
      </c>
      <c r="N629" t="s">
        <v>29</v>
      </c>
      <c r="O629">
        <v>523</v>
      </c>
      <c r="P629">
        <v>12.6</v>
      </c>
      <c r="Q629">
        <v>5</v>
      </c>
      <c r="R629" t="str">
        <f>IF(AllDataCorrected[[#This Row],[Nitrate (PPM)]]&gt;2, "4. Very high (&gt;2ppm)", IF(AllDataCorrected[[#This Row],[Nitrate (PPM)]]&gt;1, "3. High (1-2ppm)", IF(AllDataCorrected[[#This Row],[Nitrate (PPM)]]&gt;0.5, "2. Some evidence (0.5-1ppm)", IF(AllDataCorrected[[#This Row],[Nitrate (PPM)]]&gt;=0, "1. No evidence (&lt;0.5ppm)"))))</f>
        <v>4. Very high (&gt;2ppm)</v>
      </c>
      <c r="S629">
        <v>0.46</v>
      </c>
      <c r="T6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9">
        <v>1.4</v>
      </c>
      <c r="V629" t="s">
        <v>922</v>
      </c>
    </row>
    <row r="630" spans="1:22" x14ac:dyDescent="0.25">
      <c r="A630" t="s">
        <v>923</v>
      </c>
      <c r="B630" s="2">
        <v>45388</v>
      </c>
      <c r="C630" t="str" cm="1">
        <f t="array" ref="C6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0">
        <f>YEAR(AllDataCorrected[[#This Row],[Date]])</f>
        <v>2024</v>
      </c>
      <c r="E630" s="1">
        <v>0.36666666666666664</v>
      </c>
      <c r="F63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0" t="str">
        <f>_xlfn.XLOOKUP(AllDataCorrected[[#This Row],[Location Name]], Locations[Location Name],Locations[Group As])</f>
        <v>Stour Whichford</v>
      </c>
      <c r="H630" t="e" vm="2">
        <f>_xlfn.XLOOKUP(AllDataCorrected[[#This Row],[Site Name]],LocationsKey[Site Name],LocationsKey[District])</f>
        <v>#VALUE!</v>
      </c>
      <c r="I630" t="e" vm="21">
        <f>_xlfn.XLOOKUP(AllDataCorrected[[#This Row],[Site Name]],LocationsKey[Site Name],LocationsKey[Town])</f>
        <v>#VALUE!</v>
      </c>
      <c r="J630" t="str">
        <f>_xlfn.XLOOKUP(AllDataCorrected[[#This Row],[Site Name]],LocationsKey[Site Name], LocationsKey[Waterway])</f>
        <v>Stour</v>
      </c>
      <c r="K630" t="s">
        <v>895</v>
      </c>
      <c r="L630">
        <f>_xlfn.XLOOKUP(AllDataCorrected[[#This Row],[Site Name]],Tables!$B$12:$B$78, Tables!C$12:C$78)</f>
        <v>52.017437000000001</v>
      </c>
      <c r="M630">
        <f>_xlfn.XLOOKUP(AllDataCorrected[[#This Row],[Site Name]],Tables!$B$12:$B$78, Tables!D$12:D$78)</f>
        <v>-1.544745</v>
      </c>
      <c r="N630" t="s">
        <v>29</v>
      </c>
      <c r="O630">
        <v>50.9</v>
      </c>
      <c r="P630">
        <v>12.09</v>
      </c>
      <c r="Q630">
        <v>1.08</v>
      </c>
      <c r="R630" t="str">
        <f>IF(AllDataCorrected[[#This Row],[Nitrate (PPM)]]&gt;2, "4. Very high (&gt;2ppm)", IF(AllDataCorrected[[#This Row],[Nitrate (PPM)]]&gt;1, "3. High (1-2ppm)", IF(AllDataCorrected[[#This Row],[Nitrate (PPM)]]&gt;0.5, "2. Some evidence (0.5-1ppm)", IF(AllDataCorrected[[#This Row],[Nitrate (PPM)]]&gt;=0, "1. No evidence (&lt;0.5ppm)"))))</f>
        <v>3. High (1-2ppm)</v>
      </c>
      <c r="S630">
        <v>0.54</v>
      </c>
      <c r="T6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30">
        <v>25</v>
      </c>
    </row>
    <row r="631" spans="1:22" x14ac:dyDescent="0.25">
      <c r="A631" t="s">
        <v>924</v>
      </c>
      <c r="B631" s="2">
        <v>45388</v>
      </c>
      <c r="C631" t="str" cm="1">
        <f t="array" ref="C6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1">
        <f>YEAR(AllDataCorrected[[#This Row],[Date]])</f>
        <v>2024</v>
      </c>
      <c r="E631" s="1">
        <v>0.38750000000000001</v>
      </c>
      <c r="F6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1" t="str">
        <f>_xlfn.XLOOKUP(AllDataCorrected[[#This Row],[Location Name]], Locations[Location Name],Locations[Group As])</f>
        <v>Stour Ascott Village</v>
      </c>
      <c r="H631" t="e" vm="2">
        <f>_xlfn.XLOOKUP(AllDataCorrected[[#This Row],[Site Name]],LocationsKey[Site Name],LocationsKey[District])</f>
        <v>#VALUE!</v>
      </c>
      <c r="I631" t="e" vm="22">
        <f>_xlfn.XLOOKUP(AllDataCorrected[[#This Row],[Site Name]],LocationsKey[Site Name],LocationsKey[Town])</f>
        <v>#VALUE!</v>
      </c>
      <c r="J631" t="str">
        <f>_xlfn.XLOOKUP(AllDataCorrected[[#This Row],[Site Name]],LocationsKey[Site Name], LocationsKey[Waterway])</f>
        <v>Stour</v>
      </c>
      <c r="K631" t="s">
        <v>855</v>
      </c>
      <c r="L631">
        <f>_xlfn.XLOOKUP(AllDataCorrected[[#This Row],[Site Name]],Tables!$B$12:$B$78, Tables!C$12:C$78)</f>
        <v>52.013255999999998</v>
      </c>
      <c r="M631">
        <f>_xlfn.XLOOKUP(AllDataCorrected[[#This Row],[Site Name]],Tables!$B$12:$B$78, Tables!D$12:D$78)</f>
        <v>-1.5387710000000001</v>
      </c>
      <c r="N631" t="s">
        <v>66</v>
      </c>
      <c r="O631">
        <v>51.04</v>
      </c>
      <c r="P631">
        <v>12.9</v>
      </c>
      <c r="Q631">
        <v>2</v>
      </c>
      <c r="R631" t="str">
        <f>IF(AllDataCorrected[[#This Row],[Nitrate (PPM)]]&gt;2, "4. Very high (&gt;2ppm)", IF(AllDataCorrected[[#This Row],[Nitrate (PPM)]]&gt;1, "3. High (1-2ppm)", IF(AllDataCorrected[[#This Row],[Nitrate (PPM)]]&gt;0.5, "2. Some evidence (0.5-1ppm)", IF(AllDataCorrected[[#This Row],[Nitrate (PPM)]]&gt;=0, "1. No evidence (&lt;0.5ppm)"))))</f>
        <v>3. High (1-2ppm)</v>
      </c>
      <c r="S631">
        <v>0.1</v>
      </c>
      <c r="T6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31">
        <v>18</v>
      </c>
    </row>
    <row r="632" spans="1:22" x14ac:dyDescent="0.25">
      <c r="A632" t="s">
        <v>925</v>
      </c>
      <c r="B632" s="2">
        <v>45388</v>
      </c>
      <c r="C632" t="str" cm="1">
        <f t="array" ref="C6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2">
        <f>YEAR(AllDataCorrected[[#This Row],[Date]])</f>
        <v>2024</v>
      </c>
      <c r="E632" s="1">
        <v>0.41666666666666669</v>
      </c>
      <c r="F6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2" t="str">
        <f>_xlfn.XLOOKUP(AllDataCorrected[[#This Row],[Location Name]], Locations[Location Name],Locations[Group As])</f>
        <v>Avonbank Drive</v>
      </c>
      <c r="H632" t="e" vm="2">
        <f>_xlfn.XLOOKUP(AllDataCorrected[[#This Row],[Site Name]],LocationsKey[Site Name],LocationsKey[District])</f>
        <v>#VALUE!</v>
      </c>
      <c r="I632" t="e" vm="7">
        <f>_xlfn.XLOOKUP(AllDataCorrected[[#This Row],[Site Name]],LocationsKey[Site Name],LocationsKey[Town])</f>
        <v>#VALUE!</v>
      </c>
      <c r="J632" t="str">
        <f>_xlfn.XLOOKUP(AllDataCorrected[[#This Row],[Site Name]],LocationsKey[Site Name], LocationsKey[Waterway])</f>
        <v>Avon</v>
      </c>
      <c r="K632" t="s">
        <v>103</v>
      </c>
      <c r="L632">
        <f>_xlfn.XLOOKUP(AllDataCorrected[[#This Row],[Site Name]],Tables!$B$12:$B$78, Tables!C$12:C$78)</f>
        <v>52.177054657142854</v>
      </c>
      <c r="M632">
        <f>_xlfn.XLOOKUP(AllDataCorrected[[#This Row],[Site Name]],Tables!$B$12:$B$78, Tables!D$12:D$78)</f>
        <v>-1.7358669999999996</v>
      </c>
      <c r="N632" t="s">
        <v>66</v>
      </c>
      <c r="O632">
        <v>642</v>
      </c>
      <c r="P632">
        <v>17.5</v>
      </c>
      <c r="Q632">
        <v>10</v>
      </c>
      <c r="R632" t="str">
        <f>IF(AllDataCorrected[[#This Row],[Nitrate (PPM)]]&gt;2, "4. Very high (&gt;2ppm)", IF(AllDataCorrected[[#This Row],[Nitrate (PPM)]]&gt;1, "3. High (1-2ppm)", IF(AllDataCorrected[[#This Row],[Nitrate (PPM)]]&gt;0.5, "2. Some evidence (0.5-1ppm)", IF(AllDataCorrected[[#This Row],[Nitrate (PPM)]]&gt;=0, "1. No evidence (&lt;0.5ppm)"))))</f>
        <v>4. Very high (&gt;2ppm)</v>
      </c>
      <c r="S632">
        <v>0.38</v>
      </c>
      <c r="T6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2">
        <v>1</v>
      </c>
    </row>
    <row r="633" spans="1:22" x14ac:dyDescent="0.25">
      <c r="A633" t="s">
        <v>926</v>
      </c>
      <c r="B633" s="2">
        <v>45388</v>
      </c>
      <c r="C633" t="str" cm="1">
        <f t="array" ref="C6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3">
        <f>YEAR(AllDataCorrected[[#This Row],[Date]])</f>
        <v>2024</v>
      </c>
      <c r="E633" s="1">
        <v>0.41666666666666669</v>
      </c>
      <c r="F6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3" t="str">
        <f>_xlfn.XLOOKUP(AllDataCorrected[[#This Row],[Location Name]], Locations[Location Name],Locations[Group As])</f>
        <v>Pitch 16</v>
      </c>
      <c r="H633" t="e" vm="2">
        <f>_xlfn.XLOOKUP(AllDataCorrected[[#This Row],[Site Name]],LocationsKey[Site Name],LocationsKey[District])</f>
        <v>#VALUE!</v>
      </c>
      <c r="I633" t="e" vm="7">
        <f>_xlfn.XLOOKUP(AllDataCorrected[[#This Row],[Site Name]],LocationsKey[Site Name],LocationsKey[Town])</f>
        <v>#VALUE!</v>
      </c>
      <c r="J633" t="str">
        <f>_xlfn.XLOOKUP(AllDataCorrected[[#This Row],[Site Name]],LocationsKey[Site Name], LocationsKey[Waterway])</f>
        <v>Avon</v>
      </c>
      <c r="K633" t="s">
        <v>69</v>
      </c>
      <c r="L633">
        <f>_xlfn.XLOOKUP(AllDataCorrected[[#This Row],[Site Name]],Tables!$B$12:$B$78, Tables!C$12:C$78)</f>
        <v>52.17355294117646</v>
      </c>
      <c r="M633">
        <f>_xlfn.XLOOKUP(AllDataCorrected[[#This Row],[Site Name]],Tables!$B$12:$B$78, Tables!D$12:D$78)</f>
        <v>-1.7433199411764708</v>
      </c>
      <c r="N633" t="s">
        <v>29</v>
      </c>
      <c r="O633">
        <v>641</v>
      </c>
      <c r="P633">
        <v>17.5</v>
      </c>
      <c r="Q633">
        <v>10</v>
      </c>
      <c r="R633" t="str">
        <f>IF(AllDataCorrected[[#This Row],[Nitrate (PPM)]]&gt;2, "4. Very high (&gt;2ppm)", IF(AllDataCorrected[[#This Row],[Nitrate (PPM)]]&gt;1, "3. High (1-2ppm)", IF(AllDataCorrected[[#This Row],[Nitrate (PPM)]]&gt;0.5, "2. Some evidence (0.5-1ppm)", IF(AllDataCorrected[[#This Row],[Nitrate (PPM)]]&gt;=0, "1. No evidence (&lt;0.5ppm)"))))</f>
        <v>4. Very high (&gt;2ppm)</v>
      </c>
      <c r="S633">
        <v>0.36</v>
      </c>
      <c r="T6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3">
        <v>1</v>
      </c>
    </row>
    <row r="634" spans="1:22" x14ac:dyDescent="0.25">
      <c r="A634" t="s">
        <v>927</v>
      </c>
      <c r="B634" s="2">
        <v>45388</v>
      </c>
      <c r="C634" t="str" cm="1">
        <f t="array" ref="C6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4">
        <f>YEAR(AllDataCorrected[[#This Row],[Date]])</f>
        <v>2024</v>
      </c>
      <c r="E634" s="1">
        <v>0.47430555555555554</v>
      </c>
      <c r="F6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4" t="str">
        <f>_xlfn.XLOOKUP(AllDataCorrected[[#This Row],[Location Name]], Locations[Location Name],Locations[Group As])</f>
        <v>Avon Smiths Meadow Wyre Piddle</v>
      </c>
      <c r="H634" t="e" vm="17">
        <f>_xlfn.XLOOKUP(AllDataCorrected[[#This Row],[Site Name]],LocationsKey[Site Name],LocationsKey[District])</f>
        <v>#VALUE!</v>
      </c>
      <c r="I634" t="e" vm="20">
        <f>_xlfn.XLOOKUP(AllDataCorrected[[#This Row],[Site Name]],LocationsKey[Site Name],LocationsKey[Town])</f>
        <v>#VALUE!</v>
      </c>
      <c r="J634" t="str">
        <f>_xlfn.XLOOKUP(AllDataCorrected[[#This Row],[Site Name]],LocationsKey[Site Name], LocationsKey[Waterway])</f>
        <v>Avon</v>
      </c>
      <c r="K634" t="s">
        <v>741</v>
      </c>
      <c r="L634">
        <f>_xlfn.XLOOKUP(AllDataCorrected[[#This Row],[Site Name]],Tables!$B$12:$B$78, Tables!C$12:C$78)</f>
        <v>52.123045961538452</v>
      </c>
      <c r="M634">
        <f>_xlfn.XLOOKUP(AllDataCorrected[[#This Row],[Site Name]],Tables!$B$12:$B$78, Tables!D$12:D$78)</f>
        <v>-2.0572161923076919</v>
      </c>
      <c r="N634" t="s">
        <v>23</v>
      </c>
      <c r="O634">
        <v>495</v>
      </c>
      <c r="P634">
        <v>13</v>
      </c>
      <c r="Q634">
        <v>4</v>
      </c>
      <c r="R634" t="str">
        <f>IF(AllDataCorrected[[#This Row],[Nitrate (PPM)]]&gt;2, "4. Very high (&gt;2ppm)", IF(AllDataCorrected[[#This Row],[Nitrate (PPM)]]&gt;1, "3. High (1-2ppm)", IF(AllDataCorrected[[#This Row],[Nitrate (PPM)]]&gt;0.5, "2. Some evidence (0.5-1ppm)", IF(AllDataCorrected[[#This Row],[Nitrate (PPM)]]&gt;=0, "1. No evidence (&lt;0.5ppm)"))))</f>
        <v>4. Very high (&gt;2ppm)</v>
      </c>
      <c r="S634">
        <v>0.37</v>
      </c>
      <c r="T6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4">
        <v>2.0299999999999998</v>
      </c>
      <c r="V634" t="s">
        <v>928</v>
      </c>
    </row>
    <row r="635" spans="1:22" x14ac:dyDescent="0.25">
      <c r="A635" t="s">
        <v>929</v>
      </c>
      <c r="B635" s="2">
        <v>45388</v>
      </c>
      <c r="C635" t="str" cm="1">
        <f t="array" ref="C6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5">
        <f>YEAR(AllDataCorrected[[#This Row],[Date]])</f>
        <v>2024</v>
      </c>
      <c r="E635" s="1">
        <v>0.51041666666666663</v>
      </c>
      <c r="F6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5" t="str">
        <f>_xlfn.XLOOKUP(AllDataCorrected[[#This Row],[Location Name]], Locations[Location Name],Locations[Group As])</f>
        <v>Piddle Brook Wyre Piddle Bridge</v>
      </c>
      <c r="H635" t="e" vm="17">
        <f>_xlfn.XLOOKUP(AllDataCorrected[[#This Row],[Site Name]],LocationsKey[Site Name],LocationsKey[District])</f>
        <v>#VALUE!</v>
      </c>
      <c r="I635" t="e" vm="20">
        <f>_xlfn.XLOOKUP(AllDataCorrected[[#This Row],[Site Name]],LocationsKey[Site Name],LocationsKey[Town])</f>
        <v>#VALUE!</v>
      </c>
      <c r="J635" t="str">
        <f>_xlfn.XLOOKUP(AllDataCorrected[[#This Row],[Site Name]],LocationsKey[Site Name], LocationsKey[Waterway])</f>
        <v>Piddle Brook</v>
      </c>
      <c r="K635" t="s">
        <v>744</v>
      </c>
      <c r="L635">
        <f>_xlfn.XLOOKUP(AllDataCorrected[[#This Row],[Site Name]],Tables!$B$12:$B$78, Tables!C$12:C$78)</f>
        <v>52.126401720000004</v>
      </c>
      <c r="M635">
        <f>_xlfn.XLOOKUP(AllDataCorrected[[#This Row],[Site Name]],Tables!$B$12:$B$78, Tables!D$12:D$78)</f>
        <v>-2.0565162000000003</v>
      </c>
      <c r="N635" t="s">
        <v>23</v>
      </c>
      <c r="O635">
        <v>639</v>
      </c>
      <c r="P635">
        <v>13.3</v>
      </c>
      <c r="Q635">
        <v>4</v>
      </c>
      <c r="R635" t="str">
        <f>IF(AllDataCorrected[[#This Row],[Nitrate (PPM)]]&gt;2, "4. Very high (&gt;2ppm)", IF(AllDataCorrected[[#This Row],[Nitrate (PPM)]]&gt;1, "3. High (1-2ppm)", IF(AllDataCorrected[[#This Row],[Nitrate (PPM)]]&gt;0.5, "2. Some evidence (0.5-1ppm)", IF(AllDataCorrected[[#This Row],[Nitrate (PPM)]]&gt;=0, "1. No evidence (&lt;0.5ppm)"))))</f>
        <v>4. Very high (&gt;2ppm)</v>
      </c>
      <c r="S635">
        <v>0.32</v>
      </c>
      <c r="T6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5">
        <v>0.96</v>
      </c>
      <c r="V635" t="s">
        <v>930</v>
      </c>
    </row>
    <row r="636" spans="1:22" x14ac:dyDescent="0.25">
      <c r="A636" t="s">
        <v>931</v>
      </c>
      <c r="B636" s="2">
        <v>45388</v>
      </c>
      <c r="C636" t="str" cm="1">
        <f t="array" ref="C6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6">
        <f>YEAR(AllDataCorrected[[#This Row],[Date]])</f>
        <v>2024</v>
      </c>
      <c r="E636" s="1">
        <v>0.59027777777777779</v>
      </c>
      <c r="F6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6" t="str">
        <f>_xlfn.XLOOKUP(AllDataCorrected[[#This Row],[Location Name]], Locations[Location Name],Locations[Group As])</f>
        <v>Preston-on-Stour River Bridge</v>
      </c>
      <c r="H636" t="e" vm="2">
        <f>_xlfn.XLOOKUP(AllDataCorrected[[#This Row],[Site Name]],LocationsKey[Site Name],LocationsKey[District])</f>
        <v>#VALUE!</v>
      </c>
      <c r="I636" t="e" vm="9">
        <f>_xlfn.XLOOKUP(AllDataCorrected[[#This Row],[Site Name]],LocationsKey[Site Name],LocationsKey[Town])</f>
        <v>#VALUE!</v>
      </c>
      <c r="J636" t="str">
        <f>_xlfn.XLOOKUP(AllDataCorrected[[#This Row],[Site Name]],LocationsKey[Site Name], LocationsKey[Waterway])</f>
        <v>Stour</v>
      </c>
      <c r="K636" t="s">
        <v>163</v>
      </c>
      <c r="L636">
        <f>_xlfn.XLOOKUP(AllDataCorrected[[#This Row],[Site Name]],Tables!$B$12:$B$78, Tables!C$12:C$78)</f>
        <v>52.146529500000007</v>
      </c>
      <c r="M636">
        <f>_xlfn.XLOOKUP(AllDataCorrected[[#This Row],[Site Name]],Tables!$B$12:$B$78, Tables!D$12:D$78)</f>
        <v>-1.6996899999999999</v>
      </c>
      <c r="N636" t="s">
        <v>29</v>
      </c>
      <c r="O636">
        <v>544</v>
      </c>
      <c r="P636">
        <v>14.4</v>
      </c>
      <c r="Q636">
        <v>6</v>
      </c>
      <c r="R636" t="str">
        <f>IF(AllDataCorrected[[#This Row],[Nitrate (PPM)]]&gt;2, "4. Very high (&gt;2ppm)", IF(AllDataCorrected[[#This Row],[Nitrate (PPM)]]&gt;1, "3. High (1-2ppm)", IF(AllDataCorrected[[#This Row],[Nitrate (PPM)]]&gt;0.5, "2. Some evidence (0.5-1ppm)", IF(AllDataCorrected[[#This Row],[Nitrate (PPM)]]&gt;=0, "1. No evidence (&lt;0.5ppm)"))))</f>
        <v>4. Very high (&gt;2ppm)</v>
      </c>
      <c r="S636">
        <v>0.26</v>
      </c>
      <c r="T6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6">
        <v>2</v>
      </c>
      <c r="V636" t="s">
        <v>932</v>
      </c>
    </row>
    <row r="637" spans="1:22" x14ac:dyDescent="0.25">
      <c r="A637" t="s">
        <v>933</v>
      </c>
      <c r="B637" s="2">
        <v>45388</v>
      </c>
      <c r="C637" t="str" cm="1">
        <f t="array" ref="C6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7">
        <f>YEAR(AllDataCorrected[[#This Row],[Date]])</f>
        <v>2024</v>
      </c>
      <c r="E637" s="1">
        <v>0.625</v>
      </c>
      <c r="F6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7" t="str">
        <f>_xlfn.XLOOKUP(AllDataCorrected[[#This Row],[Location Name]], Locations[Location Name],Locations[Group As])</f>
        <v>Carrant Bredon Rd</v>
      </c>
      <c r="H637" t="e" vm="1">
        <f>_xlfn.XLOOKUP(AllDataCorrected[[#This Row],[Site Name]],LocationsKey[Site Name],LocationsKey[District])</f>
        <v>#VALUE!</v>
      </c>
      <c r="I637" t="e" vm="1">
        <f>_xlfn.XLOOKUP(AllDataCorrected[[#This Row],[Site Name]],LocationsKey[Site Name],LocationsKey[Town])</f>
        <v>#VALUE!</v>
      </c>
      <c r="J637" t="str">
        <f>_xlfn.XLOOKUP(AllDataCorrected[[#This Row],[Site Name]],LocationsKey[Site Name], LocationsKey[Waterway])</f>
        <v>Carrant</v>
      </c>
      <c r="K637" t="s">
        <v>600</v>
      </c>
      <c r="L637">
        <f>_xlfn.XLOOKUP(AllDataCorrected[[#This Row],[Site Name]],Tables!$B$12:$B$78, Tables!C$12:C$78)</f>
        <v>51.996416567567572</v>
      </c>
      <c r="M637">
        <f>_xlfn.XLOOKUP(AllDataCorrected[[#This Row],[Site Name]],Tables!$B$12:$B$78, Tables!D$12:D$78)</f>
        <v>-2.1556626756756749</v>
      </c>
      <c r="N637" t="s">
        <v>23</v>
      </c>
      <c r="O637">
        <v>652</v>
      </c>
      <c r="P637">
        <v>15.1</v>
      </c>
      <c r="Q637">
        <v>5</v>
      </c>
      <c r="R637" t="str">
        <f>IF(AllDataCorrected[[#This Row],[Nitrate (PPM)]]&gt;2, "4. Very high (&gt;2ppm)", IF(AllDataCorrected[[#This Row],[Nitrate (PPM)]]&gt;1, "3. High (1-2ppm)", IF(AllDataCorrected[[#This Row],[Nitrate (PPM)]]&gt;0.5, "2. Some evidence (0.5-1ppm)", IF(AllDataCorrected[[#This Row],[Nitrate (PPM)]]&gt;=0, "1. No evidence (&lt;0.5ppm)"))))</f>
        <v>4. Very high (&gt;2ppm)</v>
      </c>
      <c r="S637">
        <v>0.3</v>
      </c>
      <c r="T6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7">
        <v>1.28</v>
      </c>
      <c r="V637" t="s">
        <v>934</v>
      </c>
    </row>
    <row r="638" spans="1:22" x14ac:dyDescent="0.25">
      <c r="A638" t="s">
        <v>935</v>
      </c>
      <c r="B638" s="2">
        <v>45388</v>
      </c>
      <c r="C638" t="str" cm="1">
        <f t="array" ref="C6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8">
        <f>YEAR(AllDataCorrected[[#This Row],[Date]])</f>
        <v>2024</v>
      </c>
      <c r="E638" s="1">
        <v>0.64583333333333337</v>
      </c>
      <c r="F6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8" t="str">
        <f>_xlfn.XLOOKUP(AllDataCorrected[[#This Row],[Location Name]], Locations[Location Name],Locations[Group As])</f>
        <v>Black Bear</v>
      </c>
      <c r="H638" t="e" vm="1">
        <f>_xlfn.XLOOKUP(AllDataCorrected[[#This Row],[Site Name]],LocationsKey[Site Name],LocationsKey[District])</f>
        <v>#VALUE!</v>
      </c>
      <c r="I638" t="e" vm="1">
        <f>_xlfn.XLOOKUP(AllDataCorrected[[#This Row],[Site Name]],LocationsKey[Site Name],LocationsKey[Town])</f>
        <v>#VALUE!</v>
      </c>
      <c r="J638" t="str">
        <f>_xlfn.XLOOKUP(AllDataCorrected[[#This Row],[Site Name]],LocationsKey[Site Name], LocationsKey[Waterway])</f>
        <v>Avon</v>
      </c>
      <c r="K638" t="s">
        <v>567</v>
      </c>
      <c r="L638">
        <f>_xlfn.XLOOKUP(AllDataCorrected[[#This Row],[Site Name]],Tables!$B$12:$B$78, Tables!C$12:C$78)</f>
        <v>51.997435214285723</v>
      </c>
      <c r="M638">
        <f>_xlfn.XLOOKUP(AllDataCorrected[[#This Row],[Site Name]],Tables!$B$12:$B$78, Tables!D$12:D$78)</f>
        <v>-2.1562056785714288</v>
      </c>
      <c r="N638" t="s">
        <v>23</v>
      </c>
      <c r="O638">
        <v>631</v>
      </c>
      <c r="P638">
        <v>14.6</v>
      </c>
      <c r="Q638">
        <v>5</v>
      </c>
      <c r="R638" t="str">
        <f>IF(AllDataCorrected[[#This Row],[Nitrate (PPM)]]&gt;2, "4. Very high (&gt;2ppm)", IF(AllDataCorrected[[#This Row],[Nitrate (PPM)]]&gt;1, "3. High (1-2ppm)", IF(AllDataCorrected[[#This Row],[Nitrate (PPM)]]&gt;0.5, "2. Some evidence (0.5-1ppm)", IF(AllDataCorrected[[#This Row],[Nitrate (PPM)]]&gt;=0, "1. No evidence (&lt;0.5ppm)"))))</f>
        <v>4. Very high (&gt;2ppm)</v>
      </c>
      <c r="S638">
        <v>0.4</v>
      </c>
      <c r="T6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8">
        <v>0</v>
      </c>
      <c r="V638" t="s">
        <v>936</v>
      </c>
    </row>
    <row r="639" spans="1:22" x14ac:dyDescent="0.25">
      <c r="A639" t="s">
        <v>1758</v>
      </c>
      <c r="B639" s="2">
        <v>45388</v>
      </c>
      <c r="C639" t="str" cm="1">
        <f t="array" ref="C6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9">
        <f>YEAR(AllDataCorrected[[#This Row],[Date]])</f>
        <v>2024</v>
      </c>
      <c r="F6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39" t="str">
        <f>_xlfn.XLOOKUP(AllDataCorrected[[#This Row],[Location Name]], Locations[Location Name],Locations[Group As])</f>
        <v>Site 1  :  Middle Street</v>
      </c>
      <c r="H639" t="e" vm="2">
        <f>_xlfn.XLOOKUP(AllDataCorrected[[#This Row],[Site Name]],LocationsKey[Site Name],LocationsKey[District])</f>
        <v>#VALUE!</v>
      </c>
      <c r="I639" t="e" vm="11">
        <f>_xlfn.XLOOKUP(AllDataCorrected[[#This Row],[Site Name]],LocationsKey[Site Name],LocationsKey[Town])</f>
        <v>#VALUE!</v>
      </c>
      <c r="J639" t="str">
        <f>_xlfn.XLOOKUP(AllDataCorrected[[#This Row],[Site Name]],LocationsKey[Site Name], LocationsKey[Waterway])</f>
        <v>Fosseway Brook</v>
      </c>
      <c r="K639" t="s">
        <v>1859</v>
      </c>
      <c r="L639">
        <f>_xlfn.XLOOKUP(AllDataCorrected[[#This Row],[Site Name]],Tables!$B$12:$B$78, Tables!C$12:C$78)</f>
        <v>52.090077380952394</v>
      </c>
      <c r="M639">
        <f>_xlfn.XLOOKUP(AllDataCorrected[[#This Row],[Site Name]],Tables!$B$12:$B$78, Tables!D$12:D$78)</f>
        <v>-1.6926051666666673</v>
      </c>
      <c r="N639" t="s">
        <v>66</v>
      </c>
      <c r="O639">
        <v>519</v>
      </c>
      <c r="P639">
        <v>14.8</v>
      </c>
      <c r="Q639">
        <v>2</v>
      </c>
      <c r="R639" t="str">
        <f>IF(AllDataCorrected[[#This Row],[Nitrate (PPM)]]&gt;2, "4. Very high (&gt;2ppm)", IF(AllDataCorrected[[#This Row],[Nitrate (PPM)]]&gt;1, "3. High (1-2ppm)", IF(AllDataCorrected[[#This Row],[Nitrate (PPM)]]&gt;0.5, "2. Some evidence (0.5-1ppm)", IF(AllDataCorrected[[#This Row],[Nitrate (PPM)]]&gt;=0, "1. No evidence (&lt;0.5ppm)"))))</f>
        <v>3. High (1-2ppm)</v>
      </c>
      <c r="S639">
        <v>0.06</v>
      </c>
      <c r="T639"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39">
        <v>0</v>
      </c>
      <c r="V639" t="s">
        <v>1904</v>
      </c>
    </row>
    <row r="640" spans="1:22" x14ac:dyDescent="0.25">
      <c r="A640" t="s">
        <v>1440</v>
      </c>
      <c r="B640" s="2">
        <v>45388</v>
      </c>
      <c r="C640" t="str" cm="1">
        <f t="array" ref="C6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0">
        <f>YEAR(AllDataCorrected[[#This Row],[Date]])</f>
        <v>2024</v>
      </c>
      <c r="F6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0" t="str">
        <f>_xlfn.XLOOKUP(AllDataCorrected[[#This Row],[Location Name]], Locations[Location Name],Locations[Group As])</f>
        <v>Site 1  :  Middle Street</v>
      </c>
      <c r="H640" t="e" vm="2">
        <f>_xlfn.XLOOKUP(AllDataCorrected[[#This Row],[Site Name]],LocationsKey[Site Name],LocationsKey[District])</f>
        <v>#VALUE!</v>
      </c>
      <c r="I640" t="e" vm="11">
        <f>_xlfn.XLOOKUP(AllDataCorrected[[#This Row],[Site Name]],LocationsKey[Site Name],LocationsKey[Town])</f>
        <v>#VALUE!</v>
      </c>
      <c r="J640" t="str">
        <f>_xlfn.XLOOKUP(AllDataCorrected[[#This Row],[Site Name]],LocationsKey[Site Name], LocationsKey[Waterway])</f>
        <v>Fosseway Brook</v>
      </c>
      <c r="K640" t="s">
        <v>1373</v>
      </c>
      <c r="L640">
        <f>_xlfn.XLOOKUP(AllDataCorrected[[#This Row],[Site Name]],Tables!$B$12:$B$78, Tables!C$12:C$78)</f>
        <v>52.090077380952394</v>
      </c>
      <c r="M640">
        <f>_xlfn.XLOOKUP(AllDataCorrected[[#This Row],[Site Name]],Tables!$B$12:$B$78, Tables!D$12:D$78)</f>
        <v>-1.6926051666666673</v>
      </c>
      <c r="N640" t="s">
        <v>66</v>
      </c>
      <c r="O640">
        <v>519</v>
      </c>
      <c r="P640">
        <v>14.8</v>
      </c>
      <c r="Q640">
        <v>2</v>
      </c>
      <c r="R640" t="str">
        <f>IF(AllDataCorrected[[#This Row],[Nitrate (PPM)]]&gt;2, "4. Very high (&gt;2ppm)", IF(AllDataCorrected[[#This Row],[Nitrate (PPM)]]&gt;1, "3. High (1-2ppm)", IF(AllDataCorrected[[#This Row],[Nitrate (PPM)]]&gt;0.5, "2. Some evidence (0.5-1ppm)", IF(AllDataCorrected[[#This Row],[Nitrate (PPM)]]&gt;=0, "1. No evidence (&lt;0.5ppm)"))))</f>
        <v>3. High (1-2ppm)</v>
      </c>
      <c r="S640">
        <v>0.06</v>
      </c>
      <c r="T640"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640" t="s">
        <v>1441</v>
      </c>
    </row>
    <row r="641" spans="1:22" x14ac:dyDescent="0.25">
      <c r="A641" t="s">
        <v>1759</v>
      </c>
      <c r="B641" s="2">
        <v>45388</v>
      </c>
      <c r="C641" t="str" cm="1">
        <f t="array" ref="C6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1">
        <f>YEAR(AllDataCorrected[[#This Row],[Date]])</f>
        <v>2024</v>
      </c>
      <c r="F64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1" t="str">
        <f>_xlfn.XLOOKUP(AllDataCorrected[[#This Row],[Location Name]], Locations[Location Name],Locations[Group As])</f>
        <v>Site 2  :  Cross Leys culvert</v>
      </c>
      <c r="H641" t="e" vm="2">
        <f>_xlfn.XLOOKUP(AllDataCorrected[[#This Row],[Site Name]],LocationsKey[Site Name],LocationsKey[District])</f>
        <v>#VALUE!</v>
      </c>
      <c r="I641" t="e" vm="11">
        <f>_xlfn.XLOOKUP(AllDataCorrected[[#This Row],[Site Name]],LocationsKey[Site Name],LocationsKey[Town])</f>
        <v>#VALUE!</v>
      </c>
      <c r="J641" t="str">
        <f>_xlfn.XLOOKUP(AllDataCorrected[[#This Row],[Site Name]],LocationsKey[Site Name], LocationsKey[Waterway])</f>
        <v>Fosseway Brook</v>
      </c>
      <c r="K641" t="s">
        <v>1860</v>
      </c>
      <c r="L641">
        <f>_xlfn.XLOOKUP(AllDataCorrected[[#This Row],[Site Name]],Tables!$B$12:$B$78, Tables!C$12:C$78)</f>
        <v>52.092990199999988</v>
      </c>
      <c r="M641">
        <f>_xlfn.XLOOKUP(AllDataCorrected[[#This Row],[Site Name]],Tables!$B$12:$B$78, Tables!D$12:D$78)</f>
        <v>-1.6862810999999998</v>
      </c>
      <c r="N641" t="s">
        <v>66</v>
      </c>
      <c r="O641">
        <v>588</v>
      </c>
      <c r="P641">
        <v>14.1</v>
      </c>
      <c r="Q641">
        <v>2</v>
      </c>
      <c r="R641" t="str">
        <f>IF(AllDataCorrected[[#This Row],[Nitrate (PPM)]]&gt;2, "4. Very high (&gt;2ppm)", IF(AllDataCorrected[[#This Row],[Nitrate (PPM)]]&gt;1, "3. High (1-2ppm)", IF(AllDataCorrected[[#This Row],[Nitrate (PPM)]]&gt;0.5, "2. Some evidence (0.5-1ppm)", IF(AllDataCorrected[[#This Row],[Nitrate (PPM)]]&gt;=0, "1. No evidence (&lt;0.5ppm)"))))</f>
        <v>3. High (1-2ppm)</v>
      </c>
      <c r="S641">
        <v>0.3</v>
      </c>
      <c r="T6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1">
        <v>0</v>
      </c>
      <c r="V641" t="s">
        <v>1905</v>
      </c>
    </row>
    <row r="642" spans="1:22" x14ac:dyDescent="0.25">
      <c r="A642" t="s">
        <v>1439</v>
      </c>
      <c r="B642" s="2">
        <v>45388</v>
      </c>
      <c r="C642" t="str" cm="1">
        <f t="array" ref="C6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2">
        <f>YEAR(AllDataCorrected[[#This Row],[Date]])</f>
        <v>2024</v>
      </c>
      <c r="F64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2" t="str">
        <f>_xlfn.XLOOKUP(AllDataCorrected[[#This Row],[Location Name]], Locations[Location Name],Locations[Group As])</f>
        <v>Site 2  :  Cross Leys culvert</v>
      </c>
      <c r="H642" t="e" vm="2">
        <f>_xlfn.XLOOKUP(AllDataCorrected[[#This Row],[Site Name]],LocationsKey[Site Name],LocationsKey[District])</f>
        <v>#VALUE!</v>
      </c>
      <c r="I642" t="e" vm="11">
        <f>_xlfn.XLOOKUP(AllDataCorrected[[#This Row],[Site Name]],LocationsKey[Site Name],LocationsKey[Town])</f>
        <v>#VALUE!</v>
      </c>
      <c r="J642" t="str">
        <f>_xlfn.XLOOKUP(AllDataCorrected[[#This Row],[Site Name]],LocationsKey[Site Name], LocationsKey[Waterway])</f>
        <v>Fosseway Brook</v>
      </c>
      <c r="K642" t="s">
        <v>1371</v>
      </c>
      <c r="L642">
        <f>_xlfn.XLOOKUP(AllDataCorrected[[#This Row],[Site Name]],Tables!$B$12:$B$78, Tables!C$12:C$78)</f>
        <v>52.092990199999988</v>
      </c>
      <c r="M642">
        <f>_xlfn.XLOOKUP(AllDataCorrected[[#This Row],[Site Name]],Tables!$B$12:$B$78, Tables!D$12:D$78)</f>
        <v>-1.6862810999999998</v>
      </c>
      <c r="N642" t="s">
        <v>66</v>
      </c>
      <c r="O642">
        <v>588</v>
      </c>
      <c r="P642">
        <v>14.1</v>
      </c>
      <c r="Q642">
        <v>2</v>
      </c>
      <c r="R642" t="str">
        <f>IF(AllDataCorrected[[#This Row],[Nitrate (PPM)]]&gt;2, "4. Very high (&gt;2ppm)", IF(AllDataCorrected[[#This Row],[Nitrate (PPM)]]&gt;1, "3. High (1-2ppm)", IF(AllDataCorrected[[#This Row],[Nitrate (PPM)]]&gt;0.5, "2. Some evidence (0.5-1ppm)", IF(AllDataCorrected[[#This Row],[Nitrate (PPM)]]&gt;=0, "1. No evidence (&lt;0.5ppm)"))))</f>
        <v>3. High (1-2ppm)</v>
      </c>
      <c r="S642">
        <v>0.3</v>
      </c>
      <c r="T6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42" t="s">
        <v>1435</v>
      </c>
    </row>
    <row r="643" spans="1:22" x14ac:dyDescent="0.25">
      <c r="A643" t="s">
        <v>1760</v>
      </c>
      <c r="B643" s="2">
        <v>45388</v>
      </c>
      <c r="C643" t="str" cm="1">
        <f t="array" ref="C6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3">
        <f>YEAR(AllDataCorrected[[#This Row],[Date]])</f>
        <v>2024</v>
      </c>
      <c r="F64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3" t="str">
        <f>_xlfn.XLOOKUP(AllDataCorrected[[#This Row],[Location Name]], Locations[Location Name],Locations[Group As])</f>
        <v>Site 3  :  Severn Trent Water processing plant outflow</v>
      </c>
      <c r="H643" t="e" vm="2">
        <f>_xlfn.XLOOKUP(AllDataCorrected[[#This Row],[Site Name]],LocationsKey[Site Name],LocationsKey[District])</f>
        <v>#VALUE!</v>
      </c>
      <c r="I643" t="e" vm="11">
        <f>_xlfn.XLOOKUP(AllDataCorrected[[#This Row],[Site Name]],LocationsKey[Site Name],LocationsKey[Town])</f>
        <v>#VALUE!</v>
      </c>
      <c r="J643" t="str">
        <f>_xlfn.XLOOKUP(AllDataCorrected[[#This Row],[Site Name]],LocationsKey[Site Name], LocationsKey[Waterway])</f>
        <v>Fosseway Brook</v>
      </c>
      <c r="K643" t="s">
        <v>1861</v>
      </c>
      <c r="L643">
        <f>_xlfn.XLOOKUP(AllDataCorrected[[#This Row],[Site Name]],Tables!$B$12:$B$78, Tables!C$12:C$78)</f>
        <v>52.094341024390218</v>
      </c>
      <c r="M643">
        <f>_xlfn.XLOOKUP(AllDataCorrected[[#This Row],[Site Name]],Tables!$B$12:$B$78, Tables!D$12:D$78)</f>
        <v>-1.6731015853658531</v>
      </c>
      <c r="N643" t="s">
        <v>29</v>
      </c>
      <c r="O643">
        <v>712</v>
      </c>
      <c r="P643">
        <v>13.1</v>
      </c>
      <c r="Q643">
        <v>5</v>
      </c>
      <c r="R643" t="str">
        <f>IF(AllDataCorrected[[#This Row],[Nitrate (PPM)]]&gt;2, "4. Very high (&gt;2ppm)", IF(AllDataCorrected[[#This Row],[Nitrate (PPM)]]&gt;1, "3. High (1-2ppm)", IF(AllDataCorrected[[#This Row],[Nitrate (PPM)]]&gt;0.5, "2. Some evidence (0.5-1ppm)", IF(AllDataCorrected[[#This Row],[Nitrate (PPM)]]&gt;=0, "1. No evidence (&lt;0.5ppm)"))))</f>
        <v>4. Very high (&gt;2ppm)</v>
      </c>
      <c r="S643">
        <v>2.5</v>
      </c>
      <c r="T6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3">
        <v>0</v>
      </c>
      <c r="V643" t="s">
        <v>1906</v>
      </c>
    </row>
    <row r="644" spans="1:22" x14ac:dyDescent="0.25">
      <c r="A644" t="s">
        <v>1438</v>
      </c>
      <c r="B644" s="2">
        <v>45388</v>
      </c>
      <c r="C644" t="str" cm="1">
        <f t="array" ref="C6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4">
        <f>YEAR(AllDataCorrected[[#This Row],[Date]])</f>
        <v>2024</v>
      </c>
      <c r="F64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4" t="str">
        <f>_xlfn.XLOOKUP(AllDataCorrected[[#This Row],[Location Name]], Locations[Location Name],Locations[Group As])</f>
        <v>Site 3  :  Severn Trent Water processing plant outflow</v>
      </c>
      <c r="H644" t="e" vm="2">
        <f>_xlfn.XLOOKUP(AllDataCorrected[[#This Row],[Site Name]],LocationsKey[Site Name],LocationsKey[District])</f>
        <v>#VALUE!</v>
      </c>
      <c r="I644" t="e" vm="11">
        <f>_xlfn.XLOOKUP(AllDataCorrected[[#This Row],[Site Name]],LocationsKey[Site Name],LocationsKey[Town])</f>
        <v>#VALUE!</v>
      </c>
      <c r="J644" t="str">
        <f>_xlfn.XLOOKUP(AllDataCorrected[[#This Row],[Site Name]],LocationsKey[Site Name], LocationsKey[Waterway])</f>
        <v>Fosseway Brook</v>
      </c>
      <c r="K644" t="s">
        <v>1368</v>
      </c>
      <c r="L644">
        <f>_xlfn.XLOOKUP(AllDataCorrected[[#This Row],[Site Name]],Tables!$B$12:$B$78, Tables!C$12:C$78)</f>
        <v>52.094341024390218</v>
      </c>
      <c r="M644">
        <f>_xlfn.XLOOKUP(AllDataCorrected[[#This Row],[Site Name]],Tables!$B$12:$B$78, Tables!D$12:D$78)</f>
        <v>-1.6731015853658531</v>
      </c>
      <c r="N644" t="s">
        <v>29</v>
      </c>
      <c r="O644">
        <v>712</v>
      </c>
      <c r="P644">
        <v>13.1</v>
      </c>
      <c r="Q644">
        <v>5</v>
      </c>
      <c r="R644" t="str">
        <f>IF(AllDataCorrected[[#This Row],[Nitrate (PPM)]]&gt;2, "4. Very high (&gt;2ppm)", IF(AllDataCorrected[[#This Row],[Nitrate (PPM)]]&gt;1, "3. High (1-2ppm)", IF(AllDataCorrected[[#This Row],[Nitrate (PPM)]]&gt;0.5, "2. Some evidence (0.5-1ppm)", IF(AllDataCorrected[[#This Row],[Nitrate (PPM)]]&gt;=0, "1. No evidence (&lt;0.5ppm)"))))</f>
        <v>4. Very high (&gt;2ppm)</v>
      </c>
      <c r="S644">
        <v>2.5</v>
      </c>
      <c r="T6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644" t="s">
        <v>1435</v>
      </c>
    </row>
    <row r="645" spans="1:22" x14ac:dyDescent="0.25">
      <c r="A645" t="s">
        <v>937</v>
      </c>
      <c r="B645" s="2">
        <v>45389</v>
      </c>
      <c r="C645" t="str" cm="1">
        <f t="array" ref="C6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5">
        <f>YEAR(AllDataCorrected[[#This Row],[Date]])</f>
        <v>2024</v>
      </c>
      <c r="E645" s="1">
        <v>0.4513888888888889</v>
      </c>
      <c r="F6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45" t="str">
        <f>_xlfn.XLOOKUP(AllDataCorrected[[#This Row],[Location Name]], Locations[Location Name],Locations[Group As])</f>
        <v>The Ford, Langley</v>
      </c>
      <c r="H645" t="e" vm="2">
        <f>_xlfn.XLOOKUP(AllDataCorrected[[#This Row],[Site Name]],LocationsKey[Site Name],LocationsKey[District])</f>
        <v>#VALUE!</v>
      </c>
      <c r="I645" t="str">
        <f>_xlfn.XLOOKUP(AllDataCorrected[[#This Row],[Site Name]],LocationsKey[Site Name],LocationsKey[Town])</f>
        <v>Langley</v>
      </c>
      <c r="J645" t="str">
        <f>_xlfn.XLOOKUP(AllDataCorrected[[#This Row],[Site Name]],LocationsKey[Site Name], LocationsKey[Waterway])</f>
        <v>Langley Ford</v>
      </c>
      <c r="K645" t="s">
        <v>557</v>
      </c>
      <c r="L645">
        <f>_xlfn.XLOOKUP(AllDataCorrected[[#This Row],[Site Name]],Tables!$B$12:$B$78, Tables!C$12:C$78)</f>
        <v>52.261724821428579</v>
      </c>
      <c r="M645">
        <f>_xlfn.XLOOKUP(AllDataCorrected[[#This Row],[Site Name]],Tables!$B$12:$B$78, Tables!D$12:D$78)</f>
        <v>-1.719408857142857</v>
      </c>
      <c r="N645" t="s">
        <v>29</v>
      </c>
      <c r="O645">
        <v>436</v>
      </c>
      <c r="P645">
        <v>11</v>
      </c>
      <c r="Q645">
        <v>0.5</v>
      </c>
      <c r="R645"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45">
        <v>0.73</v>
      </c>
      <c r="T6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5">
        <v>0.45</v>
      </c>
      <c r="V645" t="s">
        <v>938</v>
      </c>
    </row>
    <row r="646" spans="1:22" x14ac:dyDescent="0.25">
      <c r="A646" t="s">
        <v>944</v>
      </c>
      <c r="B646" s="2">
        <v>45389</v>
      </c>
      <c r="C646" t="str" cm="1">
        <f t="array" ref="C6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6">
        <f>YEAR(AllDataCorrected[[#This Row],[Date]])</f>
        <v>2024</v>
      </c>
      <c r="E646" s="1">
        <v>0.48958333333333331</v>
      </c>
      <c r="F6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46" t="str">
        <f>_xlfn.XLOOKUP(AllDataCorrected[[#This Row],[Location Name]], Locations[Location Name],Locations[Group As])</f>
        <v>Lucy's Mill Bridge</v>
      </c>
      <c r="H646" t="e" vm="2">
        <f>_xlfn.XLOOKUP(AllDataCorrected[[#This Row],[Site Name]],LocationsKey[Site Name],LocationsKey[District])</f>
        <v>#VALUE!</v>
      </c>
      <c r="I646" t="e" vm="7">
        <f>_xlfn.XLOOKUP(AllDataCorrected[[#This Row],[Site Name]],LocationsKey[Site Name],LocationsKey[Town])</f>
        <v>#VALUE!</v>
      </c>
      <c r="J646" t="str">
        <f>_xlfn.XLOOKUP(AllDataCorrected[[#This Row],[Site Name]],LocationsKey[Site Name], LocationsKey[Waterway])</f>
        <v>Avon</v>
      </c>
      <c r="K646" t="s">
        <v>216</v>
      </c>
      <c r="L646">
        <f>_xlfn.XLOOKUP(AllDataCorrected[[#This Row],[Site Name]],Tables!$B$12:$B$78, Tables!C$12:C$78)</f>
        <v>52.183699000000011</v>
      </c>
      <c r="M646">
        <f>_xlfn.XLOOKUP(AllDataCorrected[[#This Row],[Site Name]],Tables!$B$12:$B$78, Tables!D$12:D$78)</f>
        <v>-1.7078160000000004</v>
      </c>
      <c r="N646" t="s">
        <v>29</v>
      </c>
      <c r="P646">
        <v>13</v>
      </c>
      <c r="Q646">
        <v>5</v>
      </c>
      <c r="R646" t="str">
        <f>IF(AllDataCorrected[[#This Row],[Nitrate (PPM)]]&gt;2, "4. Very high (&gt;2ppm)", IF(AllDataCorrected[[#This Row],[Nitrate (PPM)]]&gt;1, "3. High (1-2ppm)", IF(AllDataCorrected[[#This Row],[Nitrate (PPM)]]&gt;0.5, "2. Some evidence (0.5-1ppm)", IF(AllDataCorrected[[#This Row],[Nitrate (PPM)]]&gt;=0, "1. No evidence (&lt;0.5ppm)"))))</f>
        <v>4. Very high (&gt;2ppm)</v>
      </c>
      <c r="S646">
        <v>0.26</v>
      </c>
      <c r="T6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6">
        <v>0.7</v>
      </c>
    </row>
    <row r="647" spans="1:22" x14ac:dyDescent="0.25">
      <c r="A647" t="s">
        <v>939</v>
      </c>
      <c r="B647" s="2">
        <v>45389</v>
      </c>
      <c r="C647" t="str" cm="1">
        <f t="array" ref="C6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7">
        <f>YEAR(AllDataCorrected[[#This Row],[Date]])</f>
        <v>2024</v>
      </c>
      <c r="E647" s="1">
        <v>0.57291666666666663</v>
      </c>
      <c r="F6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7" t="str">
        <f>_xlfn.XLOOKUP(AllDataCorrected[[#This Row],[Location Name]], Locations[Location Name],Locations[Group As])</f>
        <v>Clifford Chambers Mill Bridge</v>
      </c>
      <c r="H647" t="e" vm="2">
        <f>_xlfn.XLOOKUP(AllDataCorrected[[#This Row],[Site Name]],LocationsKey[Site Name],LocationsKey[District])</f>
        <v>#VALUE!</v>
      </c>
      <c r="I647" t="e" vm="12">
        <f>_xlfn.XLOOKUP(AllDataCorrected[[#This Row],[Site Name]],LocationsKey[Site Name],LocationsKey[Town])</f>
        <v>#VALUE!</v>
      </c>
      <c r="J647" t="str">
        <f>_xlfn.XLOOKUP(AllDataCorrected[[#This Row],[Site Name]],LocationsKey[Site Name], LocationsKey[Waterway])</f>
        <v>Stour</v>
      </c>
      <c r="K647" t="s">
        <v>263</v>
      </c>
      <c r="L647">
        <f>_xlfn.XLOOKUP(AllDataCorrected[[#This Row],[Site Name]],Tables!$B$12:$B$78, Tables!C$12:C$78)</f>
        <v>52.166358517241363</v>
      </c>
      <c r="M647">
        <f>_xlfn.XLOOKUP(AllDataCorrected[[#This Row],[Site Name]],Tables!$B$12:$B$78, Tables!D$12:D$78)</f>
        <v>-1.7080419310344837</v>
      </c>
      <c r="N647" t="s">
        <v>66</v>
      </c>
      <c r="O647">
        <v>617</v>
      </c>
      <c r="P647">
        <v>14.4</v>
      </c>
      <c r="Q647">
        <v>9</v>
      </c>
      <c r="R647" t="str">
        <f>IF(AllDataCorrected[[#This Row],[Nitrate (PPM)]]&gt;2, "4. Very high (&gt;2ppm)", IF(AllDataCorrected[[#This Row],[Nitrate (PPM)]]&gt;1, "3. High (1-2ppm)", IF(AllDataCorrected[[#This Row],[Nitrate (PPM)]]&gt;0.5, "2. Some evidence (0.5-1ppm)", IF(AllDataCorrected[[#This Row],[Nitrate (PPM)]]&gt;=0, "1. No evidence (&lt;0.5ppm)"))))</f>
        <v>4. Very high (&gt;2ppm)</v>
      </c>
      <c r="S647">
        <v>0.24</v>
      </c>
      <c r="T6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7">
        <v>1.25</v>
      </c>
      <c r="V647" t="s">
        <v>32</v>
      </c>
    </row>
    <row r="648" spans="1:22" x14ac:dyDescent="0.25">
      <c r="A648" t="s">
        <v>940</v>
      </c>
      <c r="B648" s="2">
        <v>45389</v>
      </c>
      <c r="C648" t="str" cm="1">
        <f t="array" ref="C6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8">
        <f>YEAR(AllDataCorrected[[#This Row],[Date]])</f>
        <v>2024</v>
      </c>
      <c r="E648" s="1">
        <v>0.61041666666666672</v>
      </c>
      <c r="F6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8" t="str">
        <f>_xlfn.XLOOKUP(AllDataCorrected[[#This Row],[Location Name]], Locations[Location Name],Locations[Group As])</f>
        <v>Walcot Lane, Bow Brook Ford</v>
      </c>
      <c r="H648" t="e" vm="17">
        <f>_xlfn.XLOOKUP(AllDataCorrected[[#This Row],[Site Name]],LocationsKey[Site Name],LocationsKey[District])</f>
        <v>#VALUE!</v>
      </c>
      <c r="I648" t="e" vm="18">
        <f>_xlfn.XLOOKUP(AllDataCorrected[[#This Row],[Site Name]],LocationsKey[Site Name],LocationsKey[Town])</f>
        <v>#VALUE!</v>
      </c>
      <c r="J648" t="str">
        <f>_xlfn.XLOOKUP(AllDataCorrected[[#This Row],[Site Name]],LocationsKey[Site Name], LocationsKey[Waterway])</f>
        <v>Bow Brook</v>
      </c>
      <c r="K648" t="s">
        <v>732</v>
      </c>
      <c r="L648">
        <f>_xlfn.XLOOKUP(AllDataCorrected[[#This Row],[Site Name]],Tables!$B$12:$B$78, Tables!C$12:C$78)</f>
        <v>52.130499999999998</v>
      </c>
      <c r="M648">
        <f>_xlfn.XLOOKUP(AllDataCorrected[[#This Row],[Site Name]],Tables!$B$12:$B$78, Tables!D$12:D$78)</f>
        <v>-2.0787</v>
      </c>
      <c r="N648" t="s">
        <v>23</v>
      </c>
      <c r="O648">
        <v>749</v>
      </c>
      <c r="P648">
        <v>13.2</v>
      </c>
      <c r="Q648">
        <v>5</v>
      </c>
      <c r="R648" t="str">
        <f>IF(AllDataCorrected[[#This Row],[Nitrate (PPM)]]&gt;2, "4. Very high (&gt;2ppm)", IF(AllDataCorrected[[#This Row],[Nitrate (PPM)]]&gt;1, "3. High (1-2ppm)", IF(AllDataCorrected[[#This Row],[Nitrate (PPM)]]&gt;0.5, "2. Some evidence (0.5-1ppm)", IF(AllDataCorrected[[#This Row],[Nitrate (PPM)]]&gt;=0, "1. No evidence (&lt;0.5ppm)"))))</f>
        <v>4. Very high (&gt;2ppm)</v>
      </c>
      <c r="S648">
        <v>0.8</v>
      </c>
      <c r="T6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8">
        <v>0.9</v>
      </c>
      <c r="V648" t="s">
        <v>941</v>
      </c>
    </row>
    <row r="649" spans="1:22" x14ac:dyDescent="0.25">
      <c r="A649" t="s">
        <v>942</v>
      </c>
      <c r="B649" s="2">
        <v>45389</v>
      </c>
      <c r="C649" t="str" cm="1">
        <f t="array" ref="C6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9">
        <f>YEAR(AllDataCorrected[[#This Row],[Date]])</f>
        <v>2024</v>
      </c>
      <c r="E649" s="1">
        <v>0.61805555555555558</v>
      </c>
      <c r="F6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9" t="str">
        <f>_xlfn.XLOOKUP(AllDataCorrected[[#This Row],[Location Name]], Locations[Location Name],Locations[Group As])</f>
        <v>Fell Mill Footbridge</v>
      </c>
      <c r="H649" t="e" vm="2">
        <f>_xlfn.XLOOKUP(AllDataCorrected[[#This Row],[Site Name]],LocationsKey[Site Name],LocationsKey[District])</f>
        <v>#VALUE!</v>
      </c>
      <c r="I649" t="e" vm="10">
        <f>_xlfn.XLOOKUP(AllDataCorrected[[#This Row],[Site Name]],LocationsKey[Site Name],LocationsKey[Town])</f>
        <v>#VALUE!</v>
      </c>
      <c r="J649" t="str">
        <f>_xlfn.XLOOKUP(AllDataCorrected[[#This Row],[Site Name]],LocationsKey[Site Name], LocationsKey[Waterway])</f>
        <v>Stour</v>
      </c>
      <c r="K649" t="s">
        <v>818</v>
      </c>
      <c r="L649">
        <f>_xlfn.XLOOKUP(AllDataCorrected[[#This Row],[Site Name]],Tables!$B$12:$B$78, Tables!C$12:C$78)</f>
        <v>52.067966827586183</v>
      </c>
      <c r="M649">
        <f>_xlfn.XLOOKUP(AllDataCorrected[[#This Row],[Site Name]],Tables!$B$12:$B$78, Tables!D$12:D$78)</f>
        <v>-1.6118101379310343</v>
      </c>
      <c r="N649" t="s">
        <v>29</v>
      </c>
      <c r="O649">
        <v>579</v>
      </c>
      <c r="P649">
        <v>12.5</v>
      </c>
      <c r="Q649">
        <v>2</v>
      </c>
      <c r="R649" t="str">
        <f>IF(AllDataCorrected[[#This Row],[Nitrate (PPM)]]&gt;2, "4. Very high (&gt;2ppm)", IF(AllDataCorrected[[#This Row],[Nitrate (PPM)]]&gt;1, "3. High (1-2ppm)", IF(AllDataCorrected[[#This Row],[Nitrate (PPM)]]&gt;0.5, "2. Some evidence (0.5-1ppm)", IF(AllDataCorrected[[#This Row],[Nitrate (PPM)]]&gt;=0, "1. No evidence (&lt;0.5ppm)"))))</f>
        <v>3. High (1-2ppm)</v>
      </c>
      <c r="S649">
        <v>0.22</v>
      </c>
      <c r="T6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9">
        <v>1.75</v>
      </c>
      <c r="V649" t="s">
        <v>943</v>
      </c>
    </row>
    <row r="650" spans="1:22" x14ac:dyDescent="0.25">
      <c r="A650" t="s">
        <v>945</v>
      </c>
      <c r="B650" s="2">
        <v>45390</v>
      </c>
      <c r="C650" t="str" cm="1">
        <f t="array" ref="C6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0">
        <f>YEAR(AllDataCorrected[[#This Row],[Date]])</f>
        <v>2024</v>
      </c>
      <c r="E650" s="1">
        <v>0.40555555555555556</v>
      </c>
      <c r="F6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0" t="str">
        <f>_xlfn.XLOOKUP(AllDataCorrected[[#This Row],[Location Name]], Locations[Location Name],Locations[Group As])</f>
        <v>Stour Stretton-on-Fosse Village</v>
      </c>
      <c r="H650" t="e" vm="2">
        <f>_xlfn.XLOOKUP(AllDataCorrected[[#This Row],[Site Name]],LocationsKey[Site Name],LocationsKey[District])</f>
        <v>#VALUE!</v>
      </c>
      <c r="I650" t="e" vm="14">
        <f>_xlfn.XLOOKUP(AllDataCorrected[[#This Row],[Site Name]],LocationsKey[Site Name],LocationsKey[Town])</f>
        <v>#VALUE!</v>
      </c>
      <c r="J650" t="str">
        <f>_xlfn.XLOOKUP(AllDataCorrected[[#This Row],[Site Name]],LocationsKey[Site Name], LocationsKey[Waterway])</f>
        <v>Stour</v>
      </c>
      <c r="K650" t="s">
        <v>544</v>
      </c>
      <c r="L650">
        <f>_xlfn.XLOOKUP(AllDataCorrected[[#This Row],[Site Name]],Tables!$B$12:$B$78, Tables!C$12:C$78)</f>
        <v>52.046517558823524</v>
      </c>
      <c r="M650">
        <f>_xlfn.XLOOKUP(AllDataCorrected[[#This Row],[Site Name]],Tables!$B$12:$B$78, Tables!D$12:D$78)</f>
        <v>-1.6734143529411767</v>
      </c>
      <c r="N650" t="s">
        <v>66</v>
      </c>
      <c r="O650">
        <v>610</v>
      </c>
      <c r="P650">
        <v>11.4</v>
      </c>
      <c r="Q650">
        <v>2</v>
      </c>
      <c r="R650" t="str">
        <f>IF(AllDataCorrected[[#This Row],[Nitrate (PPM)]]&gt;2, "4. Very high (&gt;2ppm)", IF(AllDataCorrected[[#This Row],[Nitrate (PPM)]]&gt;1, "3. High (1-2ppm)", IF(AllDataCorrected[[#This Row],[Nitrate (PPM)]]&gt;0.5, "2. Some evidence (0.5-1ppm)", IF(AllDataCorrected[[#This Row],[Nitrate (PPM)]]&gt;=0, "1. No evidence (&lt;0.5ppm)"))))</f>
        <v>3. High (1-2ppm)</v>
      </c>
      <c r="S650">
        <v>1.28</v>
      </c>
      <c r="T6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0">
        <v>0.2</v>
      </c>
    </row>
    <row r="651" spans="1:22" x14ac:dyDescent="0.25">
      <c r="A651" t="s">
        <v>946</v>
      </c>
      <c r="B651" s="2">
        <v>45390</v>
      </c>
      <c r="C651" t="str" cm="1">
        <f t="array" ref="C6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1">
        <f>YEAR(AllDataCorrected[[#This Row],[Date]])</f>
        <v>2024</v>
      </c>
      <c r="E651" s="1">
        <v>0.41736111111111113</v>
      </c>
      <c r="F6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1" t="str">
        <f>_xlfn.XLOOKUP(AllDataCorrected[[#This Row],[Location Name]], Locations[Location Name],Locations[Group As])</f>
        <v>Stour Stretton-on-Fosse Sewage Works</v>
      </c>
      <c r="H651" t="e" vm="2">
        <f>_xlfn.XLOOKUP(AllDataCorrected[[#This Row],[Site Name]],LocationsKey[Site Name],LocationsKey[District])</f>
        <v>#VALUE!</v>
      </c>
      <c r="I651" t="e" vm="14">
        <f>_xlfn.XLOOKUP(AllDataCorrected[[#This Row],[Site Name]],LocationsKey[Site Name],LocationsKey[Town])</f>
        <v>#VALUE!</v>
      </c>
      <c r="J651" t="str">
        <f>_xlfn.XLOOKUP(AllDataCorrected[[#This Row],[Site Name]],LocationsKey[Site Name], LocationsKey[Waterway])</f>
        <v>Stour</v>
      </c>
      <c r="K651" t="s">
        <v>335</v>
      </c>
      <c r="L651">
        <f>_xlfn.XLOOKUP(AllDataCorrected[[#This Row],[Site Name]],Tables!$B$12:$B$78, Tables!C$12:C$78)</f>
        <v>52.045653647058806</v>
      </c>
      <c r="M651">
        <f>_xlfn.XLOOKUP(AllDataCorrected[[#This Row],[Site Name]],Tables!$B$12:$B$78, Tables!D$12:D$78)</f>
        <v>-1.6719221470588235</v>
      </c>
      <c r="N651" t="s">
        <v>29</v>
      </c>
      <c r="O651">
        <v>677</v>
      </c>
      <c r="P651">
        <v>11.4</v>
      </c>
      <c r="Q651">
        <v>2</v>
      </c>
      <c r="R651" t="str">
        <f>IF(AllDataCorrected[[#This Row],[Nitrate (PPM)]]&gt;2, "4. Very high (&gt;2ppm)", IF(AllDataCorrected[[#This Row],[Nitrate (PPM)]]&gt;1, "3. High (1-2ppm)", IF(AllDataCorrected[[#This Row],[Nitrate (PPM)]]&gt;0.5, "2. Some evidence (0.5-1ppm)", IF(AllDataCorrected[[#This Row],[Nitrate (PPM)]]&gt;=0, "1. No evidence (&lt;0.5ppm)"))))</f>
        <v>3. High (1-2ppm)</v>
      </c>
      <c r="S651">
        <v>2.5</v>
      </c>
      <c r="T6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1">
        <v>0.3</v>
      </c>
    </row>
    <row r="652" spans="1:22" x14ac:dyDescent="0.25">
      <c r="A652" t="s">
        <v>947</v>
      </c>
      <c r="B652" s="2">
        <v>45390</v>
      </c>
      <c r="C652" t="str" cm="1">
        <f t="array" ref="C6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2">
        <f>YEAR(AllDataCorrected[[#This Row],[Date]])</f>
        <v>2024</v>
      </c>
      <c r="E652" s="1">
        <v>0.60416666666666663</v>
      </c>
      <c r="F6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2" t="str">
        <f>_xlfn.XLOOKUP(AllDataCorrected[[#This Row],[Location Name]], Locations[Location Name],Locations[Group As])</f>
        <v>Swiffen Bank</v>
      </c>
      <c r="H652" t="e" vm="2">
        <f>_xlfn.XLOOKUP(AllDataCorrected[[#This Row],[Site Name]],LocationsKey[Site Name],LocationsKey[District])</f>
        <v>#VALUE!</v>
      </c>
      <c r="I652" t="e" vm="13">
        <f>_xlfn.XLOOKUP(AllDataCorrected[[#This Row],[Site Name]],LocationsKey[Site Name],LocationsKey[Town])</f>
        <v>#VALUE!</v>
      </c>
      <c r="J652" t="str">
        <f>_xlfn.XLOOKUP(AllDataCorrected[[#This Row],[Site Name]],LocationsKey[Site Name], LocationsKey[Waterway])</f>
        <v>Avon</v>
      </c>
      <c r="K652" t="s">
        <v>284</v>
      </c>
      <c r="L652">
        <f>_xlfn.XLOOKUP(AllDataCorrected[[#This Row],[Site Name]],Tables!$B$12:$B$78, Tables!C$12:C$78)</f>
        <v>52.206446825000015</v>
      </c>
      <c r="M652">
        <f>_xlfn.XLOOKUP(AllDataCorrected[[#This Row],[Site Name]],Tables!$B$12:$B$78, Tables!D$12:D$78)</f>
        <v>-1.6541684000000003</v>
      </c>
      <c r="N652" t="s">
        <v>29</v>
      </c>
      <c r="O652">
        <v>562</v>
      </c>
      <c r="P652">
        <v>15.5</v>
      </c>
      <c r="Q652">
        <v>5</v>
      </c>
      <c r="R652" t="str">
        <f>IF(AllDataCorrected[[#This Row],[Nitrate (PPM)]]&gt;2, "4. Very high (&gt;2ppm)", IF(AllDataCorrected[[#This Row],[Nitrate (PPM)]]&gt;1, "3. High (1-2ppm)", IF(AllDataCorrected[[#This Row],[Nitrate (PPM)]]&gt;0.5, "2. Some evidence (0.5-1ppm)", IF(AllDataCorrected[[#This Row],[Nitrate (PPM)]]&gt;=0, "1. No evidence (&lt;0.5ppm)"))))</f>
        <v>4. Very high (&gt;2ppm)</v>
      </c>
      <c r="S652">
        <v>0.49</v>
      </c>
      <c r="T6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2">
        <v>0.5</v>
      </c>
      <c r="V652" t="s">
        <v>948</v>
      </c>
    </row>
    <row r="653" spans="1:22" x14ac:dyDescent="0.25">
      <c r="A653" t="s">
        <v>949</v>
      </c>
      <c r="B653" s="2">
        <v>45390</v>
      </c>
      <c r="C653" t="str" cm="1">
        <f t="array" ref="C6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3">
        <f>YEAR(AllDataCorrected[[#This Row],[Date]])</f>
        <v>2024</v>
      </c>
      <c r="E653" s="1">
        <v>0.625</v>
      </c>
      <c r="F6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3" t="str">
        <f>_xlfn.XLOOKUP(AllDataCorrected[[#This Row],[Location Name]], Locations[Location Name],Locations[Group As])</f>
        <v>Alveston Weir</v>
      </c>
      <c r="H653" t="e" vm="2">
        <f>_xlfn.XLOOKUP(AllDataCorrected[[#This Row],[Site Name]],LocationsKey[Site Name],LocationsKey[District])</f>
        <v>#VALUE!</v>
      </c>
      <c r="I653" t="e" vm="13">
        <f>_xlfn.XLOOKUP(AllDataCorrected[[#This Row],[Site Name]],LocationsKey[Site Name],LocationsKey[Town])</f>
        <v>#VALUE!</v>
      </c>
      <c r="J653" t="str">
        <f>_xlfn.XLOOKUP(AllDataCorrected[[#This Row],[Site Name]],LocationsKey[Site Name], LocationsKey[Waterway])</f>
        <v>Avon</v>
      </c>
      <c r="K653" t="s">
        <v>286</v>
      </c>
      <c r="L653">
        <f>_xlfn.XLOOKUP(AllDataCorrected[[#This Row],[Site Name]],Tables!$B$12:$B$78, Tables!C$12:C$78)</f>
        <v>52.212366690476216</v>
      </c>
      <c r="M653">
        <f>_xlfn.XLOOKUP(AllDataCorrected[[#This Row],[Site Name]],Tables!$B$12:$B$78, Tables!D$12:D$78)</f>
        <v>-1.6602567619047619</v>
      </c>
      <c r="N653" t="s">
        <v>29</v>
      </c>
      <c r="O653">
        <v>557</v>
      </c>
      <c r="P653">
        <v>13.6</v>
      </c>
      <c r="Q653">
        <v>5</v>
      </c>
      <c r="R653" t="str">
        <f>IF(AllDataCorrected[[#This Row],[Nitrate (PPM)]]&gt;2, "4. Very high (&gt;2ppm)", IF(AllDataCorrected[[#This Row],[Nitrate (PPM)]]&gt;1, "3. High (1-2ppm)", IF(AllDataCorrected[[#This Row],[Nitrate (PPM)]]&gt;0.5, "2. Some evidence (0.5-1ppm)", IF(AllDataCorrected[[#This Row],[Nitrate (PPM)]]&gt;=0, "1. No evidence (&lt;0.5ppm)"))))</f>
        <v>4. Very high (&gt;2ppm)</v>
      </c>
      <c r="S653">
        <v>0.42</v>
      </c>
      <c r="T6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3">
        <v>0</v>
      </c>
      <c r="V653" t="s">
        <v>950</v>
      </c>
    </row>
    <row r="654" spans="1:22" x14ac:dyDescent="0.25">
      <c r="A654" t="s">
        <v>951</v>
      </c>
      <c r="B654" s="2">
        <v>45390</v>
      </c>
      <c r="C654" t="str" cm="1">
        <f t="array" ref="C6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4">
        <f>YEAR(AllDataCorrected[[#This Row],[Date]])</f>
        <v>2024</v>
      </c>
      <c r="E654" s="1">
        <v>0.73611111111111116</v>
      </c>
      <c r="F6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4" t="str">
        <f>_xlfn.XLOOKUP(AllDataCorrected[[#This Row],[Location Name]], Locations[Location Name],Locations[Group As])</f>
        <v>Sherbourne Brook 1</v>
      </c>
      <c r="H654" t="e" vm="2">
        <f>_xlfn.XLOOKUP(AllDataCorrected[[#This Row],[Site Name]],LocationsKey[Site Name],LocationsKey[District])</f>
        <v>#VALUE!</v>
      </c>
      <c r="I654" t="e" vm="16">
        <f>_xlfn.XLOOKUP(AllDataCorrected[[#This Row],[Site Name]],LocationsKey[Site Name],LocationsKey[Town])</f>
        <v>#VALUE!</v>
      </c>
      <c r="J654" t="str">
        <f>_xlfn.XLOOKUP(AllDataCorrected[[#This Row],[Site Name]],LocationsKey[Site Name], LocationsKey[Waterway])</f>
        <v>Sherbourne Brook</v>
      </c>
      <c r="K654" t="s">
        <v>570</v>
      </c>
      <c r="L654">
        <f>_xlfn.XLOOKUP(AllDataCorrected[[#This Row],[Site Name]],Tables!$B$12:$B$78, Tables!C$12:C$78)</f>
        <v>52.252500000000033</v>
      </c>
      <c r="M654">
        <f>_xlfn.XLOOKUP(AllDataCorrected[[#This Row],[Site Name]],Tables!$B$12:$B$78, Tables!D$12:D$78)</f>
        <v>-1.6685000000000012</v>
      </c>
      <c r="N654" t="s">
        <v>23</v>
      </c>
      <c r="O654">
        <v>962</v>
      </c>
      <c r="P654">
        <v>12.6</v>
      </c>
      <c r="Q654">
        <v>5</v>
      </c>
      <c r="R654" t="str">
        <f>IF(AllDataCorrected[[#This Row],[Nitrate (PPM)]]&gt;2, "4. Very high (&gt;2ppm)", IF(AllDataCorrected[[#This Row],[Nitrate (PPM)]]&gt;1, "3. High (1-2ppm)", IF(AllDataCorrected[[#This Row],[Nitrate (PPM)]]&gt;0.5, "2. Some evidence (0.5-1ppm)", IF(AllDataCorrected[[#This Row],[Nitrate (PPM)]]&gt;=0, "1. No evidence (&lt;0.5ppm)"))))</f>
        <v>4. Very high (&gt;2ppm)</v>
      </c>
      <c r="S654">
        <v>0.68</v>
      </c>
      <c r="T6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4">
        <v>0.2</v>
      </c>
    </row>
    <row r="655" spans="1:22" x14ac:dyDescent="0.25">
      <c r="A655" t="s">
        <v>952</v>
      </c>
      <c r="B655" s="2">
        <v>45390</v>
      </c>
      <c r="C655" t="str" cm="1">
        <f t="array" ref="C6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5">
        <f>YEAR(AllDataCorrected[[#This Row],[Date]])</f>
        <v>2024</v>
      </c>
      <c r="E655" s="1">
        <v>0.74305555555555558</v>
      </c>
      <c r="F6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5" t="str">
        <f>_xlfn.XLOOKUP(AllDataCorrected[[#This Row],[Location Name]], Locations[Location Name],Locations[Group As])</f>
        <v>Bell Brook 1</v>
      </c>
      <c r="H655" t="e" vm="2">
        <f>_xlfn.XLOOKUP(AllDataCorrected[[#This Row],[Site Name]],LocationsKey[Site Name],LocationsKey[District])</f>
        <v>#VALUE!</v>
      </c>
      <c r="I655" t="e" vm="15">
        <f>_xlfn.XLOOKUP(AllDataCorrected[[#This Row],[Site Name]],LocationsKey[Site Name],LocationsKey[Town])</f>
        <v>#VALUE!</v>
      </c>
      <c r="J655" t="str">
        <f>_xlfn.XLOOKUP(AllDataCorrected[[#This Row],[Site Name]],LocationsKey[Site Name], LocationsKey[Waterway])</f>
        <v>Bell Brook</v>
      </c>
      <c r="K655" t="s">
        <v>534</v>
      </c>
      <c r="L655">
        <f>_xlfn.XLOOKUP(AllDataCorrected[[#This Row],[Site Name]],Tables!$B$12:$B$78, Tables!C$12:C$78)</f>
        <v>52.24489999999998</v>
      </c>
      <c r="M655">
        <f>_xlfn.XLOOKUP(AllDataCorrected[[#This Row],[Site Name]],Tables!$B$12:$B$78, Tables!D$12:D$78)</f>
        <v>-1.6617000000000013</v>
      </c>
      <c r="N655" t="s">
        <v>23</v>
      </c>
      <c r="O655">
        <v>643</v>
      </c>
      <c r="P655">
        <v>12.5</v>
      </c>
      <c r="Q655">
        <v>5</v>
      </c>
      <c r="R655" t="str">
        <f>IF(AllDataCorrected[[#This Row],[Nitrate (PPM)]]&gt;2, "4. Very high (&gt;2ppm)", IF(AllDataCorrected[[#This Row],[Nitrate (PPM)]]&gt;1, "3. High (1-2ppm)", IF(AllDataCorrected[[#This Row],[Nitrate (PPM)]]&gt;0.5, "2. Some evidence (0.5-1ppm)", IF(AllDataCorrected[[#This Row],[Nitrate (PPM)]]&gt;=0, "1. No evidence (&lt;0.5ppm)"))))</f>
        <v>4. Very high (&gt;2ppm)</v>
      </c>
      <c r="S655">
        <v>0.12</v>
      </c>
      <c r="T6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5">
        <v>0.2</v>
      </c>
    </row>
    <row r="656" spans="1:22" x14ac:dyDescent="0.25">
      <c r="A656" t="s">
        <v>953</v>
      </c>
      <c r="B656" s="2">
        <v>45391</v>
      </c>
      <c r="C656" t="str" cm="1">
        <f t="array" ref="C6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6">
        <f>YEAR(AllDataCorrected[[#This Row],[Date]])</f>
        <v>2024</v>
      </c>
      <c r="E656" s="1">
        <v>0.61250000000000004</v>
      </c>
      <c r="F6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6" t="str">
        <f>_xlfn.XLOOKUP(AllDataCorrected[[#This Row],[Location Name]], Locations[Location Name],Locations[Group As])</f>
        <v>Abbey Mill</v>
      </c>
      <c r="H656" t="e" vm="1">
        <f>_xlfn.XLOOKUP(AllDataCorrected[[#This Row],[Site Name]],LocationsKey[Site Name],LocationsKey[District])</f>
        <v>#VALUE!</v>
      </c>
      <c r="I656" t="e" vm="1">
        <f>_xlfn.XLOOKUP(AllDataCorrected[[#This Row],[Site Name]],LocationsKey[Site Name],LocationsKey[Town])</f>
        <v>#VALUE!</v>
      </c>
      <c r="J656" t="str">
        <f>_xlfn.XLOOKUP(AllDataCorrected[[#This Row],[Site Name]],LocationsKey[Site Name], LocationsKey[Waterway])</f>
        <v>Avon</v>
      </c>
      <c r="K656" t="s">
        <v>25</v>
      </c>
      <c r="L656">
        <f>_xlfn.XLOOKUP(AllDataCorrected[[#This Row],[Site Name]],Tables!$B$12:$B$78, Tables!C$12:C$78)</f>
        <v>51.991389555555564</v>
      </c>
      <c r="M656">
        <f>_xlfn.XLOOKUP(AllDataCorrected[[#This Row],[Site Name]],Tables!$B$12:$B$78, Tables!D$12:D$78)</f>
        <v>-2.1620794000000005</v>
      </c>
      <c r="N656" t="s">
        <v>23</v>
      </c>
      <c r="O656">
        <v>682</v>
      </c>
      <c r="P656">
        <v>12.1</v>
      </c>
      <c r="Q656">
        <v>10</v>
      </c>
      <c r="R656" t="str">
        <f>IF(AllDataCorrected[[#This Row],[Nitrate (PPM)]]&gt;2, "4. Very high (&gt;2ppm)", IF(AllDataCorrected[[#This Row],[Nitrate (PPM)]]&gt;1, "3. High (1-2ppm)", IF(AllDataCorrected[[#This Row],[Nitrate (PPM)]]&gt;0.5, "2. Some evidence (0.5-1ppm)", IF(AllDataCorrected[[#This Row],[Nitrate (PPM)]]&gt;=0, "1. No evidence (&lt;0.5ppm)"))))</f>
        <v>4. Very high (&gt;2ppm)</v>
      </c>
      <c r="S656">
        <v>0.5</v>
      </c>
      <c r="T6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6">
        <v>2.5</v>
      </c>
      <c r="V656" t="s">
        <v>954</v>
      </c>
    </row>
    <row r="657" spans="1:22" x14ac:dyDescent="0.25">
      <c r="A657" t="s">
        <v>955</v>
      </c>
      <c r="B657" s="2">
        <v>45393</v>
      </c>
      <c r="C657" t="str" cm="1">
        <f t="array" ref="C6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7">
        <f>YEAR(AllDataCorrected[[#This Row],[Date]])</f>
        <v>2024</v>
      </c>
      <c r="E657" s="1">
        <v>0.4375</v>
      </c>
      <c r="F6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7" t="str">
        <f>_xlfn.XLOOKUP(AllDataCorrected[[#This Row],[Location Name]], Locations[Location Name],Locations[Group As])</f>
        <v>Swilgate</v>
      </c>
      <c r="H657" t="e" vm="1">
        <f>_xlfn.XLOOKUP(AllDataCorrected[[#This Row],[Site Name]],LocationsKey[Site Name],LocationsKey[District])</f>
        <v>#VALUE!</v>
      </c>
      <c r="I657" t="e" vm="1">
        <f>_xlfn.XLOOKUP(AllDataCorrected[[#This Row],[Site Name]],LocationsKey[Site Name],LocationsKey[Town])</f>
        <v>#VALUE!</v>
      </c>
      <c r="J657" t="str">
        <f>_xlfn.XLOOKUP(AllDataCorrected[[#This Row],[Site Name]],LocationsKey[Site Name], LocationsKey[Waterway])</f>
        <v>Swilgate</v>
      </c>
      <c r="K657" t="s">
        <v>84</v>
      </c>
      <c r="L657">
        <f>_xlfn.XLOOKUP(AllDataCorrected[[#This Row],[Site Name]],Tables!$B$12:$B$78, Tables!C$12:C$78)</f>
        <v>51.9885442</v>
      </c>
      <c r="M657">
        <f>_xlfn.XLOOKUP(AllDataCorrected[[#This Row],[Site Name]],Tables!$B$12:$B$78, Tables!D$12:D$78)</f>
        <v>-2.1639010000000001</v>
      </c>
      <c r="N657" t="s">
        <v>23</v>
      </c>
      <c r="O657">
        <v>774</v>
      </c>
      <c r="P657">
        <v>13.2</v>
      </c>
      <c r="Q657">
        <v>3</v>
      </c>
      <c r="R657" t="str">
        <f>IF(AllDataCorrected[[#This Row],[Nitrate (PPM)]]&gt;2, "4. Very high (&gt;2ppm)", IF(AllDataCorrected[[#This Row],[Nitrate (PPM)]]&gt;1, "3. High (1-2ppm)", IF(AllDataCorrected[[#This Row],[Nitrate (PPM)]]&gt;0.5, "2. Some evidence (0.5-1ppm)", IF(AllDataCorrected[[#This Row],[Nitrate (PPM)]]&gt;=0, "1. No evidence (&lt;0.5ppm)"))))</f>
        <v>4. Very high (&gt;2ppm)</v>
      </c>
      <c r="S657">
        <v>0.25</v>
      </c>
      <c r="T6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7">
        <v>2</v>
      </c>
      <c r="V657" t="s">
        <v>270</v>
      </c>
    </row>
    <row r="658" spans="1:22" x14ac:dyDescent="0.25">
      <c r="A658" t="s">
        <v>956</v>
      </c>
      <c r="B658" s="2">
        <v>45393</v>
      </c>
      <c r="C658" t="str" cm="1">
        <f t="array" ref="C6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8">
        <f>YEAR(AllDataCorrected[[#This Row],[Date]])</f>
        <v>2024</v>
      </c>
      <c r="E658" s="1">
        <v>0.45833333333333331</v>
      </c>
      <c r="F6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8" t="str">
        <f>_xlfn.XLOOKUP(AllDataCorrected[[#This Row],[Location Name]], Locations[Location Name],Locations[Group As])</f>
        <v>Stour Willington</v>
      </c>
      <c r="H658" t="e" vm="2">
        <f>_xlfn.XLOOKUP(AllDataCorrected[[#This Row],[Site Name]],LocationsKey[Site Name],LocationsKey[District])</f>
        <v>#VALUE!</v>
      </c>
      <c r="I658" t="str">
        <f>_xlfn.XLOOKUP(AllDataCorrected[[#This Row],[Site Name]],LocationsKey[Site Name],LocationsKey[Town])</f>
        <v>Willington</v>
      </c>
      <c r="J658" t="str">
        <f>_xlfn.XLOOKUP(AllDataCorrected[[#This Row],[Site Name]],LocationsKey[Site Name], LocationsKey[Waterway])</f>
        <v>Stour</v>
      </c>
      <c r="K658" t="s">
        <v>517</v>
      </c>
      <c r="L658">
        <f>_xlfn.XLOOKUP(AllDataCorrected[[#This Row],[Site Name]],Tables!$B$12:$B$78, Tables!C$12:C$78)</f>
        <v>52.053154375000005</v>
      </c>
      <c r="M658">
        <f>_xlfn.XLOOKUP(AllDataCorrected[[#This Row],[Site Name]],Tables!$B$12:$B$78, Tables!D$12:D$78)</f>
        <v>-1.6191991562500001</v>
      </c>
      <c r="N658" t="s">
        <v>23</v>
      </c>
      <c r="O658">
        <v>579</v>
      </c>
      <c r="P658">
        <v>14.1</v>
      </c>
      <c r="Q658">
        <v>2</v>
      </c>
      <c r="R658" t="str">
        <f>IF(AllDataCorrected[[#This Row],[Nitrate (PPM)]]&gt;2, "4. Very high (&gt;2ppm)", IF(AllDataCorrected[[#This Row],[Nitrate (PPM)]]&gt;1, "3. High (1-2ppm)", IF(AllDataCorrected[[#This Row],[Nitrate (PPM)]]&gt;0.5, "2. Some evidence (0.5-1ppm)", IF(AllDataCorrected[[#This Row],[Nitrate (PPM)]]&gt;=0, "1. No evidence (&lt;0.5ppm)"))))</f>
        <v>3. High (1-2ppm)</v>
      </c>
      <c r="S658">
        <v>0.24</v>
      </c>
      <c r="T6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8">
        <v>0.5</v>
      </c>
    </row>
    <row r="659" spans="1:22" x14ac:dyDescent="0.25">
      <c r="A659" t="s">
        <v>957</v>
      </c>
      <c r="B659" s="2">
        <v>45393</v>
      </c>
      <c r="C659" t="str" cm="1">
        <f t="array" ref="C6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9">
        <f>YEAR(AllDataCorrected[[#This Row],[Date]])</f>
        <v>2024</v>
      </c>
      <c r="E659" s="1">
        <v>0.54374999999999996</v>
      </c>
      <c r="F6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9" t="str">
        <f>_xlfn.XLOOKUP(AllDataCorrected[[#This Row],[Location Name]], Locations[Location Name],Locations[Group As])</f>
        <v>Carrant Mitton Path</v>
      </c>
      <c r="H659" t="e" vm="1">
        <f>_xlfn.XLOOKUP(AllDataCorrected[[#This Row],[Site Name]],LocationsKey[Site Name],LocationsKey[District])</f>
        <v>#VALUE!</v>
      </c>
      <c r="I659" t="e" vm="1">
        <f>_xlfn.XLOOKUP(AllDataCorrected[[#This Row],[Site Name]],LocationsKey[Site Name],LocationsKey[Town])</f>
        <v>#VALUE!</v>
      </c>
      <c r="J659" t="str">
        <f>_xlfn.XLOOKUP(AllDataCorrected[[#This Row],[Site Name]],LocationsKey[Site Name], LocationsKey[Waterway])</f>
        <v>Carrant</v>
      </c>
      <c r="K659" t="s">
        <v>958</v>
      </c>
      <c r="L659">
        <f>_xlfn.XLOOKUP(AllDataCorrected[[#This Row],[Site Name]],Tables!$B$12:$B$78, Tables!C$12:C$78)</f>
        <v>51.999946066666674</v>
      </c>
      <c r="M659">
        <f>_xlfn.XLOOKUP(AllDataCorrected[[#This Row],[Site Name]],Tables!$B$12:$B$78, Tables!D$12:D$78)</f>
        <v>-2.1414862000000006</v>
      </c>
      <c r="N659" t="s">
        <v>23</v>
      </c>
      <c r="O659">
        <v>696</v>
      </c>
      <c r="P659">
        <v>14.6</v>
      </c>
      <c r="Q659">
        <v>6</v>
      </c>
      <c r="R659" t="str">
        <f>IF(AllDataCorrected[[#This Row],[Nitrate (PPM)]]&gt;2, "4. Very high (&gt;2ppm)", IF(AllDataCorrected[[#This Row],[Nitrate (PPM)]]&gt;1, "3. High (1-2ppm)", IF(AllDataCorrected[[#This Row],[Nitrate (PPM)]]&gt;0.5, "2. Some evidence (0.5-1ppm)", IF(AllDataCorrected[[#This Row],[Nitrate (PPM)]]&gt;=0, "1. No evidence (&lt;0.5ppm)"))))</f>
        <v>4. Very high (&gt;2ppm)</v>
      </c>
      <c r="S659">
        <v>0.47</v>
      </c>
      <c r="T6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9">
        <v>0.5</v>
      </c>
    </row>
    <row r="660" spans="1:22" x14ac:dyDescent="0.25">
      <c r="A660" t="s">
        <v>959</v>
      </c>
      <c r="B660" s="2">
        <v>45393</v>
      </c>
      <c r="C660" t="str" cm="1">
        <f t="array" ref="C6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0">
        <f>YEAR(AllDataCorrected[[#This Row],[Date]])</f>
        <v>2024</v>
      </c>
      <c r="E660" s="1">
        <v>0.56597222222222221</v>
      </c>
      <c r="F6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0" t="str">
        <f>_xlfn.XLOOKUP(AllDataCorrected[[#This Row],[Location Name]], Locations[Location Name],Locations[Group As])</f>
        <v>Carrant M5 Bridge</v>
      </c>
      <c r="H660" t="e" vm="1">
        <f>_xlfn.XLOOKUP(AllDataCorrected[[#This Row],[Site Name]],LocationsKey[Site Name],LocationsKey[District])</f>
        <v>#VALUE!</v>
      </c>
      <c r="I660" t="e" vm="1">
        <f>_xlfn.XLOOKUP(AllDataCorrected[[#This Row],[Site Name]],LocationsKey[Site Name],LocationsKey[Town])</f>
        <v>#VALUE!</v>
      </c>
      <c r="J660" t="str">
        <f>_xlfn.XLOOKUP(AllDataCorrected[[#This Row],[Site Name]],LocationsKey[Site Name], LocationsKey[Waterway])</f>
        <v>Carrant</v>
      </c>
      <c r="K660" t="s">
        <v>960</v>
      </c>
      <c r="L660">
        <f>_xlfn.XLOOKUP(AllDataCorrected[[#This Row],[Site Name]],Tables!$B$12:$B$78, Tables!C$12:C$78)</f>
        <v>52.011600000000001</v>
      </c>
      <c r="M660">
        <f>_xlfn.XLOOKUP(AllDataCorrected[[#This Row],[Site Name]],Tables!$B$12:$B$78, Tables!D$12:D$78)</f>
        <v>-2.1206</v>
      </c>
      <c r="N660" t="s">
        <v>23</v>
      </c>
      <c r="O660">
        <v>715</v>
      </c>
      <c r="P660">
        <v>15.6</v>
      </c>
      <c r="Q660">
        <v>9</v>
      </c>
      <c r="R660" t="str">
        <f>IF(AllDataCorrected[[#This Row],[Nitrate (PPM)]]&gt;2, "4. Very high (&gt;2ppm)", IF(AllDataCorrected[[#This Row],[Nitrate (PPM)]]&gt;1, "3. High (1-2ppm)", IF(AllDataCorrected[[#This Row],[Nitrate (PPM)]]&gt;0.5, "2. Some evidence (0.5-1ppm)", IF(AllDataCorrected[[#This Row],[Nitrate (PPM)]]&gt;=0, "1. No evidence (&lt;0.5ppm)"))))</f>
        <v>4. Very high (&gt;2ppm)</v>
      </c>
      <c r="S660">
        <v>0.3</v>
      </c>
      <c r="T6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0">
        <v>0.5</v>
      </c>
    </row>
    <row r="661" spans="1:22" x14ac:dyDescent="0.25">
      <c r="A661" t="s">
        <v>962</v>
      </c>
      <c r="B661" s="2">
        <v>45393</v>
      </c>
      <c r="C661" t="str" cm="1">
        <f t="array" ref="C6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1">
        <f>YEAR(AllDataCorrected[[#This Row],[Date]])</f>
        <v>2024</v>
      </c>
      <c r="E661" s="1">
        <v>0.66666666666666663</v>
      </c>
      <c r="F6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1" t="str">
        <f>_xlfn.XLOOKUP(AllDataCorrected[[#This Row],[Location Name]], Locations[Location Name],Locations[Group As])</f>
        <v>Stour Newbold Mill</v>
      </c>
      <c r="H661" t="e" vm="2">
        <f>_xlfn.XLOOKUP(AllDataCorrected[[#This Row],[Site Name]],LocationsKey[Site Name],LocationsKey[District])</f>
        <v>#VALUE!</v>
      </c>
      <c r="I661" t="e" vm="8">
        <f>_xlfn.XLOOKUP(AllDataCorrected[[#This Row],[Site Name]],LocationsKey[Site Name],LocationsKey[Town])</f>
        <v>#VALUE!</v>
      </c>
      <c r="J661" t="str">
        <f>_xlfn.XLOOKUP(AllDataCorrected[[#This Row],[Site Name]],LocationsKey[Site Name], LocationsKey[Waterway])</f>
        <v>Stour</v>
      </c>
      <c r="K661" t="s">
        <v>140</v>
      </c>
      <c r="L661">
        <f>_xlfn.XLOOKUP(AllDataCorrected[[#This Row],[Site Name]],Tables!$B$12:$B$78, Tables!C$12:C$78)</f>
        <v>52.113052370370362</v>
      </c>
      <c r="M661">
        <f>_xlfn.XLOOKUP(AllDataCorrected[[#This Row],[Site Name]],Tables!$B$12:$B$78, Tables!D$12:D$78)</f>
        <v>-1.6333685185185185</v>
      </c>
      <c r="N661" t="s">
        <v>29</v>
      </c>
      <c r="O661">
        <v>608</v>
      </c>
      <c r="P661">
        <v>13.5</v>
      </c>
      <c r="Q661">
        <v>2</v>
      </c>
      <c r="R661" t="str">
        <f>IF(AllDataCorrected[[#This Row],[Nitrate (PPM)]]&gt;2, "4. Very high (&gt;2ppm)", IF(AllDataCorrected[[#This Row],[Nitrate (PPM)]]&gt;1, "3. High (1-2ppm)", IF(AllDataCorrected[[#This Row],[Nitrate (PPM)]]&gt;0.5, "2. Some evidence (0.5-1ppm)", IF(AllDataCorrected[[#This Row],[Nitrate (PPM)]]&gt;=0, "1. No evidence (&lt;0.5ppm)"))))</f>
        <v>3. High (1-2ppm)</v>
      </c>
      <c r="S661">
        <v>0.26</v>
      </c>
      <c r="T6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1">
        <v>3</v>
      </c>
      <c r="V661" t="s">
        <v>529</v>
      </c>
    </row>
    <row r="662" spans="1:22" x14ac:dyDescent="0.25">
      <c r="A662" t="s">
        <v>961</v>
      </c>
      <c r="B662" s="2">
        <v>45393</v>
      </c>
      <c r="C662" t="str" cm="1">
        <f t="array" ref="C6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2">
        <f>YEAR(AllDataCorrected[[#This Row],[Date]])</f>
        <v>2024</v>
      </c>
      <c r="E662" s="1">
        <v>0.68125000000000002</v>
      </c>
      <c r="F6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2" t="str">
        <f>_xlfn.XLOOKUP(AllDataCorrected[[#This Row],[Location Name]], Locations[Location Name],Locations[Group As])</f>
        <v>Preston-on-Stour River Bridge</v>
      </c>
      <c r="H662" t="e" vm="2">
        <f>_xlfn.XLOOKUP(AllDataCorrected[[#This Row],[Site Name]],LocationsKey[Site Name],LocationsKey[District])</f>
        <v>#VALUE!</v>
      </c>
      <c r="I662" t="e" vm="9">
        <f>_xlfn.XLOOKUP(AllDataCorrected[[#This Row],[Site Name]],LocationsKey[Site Name],LocationsKey[Town])</f>
        <v>#VALUE!</v>
      </c>
      <c r="J662" t="str">
        <f>_xlfn.XLOOKUP(AllDataCorrected[[#This Row],[Site Name]],LocationsKey[Site Name], LocationsKey[Waterway])</f>
        <v>Stour</v>
      </c>
      <c r="K662" t="s">
        <v>163</v>
      </c>
      <c r="L662">
        <f>_xlfn.XLOOKUP(AllDataCorrected[[#This Row],[Site Name]],Tables!$B$12:$B$78, Tables!C$12:C$78)</f>
        <v>52.146529500000007</v>
      </c>
      <c r="M662">
        <f>_xlfn.XLOOKUP(AllDataCorrected[[#This Row],[Site Name]],Tables!$B$12:$B$78, Tables!D$12:D$78)</f>
        <v>-1.6996899999999999</v>
      </c>
      <c r="N662" t="s">
        <v>29</v>
      </c>
      <c r="O662">
        <v>605</v>
      </c>
      <c r="P662">
        <v>14</v>
      </c>
      <c r="Q662">
        <v>5</v>
      </c>
      <c r="R662" t="str">
        <f>IF(AllDataCorrected[[#This Row],[Nitrate (PPM)]]&gt;2, "4. Very high (&gt;2ppm)", IF(AllDataCorrected[[#This Row],[Nitrate (PPM)]]&gt;1, "3. High (1-2ppm)", IF(AllDataCorrected[[#This Row],[Nitrate (PPM)]]&gt;0.5, "2. Some evidence (0.5-1ppm)", IF(AllDataCorrected[[#This Row],[Nitrate (PPM)]]&gt;=0, "1. No evidence (&lt;0.5ppm)"))))</f>
        <v>4. Very high (&gt;2ppm)</v>
      </c>
      <c r="S662">
        <v>0.24</v>
      </c>
      <c r="T6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2">
        <v>1.5</v>
      </c>
    </row>
    <row r="663" spans="1:22" x14ac:dyDescent="0.25">
      <c r="A663" t="s">
        <v>963</v>
      </c>
      <c r="B663" s="2">
        <v>45395</v>
      </c>
      <c r="C663" t="str" cm="1">
        <f t="array" ref="C6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3">
        <f>YEAR(AllDataCorrected[[#This Row],[Date]])</f>
        <v>2024</v>
      </c>
      <c r="E663" s="1">
        <v>0.36388888888888887</v>
      </c>
      <c r="F6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3" t="str">
        <f>_xlfn.XLOOKUP(AllDataCorrected[[#This Row],[Location Name]], Locations[Location Name],Locations[Group As])</f>
        <v>Stour Whichford</v>
      </c>
      <c r="H663" t="e" vm="2">
        <f>_xlfn.XLOOKUP(AllDataCorrected[[#This Row],[Site Name]],LocationsKey[Site Name],LocationsKey[District])</f>
        <v>#VALUE!</v>
      </c>
      <c r="I663" t="e" vm="21">
        <f>_xlfn.XLOOKUP(AllDataCorrected[[#This Row],[Site Name]],LocationsKey[Site Name],LocationsKey[Town])</f>
        <v>#VALUE!</v>
      </c>
      <c r="J663" t="str">
        <f>_xlfn.XLOOKUP(AllDataCorrected[[#This Row],[Site Name]],LocationsKey[Site Name], LocationsKey[Waterway])</f>
        <v>Stour</v>
      </c>
      <c r="K663" t="s">
        <v>895</v>
      </c>
      <c r="L663">
        <f>_xlfn.XLOOKUP(AllDataCorrected[[#This Row],[Site Name]],Tables!$B$12:$B$78, Tables!C$12:C$78)</f>
        <v>52.017437000000001</v>
      </c>
      <c r="M663">
        <f>_xlfn.XLOOKUP(AllDataCorrected[[#This Row],[Site Name]],Tables!$B$12:$B$78, Tables!D$12:D$78)</f>
        <v>-1.544745</v>
      </c>
      <c r="N663" t="s">
        <v>29</v>
      </c>
      <c r="O663">
        <v>59.8</v>
      </c>
      <c r="P663">
        <v>12.08</v>
      </c>
      <c r="Q663">
        <v>2.0699999999999998</v>
      </c>
      <c r="R663" t="str">
        <f>IF(AllDataCorrected[[#This Row],[Nitrate (PPM)]]&gt;2, "4. Very high (&gt;2ppm)", IF(AllDataCorrected[[#This Row],[Nitrate (PPM)]]&gt;1, "3. High (1-2ppm)", IF(AllDataCorrected[[#This Row],[Nitrate (PPM)]]&gt;0.5, "2. Some evidence (0.5-1ppm)", IF(AllDataCorrected[[#This Row],[Nitrate (PPM)]]&gt;=0, "1. No evidence (&lt;0.5ppm)"))))</f>
        <v>4. Very high (&gt;2ppm)</v>
      </c>
      <c r="S663">
        <v>0.48</v>
      </c>
      <c r="T6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3">
        <v>20</v>
      </c>
    </row>
    <row r="664" spans="1:22" x14ac:dyDescent="0.25">
      <c r="A664" t="s">
        <v>964</v>
      </c>
      <c r="B664" s="2">
        <v>45395</v>
      </c>
      <c r="C664" t="str" cm="1">
        <f t="array" ref="C6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4">
        <f>YEAR(AllDataCorrected[[#This Row],[Date]])</f>
        <v>2024</v>
      </c>
      <c r="E664" s="1">
        <v>0.3659722222222222</v>
      </c>
      <c r="F6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4" t="str">
        <f>_xlfn.XLOOKUP(AllDataCorrected[[#This Row],[Location Name]], Locations[Location Name],Locations[Group As])</f>
        <v>Lower Lode</v>
      </c>
      <c r="H664" t="e" vm="1">
        <f>_xlfn.XLOOKUP(AllDataCorrected[[#This Row],[Site Name]],LocationsKey[Site Name],LocationsKey[District])</f>
        <v>#VALUE!</v>
      </c>
      <c r="I664" t="e" vm="1">
        <f>_xlfn.XLOOKUP(AllDataCorrected[[#This Row],[Site Name]],LocationsKey[Site Name],LocationsKey[Town])</f>
        <v>#VALUE!</v>
      </c>
      <c r="J664" t="str">
        <f>_xlfn.XLOOKUP(AllDataCorrected[[#This Row],[Site Name]],LocationsKey[Site Name], LocationsKey[Waterway])</f>
        <v>Avon</v>
      </c>
      <c r="K664" t="s">
        <v>592</v>
      </c>
      <c r="L664">
        <f>_xlfn.XLOOKUP(AllDataCorrected[[#This Row],[Site Name]],Tables!$B$12:$B$78, Tables!C$12:C$78)</f>
        <v>51.984954782608689</v>
      </c>
      <c r="M664">
        <f>_xlfn.XLOOKUP(AllDataCorrected[[#This Row],[Site Name]],Tables!$B$12:$B$78, Tables!D$12:D$78)</f>
        <v>-2.1744283478260868</v>
      </c>
      <c r="N664" t="s">
        <v>29</v>
      </c>
      <c r="O664">
        <v>7020</v>
      </c>
      <c r="P664">
        <v>13.5</v>
      </c>
      <c r="Q664">
        <v>10</v>
      </c>
      <c r="R664" t="str">
        <f>IF(AllDataCorrected[[#This Row],[Nitrate (PPM)]]&gt;2, "4. Very high (&gt;2ppm)", IF(AllDataCorrected[[#This Row],[Nitrate (PPM)]]&gt;1, "3. High (1-2ppm)", IF(AllDataCorrected[[#This Row],[Nitrate (PPM)]]&gt;0.5, "2. Some evidence (0.5-1ppm)", IF(AllDataCorrected[[#This Row],[Nitrate (PPM)]]&gt;=0, "1. No evidence (&lt;0.5ppm)"))))</f>
        <v>4. Very high (&gt;2ppm)</v>
      </c>
      <c r="S664">
        <v>0.4</v>
      </c>
      <c r="T6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4">
        <v>2</v>
      </c>
    </row>
    <row r="665" spans="1:22" x14ac:dyDescent="0.25">
      <c r="A665" t="s">
        <v>965</v>
      </c>
      <c r="B665" s="2">
        <v>45395</v>
      </c>
      <c r="C665" t="str" cm="1">
        <f t="array" ref="C6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5">
        <f>YEAR(AllDataCorrected[[#This Row],[Date]])</f>
        <v>2024</v>
      </c>
      <c r="E665" s="1">
        <v>0.38472222222222224</v>
      </c>
      <c r="F6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5" t="str">
        <f>_xlfn.XLOOKUP(AllDataCorrected[[#This Row],[Location Name]], Locations[Location Name],Locations[Group As])</f>
        <v>Stour Ascott Village</v>
      </c>
      <c r="H665" t="e" vm="2">
        <f>_xlfn.XLOOKUP(AllDataCorrected[[#This Row],[Site Name]],LocationsKey[Site Name],LocationsKey[District])</f>
        <v>#VALUE!</v>
      </c>
      <c r="I665" t="e" vm="22">
        <f>_xlfn.XLOOKUP(AllDataCorrected[[#This Row],[Site Name]],LocationsKey[Site Name],LocationsKey[Town])</f>
        <v>#VALUE!</v>
      </c>
      <c r="J665" t="str">
        <f>_xlfn.XLOOKUP(AllDataCorrected[[#This Row],[Site Name]],LocationsKey[Site Name], LocationsKey[Waterway])</f>
        <v>Stour</v>
      </c>
      <c r="K665" t="s">
        <v>855</v>
      </c>
      <c r="L665">
        <f>_xlfn.XLOOKUP(AllDataCorrected[[#This Row],[Site Name]],Tables!$B$12:$B$78, Tables!C$12:C$78)</f>
        <v>52.013255999999998</v>
      </c>
      <c r="M665">
        <f>_xlfn.XLOOKUP(AllDataCorrected[[#This Row],[Site Name]],Tables!$B$12:$B$78, Tables!D$12:D$78)</f>
        <v>-1.5387710000000001</v>
      </c>
      <c r="N665" t="s">
        <v>66</v>
      </c>
      <c r="O665">
        <v>54.8</v>
      </c>
      <c r="P665">
        <v>12.6</v>
      </c>
      <c r="Q665">
        <v>0.01</v>
      </c>
      <c r="R665"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65">
        <v>0.21</v>
      </c>
      <c r="T6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5">
        <v>13</v>
      </c>
    </row>
    <row r="666" spans="1:22" x14ac:dyDescent="0.25">
      <c r="A666" t="s">
        <v>966</v>
      </c>
      <c r="B666" s="2">
        <v>45395</v>
      </c>
      <c r="C666" t="str" cm="1">
        <f t="array" ref="C6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6">
        <f>YEAR(AllDataCorrected[[#This Row],[Date]])</f>
        <v>2024</v>
      </c>
      <c r="E666" s="1">
        <v>0.44374999999999998</v>
      </c>
      <c r="F6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6" t="str">
        <f>_xlfn.XLOOKUP(AllDataCorrected[[#This Row],[Location Name]], Locations[Location Name],Locations[Group As])</f>
        <v>Pitch 16</v>
      </c>
      <c r="H666" t="e" vm="2">
        <f>_xlfn.XLOOKUP(AllDataCorrected[[#This Row],[Site Name]],LocationsKey[Site Name],LocationsKey[District])</f>
        <v>#VALUE!</v>
      </c>
      <c r="I666" t="e" vm="7">
        <f>_xlfn.XLOOKUP(AllDataCorrected[[#This Row],[Site Name]],LocationsKey[Site Name],LocationsKey[Town])</f>
        <v>#VALUE!</v>
      </c>
      <c r="J666" t="str">
        <f>_xlfn.XLOOKUP(AllDataCorrected[[#This Row],[Site Name]],LocationsKey[Site Name], LocationsKey[Waterway])</f>
        <v>Avon</v>
      </c>
      <c r="K666" t="s">
        <v>69</v>
      </c>
      <c r="L666">
        <f>_xlfn.XLOOKUP(AllDataCorrected[[#This Row],[Site Name]],Tables!$B$12:$B$78, Tables!C$12:C$78)</f>
        <v>52.17355294117646</v>
      </c>
      <c r="M666">
        <f>_xlfn.XLOOKUP(AllDataCorrected[[#This Row],[Site Name]],Tables!$B$12:$B$78, Tables!D$12:D$78)</f>
        <v>-1.7433199411764708</v>
      </c>
      <c r="N666" t="s">
        <v>29</v>
      </c>
      <c r="O666">
        <v>790</v>
      </c>
      <c r="P666">
        <v>15.6</v>
      </c>
      <c r="Q666">
        <v>4</v>
      </c>
      <c r="R666" t="str">
        <f>IF(AllDataCorrected[[#This Row],[Nitrate (PPM)]]&gt;2, "4. Very high (&gt;2ppm)", IF(AllDataCorrected[[#This Row],[Nitrate (PPM)]]&gt;1, "3. High (1-2ppm)", IF(AllDataCorrected[[#This Row],[Nitrate (PPM)]]&gt;0.5, "2. Some evidence (0.5-1ppm)", IF(AllDataCorrected[[#This Row],[Nitrate (PPM)]]&gt;=0, "1. No evidence (&lt;0.5ppm)"))))</f>
        <v>4. Very high (&gt;2ppm)</v>
      </c>
      <c r="S666">
        <v>0.72</v>
      </c>
      <c r="T6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6">
        <v>0.8</v>
      </c>
      <c r="V666" t="s">
        <v>967</v>
      </c>
    </row>
    <row r="667" spans="1:22" x14ac:dyDescent="0.25">
      <c r="A667" t="s">
        <v>968</v>
      </c>
      <c r="B667" s="2">
        <v>45395</v>
      </c>
      <c r="C667" t="str" cm="1">
        <f t="array" ref="C6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7">
        <f>YEAR(AllDataCorrected[[#This Row],[Date]])</f>
        <v>2024</v>
      </c>
      <c r="E667" s="1">
        <v>0.4597222222222222</v>
      </c>
      <c r="F6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7" t="str">
        <f>_xlfn.XLOOKUP(AllDataCorrected[[#This Row],[Location Name]], Locations[Location Name],Locations[Group As])</f>
        <v>Avonbank Drive</v>
      </c>
      <c r="H667" t="e" vm="2">
        <f>_xlfn.XLOOKUP(AllDataCorrected[[#This Row],[Site Name]],LocationsKey[Site Name],LocationsKey[District])</f>
        <v>#VALUE!</v>
      </c>
      <c r="I667" t="e" vm="7">
        <f>_xlfn.XLOOKUP(AllDataCorrected[[#This Row],[Site Name]],LocationsKey[Site Name],LocationsKey[Town])</f>
        <v>#VALUE!</v>
      </c>
      <c r="J667" t="str">
        <f>_xlfn.XLOOKUP(AllDataCorrected[[#This Row],[Site Name]],LocationsKey[Site Name], LocationsKey[Waterway])</f>
        <v>Avon</v>
      </c>
      <c r="K667" t="s">
        <v>65</v>
      </c>
      <c r="L667">
        <f>_xlfn.XLOOKUP(AllDataCorrected[[#This Row],[Site Name]],Tables!$B$12:$B$78, Tables!C$12:C$78)</f>
        <v>52.177054657142854</v>
      </c>
      <c r="M667">
        <f>_xlfn.XLOOKUP(AllDataCorrected[[#This Row],[Site Name]],Tables!$B$12:$B$78, Tables!D$12:D$78)</f>
        <v>-1.7358669999999996</v>
      </c>
      <c r="N667" t="s">
        <v>66</v>
      </c>
      <c r="O667">
        <v>792</v>
      </c>
      <c r="P667">
        <v>15.8</v>
      </c>
      <c r="Q667">
        <v>7</v>
      </c>
      <c r="R667" t="str">
        <f>IF(AllDataCorrected[[#This Row],[Nitrate (PPM)]]&gt;2, "4. Very high (&gt;2ppm)", IF(AllDataCorrected[[#This Row],[Nitrate (PPM)]]&gt;1, "3. High (1-2ppm)", IF(AllDataCorrected[[#This Row],[Nitrate (PPM)]]&gt;0.5, "2. Some evidence (0.5-1ppm)", IF(AllDataCorrected[[#This Row],[Nitrate (PPM)]]&gt;=0, "1. No evidence (&lt;0.5ppm)"))))</f>
        <v>4. Very high (&gt;2ppm)</v>
      </c>
      <c r="S667">
        <v>0.4</v>
      </c>
      <c r="T6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7">
        <v>0.8</v>
      </c>
      <c r="V667" t="s">
        <v>969</v>
      </c>
    </row>
    <row r="668" spans="1:22" x14ac:dyDescent="0.25">
      <c r="A668" t="s">
        <v>972</v>
      </c>
      <c r="B668" s="2">
        <v>45395</v>
      </c>
      <c r="C668" t="str" cm="1">
        <f t="array" ref="C6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8">
        <f>YEAR(AllDataCorrected[[#This Row],[Date]])</f>
        <v>2024</v>
      </c>
      <c r="E668" s="1">
        <v>0.5</v>
      </c>
      <c r="F66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8" t="str">
        <f>_xlfn.XLOOKUP(AllDataCorrected[[#This Row],[Location Name]], Locations[Location Name],Locations[Group As])</f>
        <v>Avon Smiths Meadow Wyre Piddle</v>
      </c>
      <c r="H668" t="e" vm="17">
        <f>_xlfn.XLOOKUP(AllDataCorrected[[#This Row],[Site Name]],LocationsKey[Site Name],LocationsKey[District])</f>
        <v>#VALUE!</v>
      </c>
      <c r="I668" t="e" vm="20">
        <f>_xlfn.XLOOKUP(AllDataCorrected[[#This Row],[Site Name]],LocationsKey[Site Name],LocationsKey[Town])</f>
        <v>#VALUE!</v>
      </c>
      <c r="J668" t="str">
        <f>_xlfn.XLOOKUP(AllDataCorrected[[#This Row],[Site Name]],LocationsKey[Site Name], LocationsKey[Waterway])</f>
        <v>Avon</v>
      </c>
      <c r="K668" t="s">
        <v>741</v>
      </c>
      <c r="L668">
        <f>_xlfn.XLOOKUP(AllDataCorrected[[#This Row],[Site Name]],Tables!$B$12:$B$78, Tables!C$12:C$78)</f>
        <v>52.123045961538452</v>
      </c>
      <c r="M668">
        <f>_xlfn.XLOOKUP(AllDataCorrected[[#This Row],[Site Name]],Tables!$B$12:$B$78, Tables!D$12:D$78)</f>
        <v>-2.0572161923076919</v>
      </c>
      <c r="N668" t="s">
        <v>23</v>
      </c>
      <c r="O668">
        <v>743</v>
      </c>
      <c r="P668">
        <v>7.3</v>
      </c>
      <c r="Q668">
        <v>5</v>
      </c>
      <c r="R668" t="str">
        <f>IF(AllDataCorrected[[#This Row],[Nitrate (PPM)]]&gt;2, "4. Very high (&gt;2ppm)", IF(AllDataCorrected[[#This Row],[Nitrate (PPM)]]&gt;1, "3. High (1-2ppm)", IF(AllDataCorrected[[#This Row],[Nitrate (PPM)]]&gt;0.5, "2. Some evidence (0.5-1ppm)", IF(AllDataCorrected[[#This Row],[Nitrate (PPM)]]&gt;=0, "1. No evidence (&lt;0.5ppm)"))))</f>
        <v>4. Very high (&gt;2ppm)</v>
      </c>
      <c r="S668">
        <v>0.37</v>
      </c>
      <c r="T6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8">
        <v>0.84</v>
      </c>
      <c r="V668" t="s">
        <v>973</v>
      </c>
    </row>
    <row r="669" spans="1:22" x14ac:dyDescent="0.25">
      <c r="A669" t="s">
        <v>970</v>
      </c>
      <c r="B669" s="2">
        <v>45395</v>
      </c>
      <c r="C669" t="str" cm="1">
        <f t="array" ref="C6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9">
        <f>YEAR(AllDataCorrected[[#This Row],[Date]])</f>
        <v>2024</v>
      </c>
      <c r="E669" s="1">
        <v>0.5</v>
      </c>
      <c r="F6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9" t="str">
        <f>_xlfn.XLOOKUP(AllDataCorrected[[#This Row],[Location Name]], Locations[Location Name],Locations[Group As])</f>
        <v>Piddle Brook Wyre Piddle Bridge</v>
      </c>
      <c r="H669" t="e" vm="17">
        <f>_xlfn.XLOOKUP(AllDataCorrected[[#This Row],[Site Name]],LocationsKey[Site Name],LocationsKey[District])</f>
        <v>#VALUE!</v>
      </c>
      <c r="I669" t="e" vm="20">
        <f>_xlfn.XLOOKUP(AllDataCorrected[[#This Row],[Site Name]],LocationsKey[Site Name],LocationsKey[Town])</f>
        <v>#VALUE!</v>
      </c>
      <c r="J669" t="str">
        <f>_xlfn.XLOOKUP(AllDataCorrected[[#This Row],[Site Name]],LocationsKey[Site Name], LocationsKey[Waterway])</f>
        <v>Piddle Brook</v>
      </c>
      <c r="K669" t="s">
        <v>744</v>
      </c>
      <c r="L669">
        <f>_xlfn.XLOOKUP(AllDataCorrected[[#This Row],[Site Name]],Tables!$B$12:$B$78, Tables!C$12:C$78)</f>
        <v>52.126401720000004</v>
      </c>
      <c r="M669">
        <f>_xlfn.XLOOKUP(AllDataCorrected[[#This Row],[Site Name]],Tables!$B$12:$B$78, Tables!D$12:D$78)</f>
        <v>-2.0565162000000003</v>
      </c>
      <c r="N669" t="s">
        <v>23</v>
      </c>
      <c r="O669">
        <v>1010</v>
      </c>
      <c r="P669">
        <v>13.1</v>
      </c>
      <c r="Q669">
        <v>5</v>
      </c>
      <c r="R669" t="str">
        <f>IF(AllDataCorrected[[#This Row],[Nitrate (PPM)]]&gt;2, "4. Very high (&gt;2ppm)", IF(AllDataCorrected[[#This Row],[Nitrate (PPM)]]&gt;1, "3. High (1-2ppm)", IF(AllDataCorrected[[#This Row],[Nitrate (PPM)]]&gt;0.5, "2. Some evidence (0.5-1ppm)", IF(AllDataCorrected[[#This Row],[Nitrate (PPM)]]&gt;=0, "1. No evidence (&lt;0.5ppm)"))))</f>
        <v>4. Very high (&gt;2ppm)</v>
      </c>
      <c r="S669">
        <v>0.53</v>
      </c>
      <c r="T6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9">
        <v>0.33</v>
      </c>
      <c r="V669" t="s">
        <v>971</v>
      </c>
    </row>
    <row r="670" spans="1:22" x14ac:dyDescent="0.25">
      <c r="A670" t="s">
        <v>974</v>
      </c>
      <c r="B670" s="2">
        <v>45395</v>
      </c>
      <c r="C670" t="str" cm="1">
        <f t="array" ref="C6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0">
        <f>YEAR(AllDataCorrected[[#This Row],[Date]])</f>
        <v>2024</v>
      </c>
      <c r="E670" s="1">
        <v>0.52083333333333337</v>
      </c>
      <c r="F6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0" t="str">
        <f>_xlfn.XLOOKUP(AllDataCorrected[[#This Row],[Location Name]], Locations[Location Name],Locations[Group As])</f>
        <v>Carrant Bredon Rd</v>
      </c>
      <c r="H670" t="e" vm="1">
        <f>_xlfn.XLOOKUP(AllDataCorrected[[#This Row],[Site Name]],LocationsKey[Site Name],LocationsKey[District])</f>
        <v>#VALUE!</v>
      </c>
      <c r="I670" t="e" vm="1">
        <f>_xlfn.XLOOKUP(AllDataCorrected[[#This Row],[Site Name]],LocationsKey[Site Name],LocationsKey[Town])</f>
        <v>#VALUE!</v>
      </c>
      <c r="J670" t="str">
        <f>_xlfn.XLOOKUP(AllDataCorrected[[#This Row],[Site Name]],LocationsKey[Site Name], LocationsKey[Waterway])</f>
        <v>Carrant</v>
      </c>
      <c r="K670" t="s">
        <v>600</v>
      </c>
      <c r="L670">
        <f>_xlfn.XLOOKUP(AllDataCorrected[[#This Row],[Site Name]],Tables!$B$12:$B$78, Tables!C$12:C$78)</f>
        <v>51.996416567567572</v>
      </c>
      <c r="M670">
        <f>_xlfn.XLOOKUP(AllDataCorrected[[#This Row],[Site Name]],Tables!$B$12:$B$78, Tables!D$12:D$78)</f>
        <v>-2.1556626756756749</v>
      </c>
      <c r="N670" t="s">
        <v>23</v>
      </c>
      <c r="O670">
        <v>753</v>
      </c>
      <c r="P670">
        <v>14.3</v>
      </c>
      <c r="Q670">
        <v>5</v>
      </c>
      <c r="R670" t="str">
        <f>IF(AllDataCorrected[[#This Row],[Nitrate (PPM)]]&gt;2, "4. Very high (&gt;2ppm)", IF(AllDataCorrected[[#This Row],[Nitrate (PPM)]]&gt;1, "3. High (1-2ppm)", IF(AllDataCorrected[[#This Row],[Nitrate (PPM)]]&gt;0.5, "2. Some evidence (0.5-1ppm)", IF(AllDataCorrected[[#This Row],[Nitrate (PPM)]]&gt;=0, "1. No evidence (&lt;0.5ppm)"))))</f>
        <v>4. Very high (&gt;2ppm)</v>
      </c>
      <c r="S670">
        <v>0.32</v>
      </c>
      <c r="T6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0">
        <v>0.43</v>
      </c>
    </row>
    <row r="671" spans="1:22" x14ac:dyDescent="0.25">
      <c r="A671" t="s">
        <v>975</v>
      </c>
      <c r="B671" s="2">
        <v>45395</v>
      </c>
      <c r="C671" t="str" cm="1">
        <f t="array" ref="C6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1">
        <f>YEAR(AllDataCorrected[[#This Row],[Date]])</f>
        <v>2024</v>
      </c>
      <c r="E671" s="1">
        <v>0.64583333333333337</v>
      </c>
      <c r="F6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1" t="str">
        <f>_xlfn.XLOOKUP(AllDataCorrected[[#This Row],[Location Name]], Locations[Location Name],Locations[Group As])</f>
        <v>Fell Mill Footbridge</v>
      </c>
      <c r="H671" t="e" vm="2">
        <f>_xlfn.XLOOKUP(AllDataCorrected[[#This Row],[Site Name]],LocationsKey[Site Name],LocationsKey[District])</f>
        <v>#VALUE!</v>
      </c>
      <c r="I671" t="e" vm="10">
        <f>_xlfn.XLOOKUP(AllDataCorrected[[#This Row],[Site Name]],LocationsKey[Site Name],LocationsKey[Town])</f>
        <v>#VALUE!</v>
      </c>
      <c r="J671" t="str">
        <f>_xlfn.XLOOKUP(AllDataCorrected[[#This Row],[Site Name]],LocationsKey[Site Name], LocationsKey[Waterway])</f>
        <v>Stour</v>
      </c>
      <c r="K671" t="s">
        <v>818</v>
      </c>
      <c r="L671">
        <f>_xlfn.XLOOKUP(AllDataCorrected[[#This Row],[Site Name]],Tables!$B$12:$B$78, Tables!C$12:C$78)</f>
        <v>52.067966827586183</v>
      </c>
      <c r="M671">
        <f>_xlfn.XLOOKUP(AllDataCorrected[[#This Row],[Site Name]],Tables!$B$12:$B$78, Tables!D$12:D$78)</f>
        <v>-1.6118101379310343</v>
      </c>
      <c r="N671" t="s">
        <v>29</v>
      </c>
      <c r="O671">
        <v>586</v>
      </c>
      <c r="P671">
        <v>14.4</v>
      </c>
      <c r="Q671">
        <v>10</v>
      </c>
      <c r="R671" t="str">
        <f>IF(AllDataCorrected[[#This Row],[Nitrate (PPM)]]&gt;2, "4. Very high (&gt;2ppm)", IF(AllDataCorrected[[#This Row],[Nitrate (PPM)]]&gt;1, "3. High (1-2ppm)", IF(AllDataCorrected[[#This Row],[Nitrate (PPM)]]&gt;0.5, "2. Some evidence (0.5-1ppm)", IF(AllDataCorrected[[#This Row],[Nitrate (PPM)]]&gt;=0, "1. No evidence (&lt;0.5ppm)"))))</f>
        <v>4. Very high (&gt;2ppm)</v>
      </c>
      <c r="S671">
        <v>0.18</v>
      </c>
      <c r="T6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1">
        <v>1.5</v>
      </c>
      <c r="V671" t="s">
        <v>976</v>
      </c>
    </row>
    <row r="672" spans="1:22" x14ac:dyDescent="0.25">
      <c r="A672" t="s">
        <v>977</v>
      </c>
      <c r="B672" s="2">
        <v>45395</v>
      </c>
      <c r="C672" t="str" cm="1">
        <f t="array" ref="C6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2">
        <f>YEAR(AllDataCorrected[[#This Row],[Date]])</f>
        <v>2024</v>
      </c>
      <c r="E672" s="1">
        <v>0.75277777777777777</v>
      </c>
      <c r="F67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672" t="str">
        <f>_xlfn.XLOOKUP(AllDataCorrected[[#This Row],[Location Name]], Locations[Location Name],Locations[Group As])</f>
        <v>Walcot Lane, Bow Brook Ford</v>
      </c>
      <c r="H672" t="e" vm="17">
        <f>_xlfn.XLOOKUP(AllDataCorrected[[#This Row],[Site Name]],LocationsKey[Site Name],LocationsKey[District])</f>
        <v>#VALUE!</v>
      </c>
      <c r="I672" t="e" vm="18">
        <f>_xlfn.XLOOKUP(AllDataCorrected[[#This Row],[Site Name]],LocationsKey[Site Name],LocationsKey[Town])</f>
        <v>#VALUE!</v>
      </c>
      <c r="J672" t="str">
        <f>_xlfn.XLOOKUP(AllDataCorrected[[#This Row],[Site Name]],LocationsKey[Site Name], LocationsKey[Waterway])</f>
        <v>Bow Brook</v>
      </c>
      <c r="K672" t="s">
        <v>732</v>
      </c>
      <c r="L672">
        <f>_xlfn.XLOOKUP(AllDataCorrected[[#This Row],[Site Name]],Tables!$B$12:$B$78, Tables!C$12:C$78)</f>
        <v>52.130499999999998</v>
      </c>
      <c r="M672">
        <f>_xlfn.XLOOKUP(AllDataCorrected[[#This Row],[Site Name]],Tables!$B$12:$B$78, Tables!D$12:D$78)</f>
        <v>-2.0787</v>
      </c>
      <c r="N672" t="s">
        <v>23</v>
      </c>
      <c r="O672">
        <v>872</v>
      </c>
      <c r="P672">
        <v>15.7</v>
      </c>
      <c r="Q672">
        <v>5</v>
      </c>
      <c r="R672" t="str">
        <f>IF(AllDataCorrected[[#This Row],[Nitrate (PPM)]]&gt;2, "4. Very high (&gt;2ppm)", IF(AllDataCorrected[[#This Row],[Nitrate (PPM)]]&gt;1, "3. High (1-2ppm)", IF(AllDataCorrected[[#This Row],[Nitrate (PPM)]]&gt;0.5, "2. Some evidence (0.5-1ppm)", IF(AllDataCorrected[[#This Row],[Nitrate (PPM)]]&gt;=0, "1. No evidence (&lt;0.5ppm)"))))</f>
        <v>4. Very high (&gt;2ppm)</v>
      </c>
      <c r="S672">
        <v>0.92</v>
      </c>
      <c r="T6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2">
        <v>0.5</v>
      </c>
      <c r="V672" t="s">
        <v>978</v>
      </c>
    </row>
    <row r="673" spans="1:22" x14ac:dyDescent="0.25">
      <c r="A673" t="s">
        <v>983</v>
      </c>
      <c r="B673" s="2">
        <v>45396</v>
      </c>
      <c r="C673" t="str" cm="1">
        <f t="array" ref="C6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3">
        <f>YEAR(AllDataCorrected[[#This Row],[Date]])</f>
        <v>2024</v>
      </c>
      <c r="E673" s="1">
        <v>0.5493055555555556</v>
      </c>
      <c r="F6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3" t="str">
        <f>_xlfn.XLOOKUP(AllDataCorrected[[#This Row],[Location Name]], Locations[Location Name],Locations[Group As])</f>
        <v>Lucy's Mill Bridge</v>
      </c>
      <c r="H673" t="e" vm="2">
        <f>_xlfn.XLOOKUP(AllDataCorrected[[#This Row],[Site Name]],LocationsKey[Site Name],LocationsKey[District])</f>
        <v>#VALUE!</v>
      </c>
      <c r="I673" t="e" vm="7">
        <f>_xlfn.XLOOKUP(AllDataCorrected[[#This Row],[Site Name]],LocationsKey[Site Name],LocationsKey[Town])</f>
        <v>#VALUE!</v>
      </c>
      <c r="J673" t="str">
        <f>_xlfn.XLOOKUP(AllDataCorrected[[#This Row],[Site Name]],LocationsKey[Site Name], LocationsKey[Waterway])</f>
        <v>Avon</v>
      </c>
      <c r="K673" t="s">
        <v>216</v>
      </c>
      <c r="L673">
        <f>_xlfn.XLOOKUP(AllDataCorrected[[#This Row],[Site Name]],Tables!$B$12:$B$78, Tables!C$12:C$78)</f>
        <v>52.183699000000011</v>
      </c>
      <c r="M673">
        <f>_xlfn.XLOOKUP(AllDataCorrected[[#This Row],[Site Name]],Tables!$B$12:$B$78, Tables!D$12:D$78)</f>
        <v>-1.7078160000000004</v>
      </c>
      <c r="N673" t="s">
        <v>29</v>
      </c>
      <c r="P673">
        <v>12</v>
      </c>
      <c r="Q673">
        <v>5</v>
      </c>
      <c r="R673" t="str">
        <f>IF(AllDataCorrected[[#This Row],[Nitrate (PPM)]]&gt;2, "4. Very high (&gt;2ppm)", IF(AllDataCorrected[[#This Row],[Nitrate (PPM)]]&gt;1, "3. High (1-2ppm)", IF(AllDataCorrected[[#This Row],[Nitrate (PPM)]]&gt;0.5, "2. Some evidence (0.5-1ppm)", IF(AllDataCorrected[[#This Row],[Nitrate (PPM)]]&gt;=0, "1. No evidence (&lt;0.5ppm)"))))</f>
        <v>4. Very high (&gt;2ppm)</v>
      </c>
      <c r="S673">
        <v>0.26</v>
      </c>
      <c r="T6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3">
        <v>0.7</v>
      </c>
    </row>
    <row r="674" spans="1:22" x14ac:dyDescent="0.25">
      <c r="A674" t="s">
        <v>979</v>
      </c>
      <c r="B674" s="2">
        <v>45396</v>
      </c>
      <c r="C674" t="str" cm="1">
        <f t="array" ref="C6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4">
        <f>YEAR(AllDataCorrected[[#This Row],[Date]])</f>
        <v>2024</v>
      </c>
      <c r="E674" s="1">
        <v>0.68888888888888888</v>
      </c>
      <c r="F6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4" t="str">
        <f>_xlfn.XLOOKUP(AllDataCorrected[[#This Row],[Location Name]], Locations[Location Name],Locations[Group As])</f>
        <v>Black Bear</v>
      </c>
      <c r="H674" t="e" vm="1">
        <f>_xlfn.XLOOKUP(AllDataCorrected[[#This Row],[Site Name]],LocationsKey[Site Name],LocationsKey[District])</f>
        <v>#VALUE!</v>
      </c>
      <c r="I674" t="e" vm="1">
        <f>_xlfn.XLOOKUP(AllDataCorrected[[#This Row],[Site Name]],LocationsKey[Site Name],LocationsKey[Town])</f>
        <v>#VALUE!</v>
      </c>
      <c r="J674" t="str">
        <f>_xlfn.XLOOKUP(AllDataCorrected[[#This Row],[Site Name]],LocationsKey[Site Name], LocationsKey[Waterway])</f>
        <v>Avon</v>
      </c>
      <c r="K674" t="s">
        <v>567</v>
      </c>
      <c r="L674">
        <f>_xlfn.XLOOKUP(AllDataCorrected[[#This Row],[Site Name]],Tables!$B$12:$B$78, Tables!C$12:C$78)</f>
        <v>51.997435214285723</v>
      </c>
      <c r="M674">
        <f>_xlfn.XLOOKUP(AllDataCorrected[[#This Row],[Site Name]],Tables!$B$12:$B$78, Tables!D$12:D$78)</f>
        <v>-2.1562056785714288</v>
      </c>
      <c r="N674" t="s">
        <v>23</v>
      </c>
      <c r="O674">
        <v>765</v>
      </c>
      <c r="P674">
        <v>14.1</v>
      </c>
      <c r="Q674">
        <v>5</v>
      </c>
      <c r="R674" t="str">
        <f>IF(AllDataCorrected[[#This Row],[Nitrate (PPM)]]&gt;2, "4. Very high (&gt;2ppm)", IF(AllDataCorrected[[#This Row],[Nitrate (PPM)]]&gt;1, "3. High (1-2ppm)", IF(AllDataCorrected[[#This Row],[Nitrate (PPM)]]&gt;0.5, "2. Some evidence (0.5-1ppm)", IF(AllDataCorrected[[#This Row],[Nitrate (PPM)]]&gt;=0, "1. No evidence (&lt;0.5ppm)"))))</f>
        <v>4. Very high (&gt;2ppm)</v>
      </c>
      <c r="S674">
        <v>0.92</v>
      </c>
      <c r="T6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4">
        <v>0</v>
      </c>
    </row>
    <row r="675" spans="1:22" x14ac:dyDescent="0.25">
      <c r="A675" t="s">
        <v>980</v>
      </c>
      <c r="B675" s="2">
        <v>45396</v>
      </c>
      <c r="C675" t="str" cm="1">
        <f t="array" ref="C6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5">
        <f>YEAR(AllDataCorrected[[#This Row],[Date]])</f>
        <v>2024</v>
      </c>
      <c r="E675" s="1">
        <v>0.72916666666666663</v>
      </c>
      <c r="F6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5" t="str">
        <f>_xlfn.XLOOKUP(AllDataCorrected[[#This Row],[Location Name]], Locations[Location Name],Locations[Group As])</f>
        <v>Sherbourne Brook 1</v>
      </c>
      <c r="H675" t="e" vm="2">
        <f>_xlfn.XLOOKUP(AllDataCorrected[[#This Row],[Site Name]],LocationsKey[Site Name],LocationsKey[District])</f>
        <v>#VALUE!</v>
      </c>
      <c r="I675" t="e" vm="16">
        <f>_xlfn.XLOOKUP(AllDataCorrected[[#This Row],[Site Name]],LocationsKey[Site Name],LocationsKey[Town])</f>
        <v>#VALUE!</v>
      </c>
      <c r="J675" t="str">
        <f>_xlfn.XLOOKUP(AllDataCorrected[[#This Row],[Site Name]],LocationsKey[Site Name], LocationsKey[Waterway])</f>
        <v>Sherbourne Brook</v>
      </c>
      <c r="K675" t="s">
        <v>570</v>
      </c>
      <c r="L675">
        <f>_xlfn.XLOOKUP(AllDataCorrected[[#This Row],[Site Name]],Tables!$B$12:$B$78, Tables!C$12:C$78)</f>
        <v>52.252500000000033</v>
      </c>
      <c r="M675">
        <f>_xlfn.XLOOKUP(AllDataCorrected[[#This Row],[Site Name]],Tables!$B$12:$B$78, Tables!D$12:D$78)</f>
        <v>-1.6685000000000012</v>
      </c>
      <c r="N675" t="s">
        <v>23</v>
      </c>
      <c r="O675">
        <v>1040</v>
      </c>
      <c r="P675">
        <v>12.2</v>
      </c>
      <c r="Q675">
        <v>5</v>
      </c>
      <c r="R675" t="str">
        <f>IF(AllDataCorrected[[#This Row],[Nitrate (PPM)]]&gt;2, "4. Very high (&gt;2ppm)", IF(AllDataCorrected[[#This Row],[Nitrate (PPM)]]&gt;1, "3. High (1-2ppm)", IF(AllDataCorrected[[#This Row],[Nitrate (PPM)]]&gt;0.5, "2. Some evidence (0.5-1ppm)", IF(AllDataCorrected[[#This Row],[Nitrate (PPM)]]&gt;=0, "1. No evidence (&lt;0.5ppm)"))))</f>
        <v>4. Very high (&gt;2ppm)</v>
      </c>
      <c r="S675">
        <v>0.62</v>
      </c>
      <c r="T6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5">
        <v>0.3</v>
      </c>
    </row>
    <row r="676" spans="1:22" x14ac:dyDescent="0.25">
      <c r="A676" t="s">
        <v>981</v>
      </c>
      <c r="B676" s="2">
        <v>45396</v>
      </c>
      <c r="C676" t="str" cm="1">
        <f t="array" ref="C6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6">
        <f>YEAR(AllDataCorrected[[#This Row],[Date]])</f>
        <v>2024</v>
      </c>
      <c r="E676" s="1">
        <v>0.73958333333333337</v>
      </c>
      <c r="F6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6" t="str">
        <f>_xlfn.XLOOKUP(AllDataCorrected[[#This Row],[Location Name]], Locations[Location Name],Locations[Group As])</f>
        <v>Bell Brook 1</v>
      </c>
      <c r="H676" t="e" vm="2">
        <f>_xlfn.XLOOKUP(AllDataCorrected[[#This Row],[Site Name]],LocationsKey[Site Name],LocationsKey[District])</f>
        <v>#VALUE!</v>
      </c>
      <c r="I676" t="e" vm="15">
        <f>_xlfn.XLOOKUP(AllDataCorrected[[#This Row],[Site Name]],LocationsKey[Site Name],LocationsKey[Town])</f>
        <v>#VALUE!</v>
      </c>
      <c r="J676" t="str">
        <f>_xlfn.XLOOKUP(AllDataCorrected[[#This Row],[Site Name]],LocationsKey[Site Name], LocationsKey[Waterway])</f>
        <v>Bell Brook</v>
      </c>
      <c r="K676" t="s">
        <v>534</v>
      </c>
      <c r="L676">
        <f>_xlfn.XLOOKUP(AllDataCorrected[[#This Row],[Site Name]],Tables!$B$12:$B$78, Tables!C$12:C$78)</f>
        <v>52.24489999999998</v>
      </c>
      <c r="M676">
        <f>_xlfn.XLOOKUP(AllDataCorrected[[#This Row],[Site Name]],Tables!$B$12:$B$78, Tables!D$12:D$78)</f>
        <v>-1.6617000000000013</v>
      </c>
      <c r="N676" t="s">
        <v>23</v>
      </c>
      <c r="O676">
        <v>690</v>
      </c>
      <c r="P676">
        <v>13.1</v>
      </c>
      <c r="Q676">
        <v>4</v>
      </c>
      <c r="R676" t="str">
        <f>IF(AllDataCorrected[[#This Row],[Nitrate (PPM)]]&gt;2, "4. Very high (&gt;2ppm)", IF(AllDataCorrected[[#This Row],[Nitrate (PPM)]]&gt;1, "3. High (1-2ppm)", IF(AllDataCorrected[[#This Row],[Nitrate (PPM)]]&gt;0.5, "2. Some evidence (0.5-1ppm)", IF(AllDataCorrected[[#This Row],[Nitrate (PPM)]]&gt;=0, "1. No evidence (&lt;0.5ppm)"))))</f>
        <v>4. Very high (&gt;2ppm)</v>
      </c>
      <c r="S676">
        <v>0.5</v>
      </c>
      <c r="T6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6">
        <v>0.1</v>
      </c>
    </row>
    <row r="677" spans="1:22" x14ac:dyDescent="0.25">
      <c r="A677" t="s">
        <v>982</v>
      </c>
      <c r="B677" s="2">
        <v>45396</v>
      </c>
      <c r="C677" t="str" cm="1">
        <f t="array" ref="C6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7">
        <f>YEAR(AllDataCorrected[[#This Row],[Date]])</f>
        <v>2024</v>
      </c>
      <c r="E677" s="1">
        <v>0.76111111111111107</v>
      </c>
      <c r="F67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677" t="str">
        <f>_xlfn.XLOOKUP(AllDataCorrected[[#This Row],[Location Name]], Locations[Location Name],Locations[Group As])</f>
        <v>Pershore Bridges</v>
      </c>
      <c r="H677" t="e" vm="17">
        <f>_xlfn.XLOOKUP(AllDataCorrected[[#This Row],[Site Name]],LocationsKey[Site Name],LocationsKey[District])</f>
        <v>#VALUE!</v>
      </c>
      <c r="I677" t="e" vm="18">
        <f>_xlfn.XLOOKUP(AllDataCorrected[[#This Row],[Site Name]],LocationsKey[Site Name],LocationsKey[Town])</f>
        <v>#VALUE!</v>
      </c>
      <c r="J677" t="str">
        <f>_xlfn.XLOOKUP(AllDataCorrected[[#This Row],[Site Name]],LocationsKey[Site Name], LocationsKey[Waterway])</f>
        <v>Avon</v>
      </c>
      <c r="K677" t="s">
        <v>581</v>
      </c>
      <c r="L677">
        <f>_xlfn.XLOOKUP(AllDataCorrected[[#This Row],[Site Name]],Tables!$B$12:$B$78, Tables!C$12:C$78)</f>
        <v>52.104196285714281</v>
      </c>
      <c r="M677">
        <f>_xlfn.XLOOKUP(AllDataCorrected[[#This Row],[Site Name]],Tables!$B$12:$B$78, Tables!D$12:D$78)</f>
        <v>-2.0709292857142856</v>
      </c>
      <c r="O677">
        <v>822</v>
      </c>
      <c r="P677">
        <v>12.5</v>
      </c>
      <c r="Q677">
        <v>5</v>
      </c>
      <c r="R677" t="str">
        <f>IF(AllDataCorrected[[#This Row],[Nitrate (PPM)]]&gt;2, "4. Very high (&gt;2ppm)", IF(AllDataCorrected[[#This Row],[Nitrate (PPM)]]&gt;1, "3. High (1-2ppm)", IF(AllDataCorrected[[#This Row],[Nitrate (PPM)]]&gt;0.5, "2. Some evidence (0.5-1ppm)", IF(AllDataCorrected[[#This Row],[Nitrate (PPM)]]&gt;=0, "1. No evidence (&lt;0.5ppm)"))))</f>
        <v>4. Very high (&gt;2ppm)</v>
      </c>
      <c r="S677">
        <v>0.62</v>
      </c>
      <c r="T6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7">
        <v>3.34</v>
      </c>
    </row>
    <row r="678" spans="1:22" x14ac:dyDescent="0.25">
      <c r="A678" t="s">
        <v>1806</v>
      </c>
      <c r="B678" s="2">
        <v>45396</v>
      </c>
      <c r="C678" t="str" cm="1">
        <f t="array" ref="C6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8">
        <f>YEAR(AllDataCorrected[[#This Row],[Date]])</f>
        <v>2024</v>
      </c>
      <c r="F6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78" t="str">
        <f>_xlfn.XLOOKUP(AllDataCorrected[[#This Row],[Location Name]], Locations[Location Name],Locations[Group As])</f>
        <v>Site 1  :  Middle Street</v>
      </c>
      <c r="H678" t="e" vm="2">
        <f>_xlfn.XLOOKUP(AllDataCorrected[[#This Row],[Site Name]],LocationsKey[Site Name],LocationsKey[District])</f>
        <v>#VALUE!</v>
      </c>
      <c r="I678" t="e" vm="11">
        <f>_xlfn.XLOOKUP(AllDataCorrected[[#This Row],[Site Name]],LocationsKey[Site Name],LocationsKey[Town])</f>
        <v>#VALUE!</v>
      </c>
      <c r="J678" t="str">
        <f>_xlfn.XLOOKUP(AllDataCorrected[[#This Row],[Site Name]],LocationsKey[Site Name], LocationsKey[Waterway])</f>
        <v>Fosseway Brook</v>
      </c>
      <c r="K678" t="s">
        <v>1859</v>
      </c>
      <c r="L678">
        <f>_xlfn.XLOOKUP(AllDataCorrected[[#This Row],[Site Name]],Tables!$B$12:$B$78, Tables!C$12:C$78)</f>
        <v>52.090077380952394</v>
      </c>
      <c r="M678">
        <f>_xlfn.XLOOKUP(AllDataCorrected[[#This Row],[Site Name]],Tables!$B$12:$B$78, Tables!D$12:D$78)</f>
        <v>-1.6926051666666673</v>
      </c>
      <c r="N678" t="s">
        <v>66</v>
      </c>
      <c r="O678">
        <v>567</v>
      </c>
      <c r="P678">
        <v>14.8</v>
      </c>
      <c r="Q678">
        <v>2</v>
      </c>
      <c r="R678" t="str">
        <f>IF(AllDataCorrected[[#This Row],[Nitrate (PPM)]]&gt;2, "4. Very high (&gt;2ppm)", IF(AllDataCorrected[[#This Row],[Nitrate (PPM)]]&gt;1, "3. High (1-2ppm)", IF(AllDataCorrected[[#This Row],[Nitrate (PPM)]]&gt;0.5, "2. Some evidence (0.5-1ppm)", IF(AllDataCorrected[[#This Row],[Nitrate (PPM)]]&gt;=0, "1. No evidence (&lt;0.5ppm)"))))</f>
        <v>3. High (1-2ppm)</v>
      </c>
      <c r="S678">
        <v>0.24</v>
      </c>
      <c r="T6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8">
        <v>0</v>
      </c>
      <c r="V678" t="s">
        <v>1926</v>
      </c>
    </row>
    <row r="679" spans="1:22" x14ac:dyDescent="0.25">
      <c r="A679" t="s">
        <v>1377</v>
      </c>
      <c r="B679" s="2">
        <v>45396</v>
      </c>
      <c r="C679" t="str" cm="1">
        <f t="array" ref="C6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9">
        <f>YEAR(AllDataCorrected[[#This Row],[Date]])</f>
        <v>2024</v>
      </c>
      <c r="F6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79" t="str">
        <f>_xlfn.XLOOKUP(AllDataCorrected[[#This Row],[Location Name]], Locations[Location Name],Locations[Group As])</f>
        <v>Site 1  :  Middle Street</v>
      </c>
      <c r="H679" t="e" vm="2">
        <f>_xlfn.XLOOKUP(AllDataCorrected[[#This Row],[Site Name]],LocationsKey[Site Name],LocationsKey[District])</f>
        <v>#VALUE!</v>
      </c>
      <c r="I679" t="e" vm="11">
        <f>_xlfn.XLOOKUP(AllDataCorrected[[#This Row],[Site Name]],LocationsKey[Site Name],LocationsKey[Town])</f>
        <v>#VALUE!</v>
      </c>
      <c r="J679" t="str">
        <f>_xlfn.XLOOKUP(AllDataCorrected[[#This Row],[Site Name]],LocationsKey[Site Name], LocationsKey[Waterway])</f>
        <v>Fosseway Brook</v>
      </c>
      <c r="K679" t="s">
        <v>1373</v>
      </c>
      <c r="L679">
        <f>_xlfn.XLOOKUP(AllDataCorrected[[#This Row],[Site Name]],Tables!$B$12:$B$78, Tables!C$12:C$78)</f>
        <v>52.090077380952394</v>
      </c>
      <c r="M679">
        <f>_xlfn.XLOOKUP(AllDataCorrected[[#This Row],[Site Name]],Tables!$B$12:$B$78, Tables!D$12:D$78)</f>
        <v>-1.6926051666666673</v>
      </c>
      <c r="N679" t="s">
        <v>66</v>
      </c>
      <c r="O679">
        <v>567</v>
      </c>
      <c r="P679">
        <v>14.8</v>
      </c>
      <c r="Q679">
        <v>2</v>
      </c>
      <c r="R679" t="str">
        <f>IF(AllDataCorrected[[#This Row],[Nitrate (PPM)]]&gt;2, "4. Very high (&gt;2ppm)", IF(AllDataCorrected[[#This Row],[Nitrate (PPM)]]&gt;1, "3. High (1-2ppm)", IF(AllDataCorrected[[#This Row],[Nitrate (PPM)]]&gt;0.5, "2. Some evidence (0.5-1ppm)", IF(AllDataCorrected[[#This Row],[Nitrate (PPM)]]&gt;=0, "1. No evidence (&lt;0.5ppm)"))))</f>
        <v>3. High (1-2ppm)</v>
      </c>
      <c r="S679">
        <v>0.24</v>
      </c>
      <c r="T6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79" t="s">
        <v>1378</v>
      </c>
    </row>
    <row r="680" spans="1:22" x14ac:dyDescent="0.25">
      <c r="A680" t="s">
        <v>1807</v>
      </c>
      <c r="B680" s="2">
        <v>45396</v>
      </c>
      <c r="C680" t="str" cm="1">
        <f t="array" ref="C6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0">
        <f>YEAR(AllDataCorrected[[#This Row],[Date]])</f>
        <v>2024</v>
      </c>
      <c r="F6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0" t="str">
        <f>_xlfn.XLOOKUP(AllDataCorrected[[#This Row],[Location Name]], Locations[Location Name],Locations[Group As])</f>
        <v>Site 2  :  Cross Leys culvert</v>
      </c>
      <c r="H680" t="e" vm="2">
        <f>_xlfn.XLOOKUP(AllDataCorrected[[#This Row],[Site Name]],LocationsKey[Site Name],LocationsKey[District])</f>
        <v>#VALUE!</v>
      </c>
      <c r="I680" t="e" vm="11">
        <f>_xlfn.XLOOKUP(AllDataCorrected[[#This Row],[Site Name]],LocationsKey[Site Name],LocationsKey[Town])</f>
        <v>#VALUE!</v>
      </c>
      <c r="J680" t="str">
        <f>_xlfn.XLOOKUP(AllDataCorrected[[#This Row],[Site Name]],LocationsKey[Site Name], LocationsKey[Waterway])</f>
        <v>Fosseway Brook</v>
      </c>
      <c r="K680" t="s">
        <v>1860</v>
      </c>
      <c r="L680">
        <f>_xlfn.XLOOKUP(AllDataCorrected[[#This Row],[Site Name]],Tables!$B$12:$B$78, Tables!C$12:C$78)</f>
        <v>52.092990199999988</v>
      </c>
      <c r="M680">
        <f>_xlfn.XLOOKUP(AllDataCorrected[[#This Row],[Site Name]],Tables!$B$12:$B$78, Tables!D$12:D$78)</f>
        <v>-1.6862810999999998</v>
      </c>
      <c r="N680" t="s">
        <v>66</v>
      </c>
      <c r="O680">
        <v>638</v>
      </c>
      <c r="P680">
        <v>13.7</v>
      </c>
      <c r="Q680">
        <v>2</v>
      </c>
      <c r="R680" t="str">
        <f>IF(AllDataCorrected[[#This Row],[Nitrate (PPM)]]&gt;2, "4. Very high (&gt;2ppm)", IF(AllDataCorrected[[#This Row],[Nitrate (PPM)]]&gt;1, "3. High (1-2ppm)", IF(AllDataCorrected[[#This Row],[Nitrate (PPM)]]&gt;0.5, "2. Some evidence (0.5-1ppm)", IF(AllDataCorrected[[#This Row],[Nitrate (PPM)]]&gt;=0, "1. No evidence (&lt;0.5ppm)"))))</f>
        <v>3. High (1-2ppm)</v>
      </c>
      <c r="S680">
        <v>0.26</v>
      </c>
      <c r="T6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0">
        <v>0</v>
      </c>
      <c r="V680" t="s">
        <v>1909</v>
      </c>
    </row>
    <row r="681" spans="1:22" x14ac:dyDescent="0.25">
      <c r="A681" t="s">
        <v>1376</v>
      </c>
      <c r="B681" s="2">
        <v>45396</v>
      </c>
      <c r="C681" t="str" cm="1">
        <f t="array" ref="C6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1">
        <f>YEAR(AllDataCorrected[[#This Row],[Date]])</f>
        <v>2024</v>
      </c>
      <c r="F6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1" t="str">
        <f>_xlfn.XLOOKUP(AllDataCorrected[[#This Row],[Location Name]], Locations[Location Name],Locations[Group As])</f>
        <v>Site 2  :  Cross Leys culvert</v>
      </c>
      <c r="H681" t="e" vm="2">
        <f>_xlfn.XLOOKUP(AllDataCorrected[[#This Row],[Site Name]],LocationsKey[Site Name],LocationsKey[District])</f>
        <v>#VALUE!</v>
      </c>
      <c r="I681" t="e" vm="11">
        <f>_xlfn.XLOOKUP(AllDataCorrected[[#This Row],[Site Name]],LocationsKey[Site Name],LocationsKey[Town])</f>
        <v>#VALUE!</v>
      </c>
      <c r="J681" t="str">
        <f>_xlfn.XLOOKUP(AllDataCorrected[[#This Row],[Site Name]],LocationsKey[Site Name], LocationsKey[Waterway])</f>
        <v>Fosseway Brook</v>
      </c>
      <c r="K681" t="s">
        <v>1371</v>
      </c>
      <c r="L681">
        <f>_xlfn.XLOOKUP(AllDataCorrected[[#This Row],[Site Name]],Tables!$B$12:$B$78, Tables!C$12:C$78)</f>
        <v>52.092990199999988</v>
      </c>
      <c r="M681">
        <f>_xlfn.XLOOKUP(AllDataCorrected[[#This Row],[Site Name]],Tables!$B$12:$B$78, Tables!D$12:D$78)</f>
        <v>-1.6862810999999998</v>
      </c>
      <c r="N681" t="s">
        <v>66</v>
      </c>
      <c r="O681">
        <v>638</v>
      </c>
      <c r="P681">
        <v>13.7</v>
      </c>
      <c r="Q681">
        <v>2</v>
      </c>
      <c r="R681" t="str">
        <f>IF(AllDataCorrected[[#This Row],[Nitrate (PPM)]]&gt;2, "4. Very high (&gt;2ppm)", IF(AllDataCorrected[[#This Row],[Nitrate (PPM)]]&gt;1, "3. High (1-2ppm)", IF(AllDataCorrected[[#This Row],[Nitrate (PPM)]]&gt;0.5, "2. Some evidence (0.5-1ppm)", IF(AllDataCorrected[[#This Row],[Nitrate (PPM)]]&gt;=0, "1. No evidence (&lt;0.5ppm)"))))</f>
        <v>3. High (1-2ppm)</v>
      </c>
      <c r="S681">
        <v>0.26</v>
      </c>
      <c r="T6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682" spans="1:22" x14ac:dyDescent="0.25">
      <c r="A682" t="s">
        <v>1808</v>
      </c>
      <c r="B682" s="2">
        <v>45396</v>
      </c>
      <c r="C682" t="str" cm="1">
        <f t="array" ref="C6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2">
        <f>YEAR(AllDataCorrected[[#This Row],[Date]])</f>
        <v>2024</v>
      </c>
      <c r="F68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2" t="str">
        <f>_xlfn.XLOOKUP(AllDataCorrected[[#This Row],[Location Name]], Locations[Location Name],Locations[Group As])</f>
        <v>Site 3  :  Severn Trent Water processing plant outflow</v>
      </c>
      <c r="H682" t="e" vm="2">
        <f>_xlfn.XLOOKUP(AllDataCorrected[[#This Row],[Site Name]],LocationsKey[Site Name],LocationsKey[District])</f>
        <v>#VALUE!</v>
      </c>
      <c r="I682" t="e" vm="11">
        <f>_xlfn.XLOOKUP(AllDataCorrected[[#This Row],[Site Name]],LocationsKey[Site Name],LocationsKey[Town])</f>
        <v>#VALUE!</v>
      </c>
      <c r="J682" t="str">
        <f>_xlfn.XLOOKUP(AllDataCorrected[[#This Row],[Site Name]],LocationsKey[Site Name], LocationsKey[Waterway])</f>
        <v>Fosseway Brook</v>
      </c>
      <c r="K682" t="s">
        <v>1861</v>
      </c>
      <c r="L682">
        <f>_xlfn.XLOOKUP(AllDataCorrected[[#This Row],[Site Name]],Tables!$B$12:$B$78, Tables!C$12:C$78)</f>
        <v>52.094341024390218</v>
      </c>
      <c r="M682">
        <f>_xlfn.XLOOKUP(AllDataCorrected[[#This Row],[Site Name]],Tables!$B$12:$B$78, Tables!D$12:D$78)</f>
        <v>-1.6731015853658531</v>
      </c>
      <c r="N682" t="s">
        <v>29</v>
      </c>
      <c r="O682">
        <v>841</v>
      </c>
      <c r="P682">
        <v>14.5</v>
      </c>
      <c r="Q682">
        <v>5</v>
      </c>
      <c r="R682" t="str">
        <f>IF(AllDataCorrected[[#This Row],[Nitrate (PPM)]]&gt;2, "4. Very high (&gt;2ppm)", IF(AllDataCorrected[[#This Row],[Nitrate (PPM)]]&gt;1, "3. High (1-2ppm)", IF(AllDataCorrected[[#This Row],[Nitrate (PPM)]]&gt;0.5, "2. Some evidence (0.5-1ppm)", IF(AllDataCorrected[[#This Row],[Nitrate (PPM)]]&gt;=0, "1. No evidence (&lt;0.5ppm)"))))</f>
        <v>4. Very high (&gt;2ppm)</v>
      </c>
      <c r="S682">
        <v>2.5</v>
      </c>
      <c r="T6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2">
        <v>0</v>
      </c>
      <c r="V682" t="s">
        <v>1910</v>
      </c>
    </row>
    <row r="683" spans="1:22" x14ac:dyDescent="0.25">
      <c r="A683" t="s">
        <v>1375</v>
      </c>
      <c r="B683" s="2">
        <v>45396</v>
      </c>
      <c r="C683" t="str" cm="1">
        <f t="array" ref="C6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3">
        <f>YEAR(AllDataCorrected[[#This Row],[Date]])</f>
        <v>2024</v>
      </c>
      <c r="F68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3" t="str">
        <f>_xlfn.XLOOKUP(AllDataCorrected[[#This Row],[Location Name]], Locations[Location Name],Locations[Group As])</f>
        <v>Site 3  :  Severn Trent Water processing plant outflow</v>
      </c>
      <c r="H683" t="e" vm="2">
        <f>_xlfn.XLOOKUP(AllDataCorrected[[#This Row],[Site Name]],LocationsKey[Site Name],LocationsKey[District])</f>
        <v>#VALUE!</v>
      </c>
      <c r="I683" t="e" vm="11">
        <f>_xlfn.XLOOKUP(AllDataCorrected[[#This Row],[Site Name]],LocationsKey[Site Name],LocationsKey[Town])</f>
        <v>#VALUE!</v>
      </c>
      <c r="J683" t="str">
        <f>_xlfn.XLOOKUP(AllDataCorrected[[#This Row],[Site Name]],LocationsKey[Site Name], LocationsKey[Waterway])</f>
        <v>Fosseway Brook</v>
      </c>
      <c r="K683" t="s">
        <v>1368</v>
      </c>
      <c r="L683">
        <f>_xlfn.XLOOKUP(AllDataCorrected[[#This Row],[Site Name]],Tables!$B$12:$B$78, Tables!C$12:C$78)</f>
        <v>52.094341024390218</v>
      </c>
      <c r="M683">
        <f>_xlfn.XLOOKUP(AllDataCorrected[[#This Row],[Site Name]],Tables!$B$12:$B$78, Tables!D$12:D$78)</f>
        <v>-1.6731015853658531</v>
      </c>
      <c r="N683" t="s">
        <v>29</v>
      </c>
      <c r="O683">
        <v>841</v>
      </c>
      <c r="P683">
        <v>14.5</v>
      </c>
      <c r="Q683">
        <v>5</v>
      </c>
      <c r="R683" t="str">
        <f>IF(AllDataCorrected[[#This Row],[Nitrate (PPM)]]&gt;2, "4. Very high (&gt;2ppm)", IF(AllDataCorrected[[#This Row],[Nitrate (PPM)]]&gt;1, "3. High (1-2ppm)", IF(AllDataCorrected[[#This Row],[Nitrate (PPM)]]&gt;0.5, "2. Some evidence (0.5-1ppm)", IF(AllDataCorrected[[#This Row],[Nitrate (PPM)]]&gt;=0, "1. No evidence (&lt;0.5ppm)"))))</f>
        <v>4. Very high (&gt;2ppm)</v>
      </c>
      <c r="S683">
        <v>2.5</v>
      </c>
      <c r="T6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684" spans="1:22" x14ac:dyDescent="0.25">
      <c r="A684" t="s">
        <v>984</v>
      </c>
      <c r="B684" s="2">
        <v>45397</v>
      </c>
      <c r="C684" t="str" cm="1">
        <f t="array" ref="C6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4">
        <f>YEAR(AllDataCorrected[[#This Row],[Date]])</f>
        <v>2024</v>
      </c>
      <c r="E684" s="1">
        <v>0.59444444444444444</v>
      </c>
      <c r="F6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4" t="str">
        <f>_xlfn.XLOOKUP(AllDataCorrected[[#This Row],[Location Name]], Locations[Location Name],Locations[Group As])</f>
        <v>Alveston Weir</v>
      </c>
      <c r="H684" t="e" vm="2">
        <f>_xlfn.XLOOKUP(AllDataCorrected[[#This Row],[Site Name]],LocationsKey[Site Name],LocationsKey[District])</f>
        <v>#VALUE!</v>
      </c>
      <c r="I684" t="e" vm="13">
        <f>_xlfn.XLOOKUP(AllDataCorrected[[#This Row],[Site Name]],LocationsKey[Site Name],LocationsKey[Town])</f>
        <v>#VALUE!</v>
      </c>
      <c r="J684" t="str">
        <f>_xlfn.XLOOKUP(AllDataCorrected[[#This Row],[Site Name]],LocationsKey[Site Name], LocationsKey[Waterway])</f>
        <v>Avon</v>
      </c>
      <c r="K684" t="s">
        <v>286</v>
      </c>
      <c r="L684">
        <f>_xlfn.XLOOKUP(AllDataCorrected[[#This Row],[Site Name]],Tables!$B$12:$B$78, Tables!C$12:C$78)</f>
        <v>52.212366690476216</v>
      </c>
      <c r="M684">
        <f>_xlfn.XLOOKUP(AllDataCorrected[[#This Row],[Site Name]],Tables!$B$12:$B$78, Tables!D$12:D$78)</f>
        <v>-1.6602567619047619</v>
      </c>
      <c r="N684" t="s">
        <v>29</v>
      </c>
      <c r="O684">
        <v>666</v>
      </c>
      <c r="P684">
        <v>15</v>
      </c>
      <c r="Q684">
        <v>10</v>
      </c>
      <c r="R684" t="str">
        <f>IF(AllDataCorrected[[#This Row],[Nitrate (PPM)]]&gt;2, "4. Very high (&gt;2ppm)", IF(AllDataCorrected[[#This Row],[Nitrate (PPM)]]&gt;1, "3. High (1-2ppm)", IF(AllDataCorrected[[#This Row],[Nitrate (PPM)]]&gt;0.5, "2. Some evidence (0.5-1ppm)", IF(AllDataCorrected[[#This Row],[Nitrate (PPM)]]&gt;=0, "1. No evidence (&lt;0.5ppm)"))))</f>
        <v>4. Very high (&gt;2ppm)</v>
      </c>
      <c r="S684">
        <v>0.44</v>
      </c>
      <c r="T6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4">
        <v>0</v>
      </c>
      <c r="V684" t="s">
        <v>985</v>
      </c>
    </row>
    <row r="685" spans="1:22" x14ac:dyDescent="0.25">
      <c r="A685" t="s">
        <v>986</v>
      </c>
      <c r="B685" s="2">
        <v>45397</v>
      </c>
      <c r="C685" t="str" cm="1">
        <f t="array" ref="C6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5">
        <f>YEAR(AllDataCorrected[[#This Row],[Date]])</f>
        <v>2024</v>
      </c>
      <c r="E685" s="1">
        <v>0.59722222222222221</v>
      </c>
      <c r="F6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5" t="str">
        <f>_xlfn.XLOOKUP(AllDataCorrected[[#This Row],[Location Name]], Locations[Location Name],Locations[Group As])</f>
        <v>Abbey Mill</v>
      </c>
      <c r="H685" t="e" vm="1">
        <f>_xlfn.XLOOKUP(AllDataCorrected[[#This Row],[Site Name]],LocationsKey[Site Name],LocationsKey[District])</f>
        <v>#VALUE!</v>
      </c>
      <c r="I685" t="e" vm="1">
        <f>_xlfn.XLOOKUP(AllDataCorrected[[#This Row],[Site Name]],LocationsKey[Site Name],LocationsKey[Town])</f>
        <v>#VALUE!</v>
      </c>
      <c r="J685" t="str">
        <f>_xlfn.XLOOKUP(AllDataCorrected[[#This Row],[Site Name]],LocationsKey[Site Name], LocationsKey[Waterway])</f>
        <v>Avon</v>
      </c>
      <c r="K685" t="s">
        <v>25</v>
      </c>
      <c r="L685">
        <f>_xlfn.XLOOKUP(AllDataCorrected[[#This Row],[Site Name]],Tables!$B$12:$B$78, Tables!C$12:C$78)</f>
        <v>51.991389555555564</v>
      </c>
      <c r="M685">
        <f>_xlfn.XLOOKUP(AllDataCorrected[[#This Row],[Site Name]],Tables!$B$12:$B$78, Tables!D$12:D$78)</f>
        <v>-2.1620794000000005</v>
      </c>
      <c r="N685" t="s">
        <v>23</v>
      </c>
      <c r="O685">
        <v>794</v>
      </c>
      <c r="P685">
        <v>13</v>
      </c>
      <c r="Q685">
        <v>10</v>
      </c>
      <c r="R685" t="str">
        <f>IF(AllDataCorrected[[#This Row],[Nitrate (PPM)]]&gt;2, "4. Very high (&gt;2ppm)", IF(AllDataCorrected[[#This Row],[Nitrate (PPM)]]&gt;1, "3. High (1-2ppm)", IF(AllDataCorrected[[#This Row],[Nitrate (PPM)]]&gt;0.5, "2. Some evidence (0.5-1ppm)", IF(AllDataCorrected[[#This Row],[Nitrate (PPM)]]&gt;=0, "1. No evidence (&lt;0.5ppm)"))))</f>
        <v>4. Very high (&gt;2ppm)</v>
      </c>
      <c r="S685">
        <v>0.52</v>
      </c>
      <c r="T6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5">
        <v>0.5</v>
      </c>
      <c r="V685" t="s">
        <v>987</v>
      </c>
    </row>
    <row r="686" spans="1:22" x14ac:dyDescent="0.25">
      <c r="A686" t="s">
        <v>988</v>
      </c>
      <c r="B686" s="2">
        <v>45397</v>
      </c>
      <c r="C686" t="str" cm="1">
        <f t="array" ref="C6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6">
        <f>YEAR(AllDataCorrected[[#This Row],[Date]])</f>
        <v>2024</v>
      </c>
      <c r="E686" s="1">
        <v>0.60416666666666663</v>
      </c>
      <c r="F6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6" t="str">
        <f>_xlfn.XLOOKUP(AllDataCorrected[[#This Row],[Location Name]], Locations[Location Name],Locations[Group As])</f>
        <v>Swiffen Bank</v>
      </c>
      <c r="H686" t="e" vm="2">
        <f>_xlfn.XLOOKUP(AllDataCorrected[[#This Row],[Site Name]],LocationsKey[Site Name],LocationsKey[District])</f>
        <v>#VALUE!</v>
      </c>
      <c r="I686" t="e" vm="13">
        <f>_xlfn.XLOOKUP(AllDataCorrected[[#This Row],[Site Name]],LocationsKey[Site Name],LocationsKey[Town])</f>
        <v>#VALUE!</v>
      </c>
      <c r="J686" t="str">
        <f>_xlfn.XLOOKUP(AllDataCorrected[[#This Row],[Site Name]],LocationsKey[Site Name], LocationsKey[Waterway])</f>
        <v>Avon</v>
      </c>
      <c r="K686" t="s">
        <v>284</v>
      </c>
      <c r="L686">
        <f>_xlfn.XLOOKUP(AllDataCorrected[[#This Row],[Site Name]],Tables!$B$12:$B$78, Tables!C$12:C$78)</f>
        <v>52.206446825000015</v>
      </c>
      <c r="M686">
        <f>_xlfn.XLOOKUP(AllDataCorrected[[#This Row],[Site Name]],Tables!$B$12:$B$78, Tables!D$12:D$78)</f>
        <v>-1.6541684000000003</v>
      </c>
      <c r="N686" t="s">
        <v>29</v>
      </c>
      <c r="O686">
        <v>675</v>
      </c>
      <c r="P686">
        <v>12.7</v>
      </c>
      <c r="Q686">
        <v>10</v>
      </c>
      <c r="R686" t="str">
        <f>IF(AllDataCorrected[[#This Row],[Nitrate (PPM)]]&gt;2, "4. Very high (&gt;2ppm)", IF(AllDataCorrected[[#This Row],[Nitrate (PPM)]]&gt;1, "3. High (1-2ppm)", IF(AllDataCorrected[[#This Row],[Nitrate (PPM)]]&gt;0.5, "2. Some evidence (0.5-1ppm)", IF(AllDataCorrected[[#This Row],[Nitrate (PPM)]]&gt;=0, "1. No evidence (&lt;0.5ppm)"))))</f>
        <v>4. Very high (&gt;2ppm)</v>
      </c>
      <c r="S686">
        <v>0.41</v>
      </c>
      <c r="T6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6">
        <v>0</v>
      </c>
    </row>
    <row r="687" spans="1:22" x14ac:dyDescent="0.25">
      <c r="A687" t="s">
        <v>989</v>
      </c>
      <c r="B687" s="2">
        <v>45397</v>
      </c>
      <c r="C687" t="str" cm="1">
        <f t="array" ref="C6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7">
        <f>YEAR(AllDataCorrected[[#This Row],[Date]])</f>
        <v>2024</v>
      </c>
      <c r="E687" s="1">
        <v>0.64513888888888893</v>
      </c>
      <c r="F6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7" t="str">
        <f>_xlfn.XLOOKUP(AllDataCorrected[[#This Row],[Location Name]], Locations[Location Name],Locations[Group As])</f>
        <v>The Ford, Langley</v>
      </c>
      <c r="H687" t="e" vm="2">
        <f>_xlfn.XLOOKUP(AllDataCorrected[[#This Row],[Site Name]],LocationsKey[Site Name],LocationsKey[District])</f>
        <v>#VALUE!</v>
      </c>
      <c r="I687" t="str">
        <f>_xlfn.XLOOKUP(AllDataCorrected[[#This Row],[Site Name]],LocationsKey[Site Name],LocationsKey[Town])</f>
        <v>Langley</v>
      </c>
      <c r="J687" t="str">
        <f>_xlfn.XLOOKUP(AllDataCorrected[[#This Row],[Site Name]],LocationsKey[Site Name], LocationsKey[Waterway])</f>
        <v>Langley Ford</v>
      </c>
      <c r="K687" t="s">
        <v>557</v>
      </c>
      <c r="L687">
        <f>_xlfn.XLOOKUP(AllDataCorrected[[#This Row],[Site Name]],Tables!$B$12:$B$78, Tables!C$12:C$78)</f>
        <v>52.261724821428579</v>
      </c>
      <c r="M687">
        <f>_xlfn.XLOOKUP(AllDataCorrected[[#This Row],[Site Name]],Tables!$B$12:$B$78, Tables!D$12:D$78)</f>
        <v>-1.719408857142857</v>
      </c>
      <c r="N687" t="s">
        <v>29</v>
      </c>
      <c r="O687">
        <v>582</v>
      </c>
      <c r="P687">
        <v>11.2</v>
      </c>
      <c r="Q687">
        <v>0.5</v>
      </c>
      <c r="R68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87">
        <v>0.78</v>
      </c>
      <c r="T6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7">
        <v>0.65</v>
      </c>
    </row>
    <row r="688" spans="1:22" x14ac:dyDescent="0.25">
      <c r="A688" t="s">
        <v>990</v>
      </c>
      <c r="B688" s="2">
        <v>45398</v>
      </c>
      <c r="C688" t="str" cm="1">
        <f t="array" ref="C6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8">
        <f>YEAR(AllDataCorrected[[#This Row],[Date]])</f>
        <v>2024</v>
      </c>
      <c r="E688" s="1">
        <v>0.37152777777777779</v>
      </c>
      <c r="F6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8" t="str">
        <f>_xlfn.XLOOKUP(AllDataCorrected[[#This Row],[Location Name]], Locations[Location Name],Locations[Group As])</f>
        <v>Stour Stretton-on-Fosse Village</v>
      </c>
      <c r="H688" t="e" vm="2">
        <f>_xlfn.XLOOKUP(AllDataCorrected[[#This Row],[Site Name]],LocationsKey[Site Name],LocationsKey[District])</f>
        <v>#VALUE!</v>
      </c>
      <c r="I688" t="e" vm="14">
        <f>_xlfn.XLOOKUP(AllDataCorrected[[#This Row],[Site Name]],LocationsKey[Site Name],LocationsKey[Town])</f>
        <v>#VALUE!</v>
      </c>
      <c r="J688" t="str">
        <f>_xlfn.XLOOKUP(AllDataCorrected[[#This Row],[Site Name]],LocationsKey[Site Name], LocationsKey[Waterway])</f>
        <v>Stour</v>
      </c>
      <c r="K688" t="s">
        <v>544</v>
      </c>
      <c r="L688">
        <f>_xlfn.XLOOKUP(AllDataCorrected[[#This Row],[Site Name]],Tables!$B$12:$B$78, Tables!C$12:C$78)</f>
        <v>52.046517558823524</v>
      </c>
      <c r="M688">
        <f>_xlfn.XLOOKUP(AllDataCorrected[[#This Row],[Site Name]],Tables!$B$12:$B$78, Tables!D$12:D$78)</f>
        <v>-1.6734143529411767</v>
      </c>
      <c r="N688" t="s">
        <v>66</v>
      </c>
      <c r="O688">
        <v>713</v>
      </c>
      <c r="P688">
        <v>8.9</v>
      </c>
      <c r="Q688">
        <v>2</v>
      </c>
      <c r="R688" t="str">
        <f>IF(AllDataCorrected[[#This Row],[Nitrate (PPM)]]&gt;2, "4. Very high (&gt;2ppm)", IF(AllDataCorrected[[#This Row],[Nitrate (PPM)]]&gt;1, "3. High (1-2ppm)", IF(AllDataCorrected[[#This Row],[Nitrate (PPM)]]&gt;0.5, "2. Some evidence (0.5-1ppm)", IF(AllDataCorrected[[#This Row],[Nitrate (PPM)]]&gt;=0, "1. No evidence (&lt;0.5ppm)"))))</f>
        <v>3. High (1-2ppm)</v>
      </c>
      <c r="S688">
        <v>1.99</v>
      </c>
      <c r="T6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8">
        <v>0.2</v>
      </c>
    </row>
    <row r="689" spans="1:22" x14ac:dyDescent="0.25">
      <c r="A689" t="s">
        <v>991</v>
      </c>
      <c r="B689" s="2">
        <v>45398</v>
      </c>
      <c r="C689" t="str" cm="1">
        <f t="array" ref="C6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9">
        <f>YEAR(AllDataCorrected[[#This Row],[Date]])</f>
        <v>2024</v>
      </c>
      <c r="E689" s="1">
        <v>0.38333333333333336</v>
      </c>
      <c r="F6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9" t="str">
        <f>_xlfn.XLOOKUP(AllDataCorrected[[#This Row],[Location Name]], Locations[Location Name],Locations[Group As])</f>
        <v>Stour Stretton-on-Fosse Sewage Works</v>
      </c>
      <c r="H689" t="e" vm="2">
        <f>_xlfn.XLOOKUP(AllDataCorrected[[#This Row],[Site Name]],LocationsKey[Site Name],LocationsKey[District])</f>
        <v>#VALUE!</v>
      </c>
      <c r="I689" t="e" vm="14">
        <f>_xlfn.XLOOKUP(AllDataCorrected[[#This Row],[Site Name]],LocationsKey[Site Name],LocationsKey[Town])</f>
        <v>#VALUE!</v>
      </c>
      <c r="J689" t="str">
        <f>_xlfn.XLOOKUP(AllDataCorrected[[#This Row],[Site Name]],LocationsKey[Site Name], LocationsKey[Waterway])</f>
        <v>Stour</v>
      </c>
      <c r="K689" t="s">
        <v>335</v>
      </c>
      <c r="L689">
        <f>_xlfn.XLOOKUP(AllDataCorrected[[#This Row],[Site Name]],Tables!$B$12:$B$78, Tables!C$12:C$78)</f>
        <v>52.045653647058806</v>
      </c>
      <c r="M689">
        <f>_xlfn.XLOOKUP(AllDataCorrected[[#This Row],[Site Name]],Tables!$B$12:$B$78, Tables!D$12:D$78)</f>
        <v>-1.6719221470588235</v>
      </c>
      <c r="N689" t="s">
        <v>29</v>
      </c>
      <c r="O689">
        <v>753</v>
      </c>
      <c r="P689">
        <v>9.1999999999999993</v>
      </c>
      <c r="Q689">
        <v>2</v>
      </c>
      <c r="R689" t="str">
        <f>IF(AllDataCorrected[[#This Row],[Nitrate (PPM)]]&gt;2, "4. Very high (&gt;2ppm)", IF(AllDataCorrected[[#This Row],[Nitrate (PPM)]]&gt;1, "3. High (1-2ppm)", IF(AllDataCorrected[[#This Row],[Nitrate (PPM)]]&gt;0.5, "2. Some evidence (0.5-1ppm)", IF(AllDataCorrected[[#This Row],[Nitrate (PPM)]]&gt;=0, "1. No evidence (&lt;0.5ppm)"))))</f>
        <v>3. High (1-2ppm)</v>
      </c>
      <c r="S689">
        <v>2.5</v>
      </c>
      <c r="T6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9">
        <v>0.2</v>
      </c>
      <c r="V689" t="s">
        <v>992</v>
      </c>
    </row>
    <row r="690" spans="1:22" x14ac:dyDescent="0.25">
      <c r="A690" t="s">
        <v>993</v>
      </c>
      <c r="B690" s="2">
        <v>45399</v>
      </c>
      <c r="C690" t="str" cm="1">
        <f t="array" ref="C6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0">
        <f>YEAR(AllDataCorrected[[#This Row],[Date]])</f>
        <v>2024</v>
      </c>
      <c r="E690" s="1">
        <v>0.66666666666666663</v>
      </c>
      <c r="F6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0" t="str">
        <f>_xlfn.XLOOKUP(AllDataCorrected[[#This Row],[Location Name]], Locations[Location Name],Locations[Group As])</f>
        <v>Stour Newbold Mill</v>
      </c>
      <c r="H690" t="e" vm="2">
        <f>_xlfn.XLOOKUP(AllDataCorrected[[#This Row],[Site Name]],LocationsKey[Site Name],LocationsKey[District])</f>
        <v>#VALUE!</v>
      </c>
      <c r="I690" t="e" vm="8">
        <f>_xlfn.XLOOKUP(AllDataCorrected[[#This Row],[Site Name]],LocationsKey[Site Name],LocationsKey[Town])</f>
        <v>#VALUE!</v>
      </c>
      <c r="J690" t="str">
        <f>_xlfn.XLOOKUP(AllDataCorrected[[#This Row],[Site Name]],LocationsKey[Site Name], LocationsKey[Waterway])</f>
        <v>Stour</v>
      </c>
      <c r="K690" t="s">
        <v>140</v>
      </c>
      <c r="L690">
        <f>_xlfn.XLOOKUP(AllDataCorrected[[#This Row],[Site Name]],Tables!$B$12:$B$78, Tables!C$12:C$78)</f>
        <v>52.113052370370362</v>
      </c>
      <c r="M690">
        <f>_xlfn.XLOOKUP(AllDataCorrected[[#This Row],[Site Name]],Tables!$B$12:$B$78, Tables!D$12:D$78)</f>
        <v>-1.6333685185185185</v>
      </c>
      <c r="N690" t="s">
        <v>29</v>
      </c>
      <c r="O690">
        <v>572</v>
      </c>
      <c r="P690">
        <v>18.100000000000001</v>
      </c>
      <c r="Q690">
        <v>2</v>
      </c>
      <c r="R690" t="str">
        <f>IF(AllDataCorrected[[#This Row],[Nitrate (PPM)]]&gt;2, "4. Very high (&gt;2ppm)", IF(AllDataCorrected[[#This Row],[Nitrate (PPM)]]&gt;1, "3. High (1-2ppm)", IF(AllDataCorrected[[#This Row],[Nitrate (PPM)]]&gt;0.5, "2. Some evidence (0.5-1ppm)", IF(AllDataCorrected[[#This Row],[Nitrate (PPM)]]&gt;=0, "1. No evidence (&lt;0.5ppm)"))))</f>
        <v>3. High (1-2ppm)</v>
      </c>
      <c r="S690">
        <v>0.27</v>
      </c>
      <c r="T6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0">
        <v>2.5</v>
      </c>
      <c r="V690" t="s">
        <v>529</v>
      </c>
    </row>
    <row r="691" spans="1:22" x14ac:dyDescent="0.25">
      <c r="A691" t="s">
        <v>994</v>
      </c>
      <c r="B691" s="2">
        <v>45400</v>
      </c>
      <c r="C691" t="str" cm="1">
        <f t="array" ref="C6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1">
        <f>YEAR(AllDataCorrected[[#This Row],[Date]])</f>
        <v>2024</v>
      </c>
      <c r="E691" s="1">
        <v>0.43472222222222223</v>
      </c>
      <c r="F6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91" t="str">
        <f>_xlfn.XLOOKUP(AllDataCorrected[[#This Row],[Location Name]], Locations[Location Name],Locations[Group As])</f>
        <v>Stour Willington</v>
      </c>
      <c r="H691" t="e" vm="2">
        <f>_xlfn.XLOOKUP(AllDataCorrected[[#This Row],[Site Name]],LocationsKey[Site Name],LocationsKey[District])</f>
        <v>#VALUE!</v>
      </c>
      <c r="I691" t="str">
        <f>_xlfn.XLOOKUP(AllDataCorrected[[#This Row],[Site Name]],LocationsKey[Site Name],LocationsKey[Town])</f>
        <v>Willington</v>
      </c>
      <c r="J691" t="str">
        <f>_xlfn.XLOOKUP(AllDataCorrected[[#This Row],[Site Name]],LocationsKey[Site Name], LocationsKey[Waterway])</f>
        <v>Stour</v>
      </c>
      <c r="K691" t="s">
        <v>517</v>
      </c>
      <c r="L691">
        <f>_xlfn.XLOOKUP(AllDataCorrected[[#This Row],[Site Name]],Tables!$B$12:$B$78, Tables!C$12:C$78)</f>
        <v>52.053154375000005</v>
      </c>
      <c r="M691">
        <f>_xlfn.XLOOKUP(AllDataCorrected[[#This Row],[Site Name]],Tables!$B$12:$B$78, Tables!D$12:D$78)</f>
        <v>-1.6191991562500001</v>
      </c>
      <c r="N691" t="s">
        <v>23</v>
      </c>
      <c r="O691">
        <v>597</v>
      </c>
      <c r="P691">
        <v>10.7</v>
      </c>
      <c r="Q691">
        <v>2</v>
      </c>
      <c r="R691" t="str">
        <f>IF(AllDataCorrected[[#This Row],[Nitrate (PPM)]]&gt;2, "4. Very high (&gt;2ppm)", IF(AllDataCorrected[[#This Row],[Nitrate (PPM)]]&gt;1, "3. High (1-2ppm)", IF(AllDataCorrected[[#This Row],[Nitrate (PPM)]]&gt;0.5, "2. Some evidence (0.5-1ppm)", IF(AllDataCorrected[[#This Row],[Nitrate (PPM)]]&gt;=0, "1. No evidence (&lt;0.5ppm)"))))</f>
        <v>3. High (1-2ppm)</v>
      </c>
      <c r="S691">
        <v>0.15</v>
      </c>
      <c r="T6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1">
        <v>0.5</v>
      </c>
    </row>
    <row r="692" spans="1:22" x14ac:dyDescent="0.25">
      <c r="A692" t="s">
        <v>995</v>
      </c>
      <c r="B692" s="2">
        <v>45400</v>
      </c>
      <c r="C692" t="str" cm="1">
        <f t="array" ref="C6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2">
        <f>YEAR(AllDataCorrected[[#This Row],[Date]])</f>
        <v>2024</v>
      </c>
      <c r="E692" s="1">
        <v>0.44791666666666669</v>
      </c>
      <c r="F6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92" t="str">
        <f>_xlfn.XLOOKUP(AllDataCorrected[[#This Row],[Location Name]], Locations[Location Name],Locations[Group As])</f>
        <v>Swilgate</v>
      </c>
      <c r="H692" t="e" vm="1">
        <f>_xlfn.XLOOKUP(AllDataCorrected[[#This Row],[Site Name]],LocationsKey[Site Name],LocationsKey[District])</f>
        <v>#VALUE!</v>
      </c>
      <c r="I692" t="e" vm="1">
        <f>_xlfn.XLOOKUP(AllDataCorrected[[#This Row],[Site Name]],LocationsKey[Site Name],LocationsKey[Town])</f>
        <v>#VALUE!</v>
      </c>
      <c r="J692" t="str">
        <f>_xlfn.XLOOKUP(AllDataCorrected[[#This Row],[Site Name]],LocationsKey[Site Name], LocationsKey[Waterway])</f>
        <v>Swilgate</v>
      </c>
      <c r="K692" t="s">
        <v>84</v>
      </c>
      <c r="L692">
        <f>_xlfn.XLOOKUP(AllDataCorrected[[#This Row],[Site Name]],Tables!$B$12:$B$78, Tables!C$12:C$78)</f>
        <v>51.9885442</v>
      </c>
      <c r="M692">
        <f>_xlfn.XLOOKUP(AllDataCorrected[[#This Row],[Site Name]],Tables!$B$12:$B$78, Tables!D$12:D$78)</f>
        <v>-2.1639010000000001</v>
      </c>
      <c r="N692" t="s">
        <v>23</v>
      </c>
      <c r="O692">
        <v>928</v>
      </c>
      <c r="P692">
        <v>10.5</v>
      </c>
      <c r="Q692">
        <v>3</v>
      </c>
      <c r="R692" t="str">
        <f>IF(AllDataCorrected[[#This Row],[Nitrate (PPM)]]&gt;2, "4. Very high (&gt;2ppm)", IF(AllDataCorrected[[#This Row],[Nitrate (PPM)]]&gt;1, "3. High (1-2ppm)", IF(AllDataCorrected[[#This Row],[Nitrate (PPM)]]&gt;0.5, "2. Some evidence (0.5-1ppm)", IF(AllDataCorrected[[#This Row],[Nitrate (PPM)]]&gt;=0, "1. No evidence (&lt;0.5ppm)"))))</f>
        <v>4. Very high (&gt;2ppm)</v>
      </c>
      <c r="S692">
        <v>0.37</v>
      </c>
      <c r="T6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2">
        <v>0</v>
      </c>
    </row>
    <row r="693" spans="1:22" x14ac:dyDescent="0.25">
      <c r="A693" t="s">
        <v>996</v>
      </c>
      <c r="B693" s="2">
        <v>45400</v>
      </c>
      <c r="C693" t="str" cm="1">
        <f t="array" ref="C6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3">
        <f>YEAR(AllDataCorrected[[#This Row],[Date]])</f>
        <v>2024</v>
      </c>
      <c r="E693" s="1">
        <v>0.51875000000000004</v>
      </c>
      <c r="F6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3" t="str">
        <f>_xlfn.XLOOKUP(AllDataCorrected[[#This Row],[Location Name]], Locations[Location Name],Locations[Group As])</f>
        <v>Preston-on-Stour River Bridge</v>
      </c>
      <c r="H693" t="e" vm="2">
        <f>_xlfn.XLOOKUP(AllDataCorrected[[#This Row],[Site Name]],LocationsKey[Site Name],LocationsKey[District])</f>
        <v>#VALUE!</v>
      </c>
      <c r="I693" t="e" vm="9">
        <f>_xlfn.XLOOKUP(AllDataCorrected[[#This Row],[Site Name]],LocationsKey[Site Name],LocationsKey[Town])</f>
        <v>#VALUE!</v>
      </c>
      <c r="J693" t="str">
        <f>_xlfn.XLOOKUP(AllDataCorrected[[#This Row],[Site Name]],LocationsKey[Site Name], LocationsKey[Waterway])</f>
        <v>Stour</v>
      </c>
      <c r="K693" t="s">
        <v>163</v>
      </c>
      <c r="L693">
        <f>_xlfn.XLOOKUP(AllDataCorrected[[#This Row],[Site Name]],Tables!$B$12:$B$78, Tables!C$12:C$78)</f>
        <v>52.146529500000007</v>
      </c>
      <c r="M693">
        <f>_xlfn.XLOOKUP(AllDataCorrected[[#This Row],[Site Name]],Tables!$B$12:$B$78, Tables!D$12:D$78)</f>
        <v>-1.6996899999999999</v>
      </c>
      <c r="N693" t="s">
        <v>29</v>
      </c>
      <c r="O693">
        <v>658</v>
      </c>
      <c r="P693">
        <v>10.8</v>
      </c>
      <c r="Q693">
        <v>7</v>
      </c>
      <c r="R693" t="str">
        <f>IF(AllDataCorrected[[#This Row],[Nitrate (PPM)]]&gt;2, "4. Very high (&gt;2ppm)", IF(AllDataCorrected[[#This Row],[Nitrate (PPM)]]&gt;1, "3. High (1-2ppm)", IF(AllDataCorrected[[#This Row],[Nitrate (PPM)]]&gt;0.5, "2. Some evidence (0.5-1ppm)", IF(AllDataCorrected[[#This Row],[Nitrate (PPM)]]&gt;=0, "1. No evidence (&lt;0.5ppm)"))))</f>
        <v>4. Very high (&gt;2ppm)</v>
      </c>
      <c r="S693">
        <v>0.21</v>
      </c>
      <c r="T6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3">
        <v>1.5</v>
      </c>
    </row>
    <row r="694" spans="1:22" x14ac:dyDescent="0.25">
      <c r="A694" t="s">
        <v>997</v>
      </c>
      <c r="B694" s="2">
        <v>45400</v>
      </c>
      <c r="C694" t="str" cm="1">
        <f t="array" ref="C6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4">
        <f>YEAR(AllDataCorrected[[#This Row],[Date]])</f>
        <v>2024</v>
      </c>
      <c r="E694" s="1">
        <v>0.58263888888888893</v>
      </c>
      <c r="F6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4" t="str">
        <f>_xlfn.XLOOKUP(AllDataCorrected[[#This Row],[Location Name]], Locations[Location Name],Locations[Group As])</f>
        <v>Twyning Fleet</v>
      </c>
      <c r="H694" t="e" vm="1">
        <f>_xlfn.XLOOKUP(AllDataCorrected[[#This Row],[Site Name]],LocationsKey[Site Name],LocationsKey[District])</f>
        <v>#VALUE!</v>
      </c>
      <c r="I694" t="str">
        <f>_xlfn.XLOOKUP(AllDataCorrected[[#This Row],[Site Name]],LocationsKey[Site Name],LocationsKey[Town])</f>
        <v>Twyning Green</v>
      </c>
      <c r="J694" t="str">
        <f>_xlfn.XLOOKUP(AllDataCorrected[[#This Row],[Site Name]],LocationsKey[Site Name], LocationsKey[Waterway])</f>
        <v>Avon</v>
      </c>
      <c r="K694" t="s">
        <v>54</v>
      </c>
      <c r="L694">
        <f>_xlfn.XLOOKUP(AllDataCorrected[[#This Row],[Site Name]],Tables!$B$12:$B$78, Tables!C$12:C$78)</f>
        <v>52.027190153846163</v>
      </c>
      <c r="M694">
        <f>_xlfn.XLOOKUP(AllDataCorrected[[#This Row],[Site Name]],Tables!$B$12:$B$78, Tables!D$12:D$78)</f>
        <v>-2.1406086923076924</v>
      </c>
      <c r="N694" t="s">
        <v>29</v>
      </c>
      <c r="O694">
        <v>7380</v>
      </c>
      <c r="P694">
        <v>13.6</v>
      </c>
      <c r="Q694">
        <v>5</v>
      </c>
      <c r="R694" t="str">
        <f>IF(AllDataCorrected[[#This Row],[Nitrate (PPM)]]&gt;2, "4. Very high (&gt;2ppm)", IF(AllDataCorrected[[#This Row],[Nitrate (PPM)]]&gt;1, "3. High (1-2ppm)", IF(AllDataCorrected[[#This Row],[Nitrate (PPM)]]&gt;0.5, "2. Some evidence (0.5-1ppm)", IF(AllDataCorrected[[#This Row],[Nitrate (PPM)]]&gt;=0, "1. No evidence (&lt;0.5ppm)"))))</f>
        <v>4. Very high (&gt;2ppm)</v>
      </c>
      <c r="S694">
        <v>0.99</v>
      </c>
      <c r="T6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94">
        <v>0</v>
      </c>
      <c r="V694" t="s">
        <v>998</v>
      </c>
    </row>
    <row r="695" spans="1:22" x14ac:dyDescent="0.25">
      <c r="A695" t="s">
        <v>999</v>
      </c>
      <c r="B695" s="2">
        <v>45401</v>
      </c>
      <c r="C695" t="str" cm="1">
        <f t="array" ref="C6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5">
        <f>YEAR(AllDataCorrected[[#This Row],[Date]])</f>
        <v>2024</v>
      </c>
      <c r="E695" s="1">
        <v>0.70486111111111116</v>
      </c>
      <c r="F6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5" t="str">
        <f>_xlfn.XLOOKUP(AllDataCorrected[[#This Row],[Location Name]], Locations[Location Name],Locations[Group As])</f>
        <v>Lower Lode</v>
      </c>
      <c r="H695" t="e" vm="1">
        <f>_xlfn.XLOOKUP(AllDataCorrected[[#This Row],[Site Name]],LocationsKey[Site Name],LocationsKey[District])</f>
        <v>#VALUE!</v>
      </c>
      <c r="I695" t="e" vm="1">
        <f>_xlfn.XLOOKUP(AllDataCorrected[[#This Row],[Site Name]],LocationsKey[Site Name],LocationsKey[Town])</f>
        <v>#VALUE!</v>
      </c>
      <c r="J695" t="str">
        <f>_xlfn.XLOOKUP(AllDataCorrected[[#This Row],[Site Name]],LocationsKey[Site Name], LocationsKey[Waterway])</f>
        <v>Avon</v>
      </c>
      <c r="K695" t="s">
        <v>592</v>
      </c>
      <c r="L695">
        <f>_xlfn.XLOOKUP(AllDataCorrected[[#This Row],[Site Name]],Tables!$B$12:$B$78, Tables!C$12:C$78)</f>
        <v>51.984954782608689</v>
      </c>
      <c r="M695">
        <f>_xlfn.XLOOKUP(AllDataCorrected[[#This Row],[Site Name]],Tables!$B$12:$B$78, Tables!D$12:D$78)</f>
        <v>-2.1744283478260868</v>
      </c>
      <c r="N695" t="s">
        <v>29</v>
      </c>
      <c r="O695">
        <v>9000</v>
      </c>
      <c r="P695">
        <v>15.4</v>
      </c>
      <c r="Q695">
        <v>10</v>
      </c>
      <c r="R695" t="str">
        <f>IF(AllDataCorrected[[#This Row],[Nitrate (PPM)]]&gt;2, "4. Very high (&gt;2ppm)", IF(AllDataCorrected[[#This Row],[Nitrate (PPM)]]&gt;1, "3. High (1-2ppm)", IF(AllDataCorrected[[#This Row],[Nitrate (PPM)]]&gt;0.5, "2. Some evidence (0.5-1ppm)", IF(AllDataCorrected[[#This Row],[Nitrate (PPM)]]&gt;=0, "1. No evidence (&lt;0.5ppm)"))))</f>
        <v>4. Very high (&gt;2ppm)</v>
      </c>
      <c r="S695">
        <v>0.08</v>
      </c>
      <c r="T6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95">
        <v>2</v>
      </c>
    </row>
    <row r="696" spans="1:22" x14ac:dyDescent="0.25">
      <c r="A696" t="s">
        <v>1000</v>
      </c>
      <c r="B696" s="2">
        <v>45401</v>
      </c>
      <c r="C696" t="str" cm="1">
        <f t="array" ref="C6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6">
        <f>YEAR(AllDataCorrected[[#This Row],[Date]])</f>
        <v>2024</v>
      </c>
      <c r="E696" s="1">
        <v>0.70902777777777781</v>
      </c>
      <c r="F6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6" t="str">
        <f>_xlfn.XLOOKUP(AllDataCorrected[[#This Row],[Location Name]], Locations[Location Name],Locations[Group As])</f>
        <v>Mill Bridge Peopleton</v>
      </c>
      <c r="H696" t="e" vm="17">
        <f>_xlfn.XLOOKUP(AllDataCorrected[[#This Row],[Site Name]],LocationsKey[Site Name],LocationsKey[District])</f>
        <v>#VALUE!</v>
      </c>
      <c r="I696" t="str">
        <f>_xlfn.XLOOKUP(AllDataCorrected[[#This Row],[Site Name]],LocationsKey[Site Name],LocationsKey[Town])</f>
        <v>Peopleton</v>
      </c>
      <c r="J696" t="str">
        <f>_xlfn.XLOOKUP(AllDataCorrected[[#This Row],[Site Name]],LocationsKey[Site Name], LocationsKey[Waterway])</f>
        <v>Bow Brook</v>
      </c>
      <c r="K696" t="s">
        <v>921</v>
      </c>
      <c r="L696">
        <f>_xlfn.XLOOKUP(AllDataCorrected[[#This Row],[Site Name]],Tables!$B$12:$B$78, Tables!C$12:C$78)</f>
        <v>52.15202992857143</v>
      </c>
      <c r="M696">
        <f>_xlfn.XLOOKUP(AllDataCorrected[[#This Row],[Site Name]],Tables!$B$12:$B$78, Tables!D$12:D$78)</f>
        <v>-2.0954780000000004</v>
      </c>
      <c r="N696" t="s">
        <v>29</v>
      </c>
      <c r="O696">
        <v>1020</v>
      </c>
      <c r="P696">
        <v>13.3</v>
      </c>
      <c r="Q696">
        <v>4</v>
      </c>
      <c r="R696" t="str">
        <f>IF(AllDataCorrected[[#This Row],[Nitrate (PPM)]]&gt;2, "4. Very high (&gt;2ppm)", IF(AllDataCorrected[[#This Row],[Nitrate (PPM)]]&gt;1, "3. High (1-2ppm)", IF(AllDataCorrected[[#This Row],[Nitrate (PPM)]]&gt;0.5, "2. Some evidence (0.5-1ppm)", IF(AllDataCorrected[[#This Row],[Nitrate (PPM)]]&gt;=0, "1. No evidence (&lt;0.5ppm)"))))</f>
        <v>4. Very high (&gt;2ppm)</v>
      </c>
      <c r="S696">
        <v>0.83</v>
      </c>
      <c r="T6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96">
        <v>0.45</v>
      </c>
    </row>
    <row r="697" spans="1:22" x14ac:dyDescent="0.25">
      <c r="A697" t="s">
        <v>1764</v>
      </c>
      <c r="B697" s="2">
        <v>45401</v>
      </c>
      <c r="C697" t="str" cm="1">
        <f t="array" ref="C6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7">
        <f>YEAR(AllDataCorrected[[#This Row],[Date]])</f>
        <v>2024</v>
      </c>
      <c r="F6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7" t="str">
        <f>_xlfn.XLOOKUP(AllDataCorrected[[#This Row],[Location Name]], Locations[Location Name],Locations[Group As])</f>
        <v>Site 1  :  Middle Street</v>
      </c>
      <c r="H697" t="e" vm="2">
        <f>_xlfn.XLOOKUP(AllDataCorrected[[#This Row],[Site Name]],LocationsKey[Site Name],LocationsKey[District])</f>
        <v>#VALUE!</v>
      </c>
      <c r="I697" t="e" vm="11">
        <f>_xlfn.XLOOKUP(AllDataCorrected[[#This Row],[Site Name]],LocationsKey[Site Name],LocationsKey[Town])</f>
        <v>#VALUE!</v>
      </c>
      <c r="J697" t="str">
        <f>_xlfn.XLOOKUP(AllDataCorrected[[#This Row],[Site Name]],LocationsKey[Site Name], LocationsKey[Waterway])</f>
        <v>Fosseway Brook</v>
      </c>
      <c r="K697" t="s">
        <v>1859</v>
      </c>
      <c r="L697">
        <f>_xlfn.XLOOKUP(AllDataCorrected[[#This Row],[Site Name]],Tables!$B$12:$B$78, Tables!C$12:C$78)</f>
        <v>52.090077380952394</v>
      </c>
      <c r="M697">
        <f>_xlfn.XLOOKUP(AllDataCorrected[[#This Row],[Site Name]],Tables!$B$12:$B$78, Tables!D$12:D$78)</f>
        <v>-1.6926051666666673</v>
      </c>
      <c r="N697" t="s">
        <v>66</v>
      </c>
      <c r="O697">
        <v>571</v>
      </c>
      <c r="P697">
        <v>13</v>
      </c>
      <c r="Q697">
        <v>2</v>
      </c>
      <c r="R697" t="str">
        <f>IF(AllDataCorrected[[#This Row],[Nitrate (PPM)]]&gt;2, "4. Very high (&gt;2ppm)", IF(AllDataCorrected[[#This Row],[Nitrate (PPM)]]&gt;1, "3. High (1-2ppm)", IF(AllDataCorrected[[#This Row],[Nitrate (PPM)]]&gt;0.5, "2. Some evidence (0.5-1ppm)", IF(AllDataCorrected[[#This Row],[Nitrate (PPM)]]&gt;=0, "1. No evidence (&lt;0.5ppm)"))))</f>
        <v>3. High (1-2ppm)</v>
      </c>
      <c r="S697">
        <v>0.05</v>
      </c>
      <c r="T69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697">
        <v>0</v>
      </c>
      <c r="V697" t="s">
        <v>1908</v>
      </c>
    </row>
    <row r="698" spans="1:22" x14ac:dyDescent="0.25">
      <c r="A698" t="s">
        <v>1432</v>
      </c>
      <c r="B698" s="2">
        <v>45401</v>
      </c>
      <c r="C698" t="str" cm="1">
        <f t="array" ref="C6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8">
        <f>YEAR(AllDataCorrected[[#This Row],[Date]])</f>
        <v>2024</v>
      </c>
      <c r="F6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8" t="str">
        <f>_xlfn.XLOOKUP(AllDataCorrected[[#This Row],[Location Name]], Locations[Location Name],Locations[Group As])</f>
        <v>Site 1  :  Middle Street</v>
      </c>
      <c r="H698" t="e" vm="2">
        <f>_xlfn.XLOOKUP(AllDataCorrected[[#This Row],[Site Name]],LocationsKey[Site Name],LocationsKey[District])</f>
        <v>#VALUE!</v>
      </c>
      <c r="I698" t="e" vm="11">
        <f>_xlfn.XLOOKUP(AllDataCorrected[[#This Row],[Site Name]],LocationsKey[Site Name],LocationsKey[Town])</f>
        <v>#VALUE!</v>
      </c>
      <c r="J698" t="str">
        <f>_xlfn.XLOOKUP(AllDataCorrected[[#This Row],[Site Name]],LocationsKey[Site Name], LocationsKey[Waterway])</f>
        <v>Fosseway Brook</v>
      </c>
      <c r="K698" t="s">
        <v>1373</v>
      </c>
      <c r="L698">
        <f>_xlfn.XLOOKUP(AllDataCorrected[[#This Row],[Site Name]],Tables!$B$12:$B$78, Tables!C$12:C$78)</f>
        <v>52.090077380952394</v>
      </c>
      <c r="M698">
        <f>_xlfn.XLOOKUP(AllDataCorrected[[#This Row],[Site Name]],Tables!$B$12:$B$78, Tables!D$12:D$78)</f>
        <v>-1.6926051666666673</v>
      </c>
      <c r="N698" t="s">
        <v>66</v>
      </c>
      <c r="O698">
        <v>571</v>
      </c>
      <c r="P698">
        <v>13</v>
      </c>
      <c r="Q698">
        <v>2</v>
      </c>
      <c r="R698" t="str">
        <f>IF(AllDataCorrected[[#This Row],[Nitrate (PPM)]]&gt;2, "4. Very high (&gt;2ppm)", IF(AllDataCorrected[[#This Row],[Nitrate (PPM)]]&gt;1, "3. High (1-2ppm)", IF(AllDataCorrected[[#This Row],[Nitrate (PPM)]]&gt;0.5, "2. Some evidence (0.5-1ppm)", IF(AllDataCorrected[[#This Row],[Nitrate (PPM)]]&gt;=0, "1. No evidence (&lt;0.5ppm)"))))</f>
        <v>3. High (1-2ppm)</v>
      </c>
      <c r="S698">
        <v>0.05</v>
      </c>
      <c r="T69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V698" t="s">
        <v>1433</v>
      </c>
    </row>
    <row r="699" spans="1:22" x14ac:dyDescent="0.25">
      <c r="A699" t="s">
        <v>1765</v>
      </c>
      <c r="B699" s="2">
        <v>45401</v>
      </c>
      <c r="C699" t="str" cm="1">
        <f t="array" ref="C6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9">
        <f>YEAR(AllDataCorrected[[#This Row],[Date]])</f>
        <v>2024</v>
      </c>
      <c r="F6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9" t="str">
        <f>_xlfn.XLOOKUP(AllDataCorrected[[#This Row],[Location Name]], Locations[Location Name],Locations[Group As])</f>
        <v>Site 2  :  Cross Leys culvert</v>
      </c>
      <c r="H699" t="e" vm="2">
        <f>_xlfn.XLOOKUP(AllDataCorrected[[#This Row],[Site Name]],LocationsKey[Site Name],LocationsKey[District])</f>
        <v>#VALUE!</v>
      </c>
      <c r="I699" t="e" vm="11">
        <f>_xlfn.XLOOKUP(AllDataCorrected[[#This Row],[Site Name]],LocationsKey[Site Name],LocationsKey[Town])</f>
        <v>#VALUE!</v>
      </c>
      <c r="J699" t="str">
        <f>_xlfn.XLOOKUP(AllDataCorrected[[#This Row],[Site Name]],LocationsKey[Site Name], LocationsKey[Waterway])</f>
        <v>Fosseway Brook</v>
      </c>
      <c r="K699" t="s">
        <v>1860</v>
      </c>
      <c r="L699">
        <f>_xlfn.XLOOKUP(AllDataCorrected[[#This Row],[Site Name]],Tables!$B$12:$B$78, Tables!C$12:C$78)</f>
        <v>52.092990199999988</v>
      </c>
      <c r="M699">
        <f>_xlfn.XLOOKUP(AllDataCorrected[[#This Row],[Site Name]],Tables!$B$12:$B$78, Tables!D$12:D$78)</f>
        <v>-1.6862810999999998</v>
      </c>
      <c r="N699" t="s">
        <v>66</v>
      </c>
      <c r="O699">
        <v>606</v>
      </c>
      <c r="P699">
        <v>12.5</v>
      </c>
      <c r="Q699">
        <v>3</v>
      </c>
      <c r="R699" t="str">
        <f>IF(AllDataCorrected[[#This Row],[Nitrate (PPM)]]&gt;2, "4. Very high (&gt;2ppm)", IF(AllDataCorrected[[#This Row],[Nitrate (PPM)]]&gt;1, "3. High (1-2ppm)", IF(AllDataCorrected[[#This Row],[Nitrate (PPM)]]&gt;0.5, "2. Some evidence (0.5-1ppm)", IF(AllDataCorrected[[#This Row],[Nitrate (PPM)]]&gt;=0, "1. No evidence (&lt;0.5ppm)"))))</f>
        <v>4. Very high (&gt;2ppm)</v>
      </c>
      <c r="S699">
        <v>0.3</v>
      </c>
      <c r="T6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9">
        <v>0</v>
      </c>
      <c r="V699" t="s">
        <v>1909</v>
      </c>
    </row>
    <row r="700" spans="1:22" x14ac:dyDescent="0.25">
      <c r="A700" t="s">
        <v>1431</v>
      </c>
      <c r="B700" s="2">
        <v>45401</v>
      </c>
      <c r="C700" t="str" cm="1">
        <f t="array" ref="C7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0">
        <f>YEAR(AllDataCorrected[[#This Row],[Date]])</f>
        <v>2024</v>
      </c>
      <c r="F7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0" t="str">
        <f>_xlfn.XLOOKUP(AllDataCorrected[[#This Row],[Location Name]], Locations[Location Name],Locations[Group As])</f>
        <v>Site 2  :  Cross Leys culvert</v>
      </c>
      <c r="H700" t="e" vm="2">
        <f>_xlfn.XLOOKUP(AllDataCorrected[[#This Row],[Site Name]],LocationsKey[Site Name],LocationsKey[District])</f>
        <v>#VALUE!</v>
      </c>
      <c r="I700" t="e" vm="11">
        <f>_xlfn.XLOOKUP(AllDataCorrected[[#This Row],[Site Name]],LocationsKey[Site Name],LocationsKey[Town])</f>
        <v>#VALUE!</v>
      </c>
      <c r="J700" t="str">
        <f>_xlfn.XLOOKUP(AllDataCorrected[[#This Row],[Site Name]],LocationsKey[Site Name], LocationsKey[Waterway])</f>
        <v>Fosseway Brook</v>
      </c>
      <c r="K700" t="s">
        <v>1371</v>
      </c>
      <c r="L700">
        <f>_xlfn.XLOOKUP(AllDataCorrected[[#This Row],[Site Name]],Tables!$B$12:$B$78, Tables!C$12:C$78)</f>
        <v>52.092990199999988</v>
      </c>
      <c r="M700">
        <f>_xlfn.XLOOKUP(AllDataCorrected[[#This Row],[Site Name]],Tables!$B$12:$B$78, Tables!D$12:D$78)</f>
        <v>-1.6862810999999998</v>
      </c>
      <c r="N700" t="s">
        <v>66</v>
      </c>
      <c r="O700">
        <v>606</v>
      </c>
      <c r="P700">
        <v>12.5</v>
      </c>
      <c r="Q700">
        <v>3</v>
      </c>
      <c r="R700" t="str">
        <f>IF(AllDataCorrected[[#This Row],[Nitrate (PPM)]]&gt;2, "4. Very high (&gt;2ppm)", IF(AllDataCorrected[[#This Row],[Nitrate (PPM)]]&gt;1, "3. High (1-2ppm)", IF(AllDataCorrected[[#This Row],[Nitrate (PPM)]]&gt;0.5, "2. Some evidence (0.5-1ppm)", IF(AllDataCorrected[[#This Row],[Nitrate (PPM)]]&gt;=0, "1. No evidence (&lt;0.5ppm)"))))</f>
        <v>4. Very high (&gt;2ppm)</v>
      </c>
      <c r="S700">
        <v>0.3</v>
      </c>
      <c r="T7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01" spans="1:22" x14ac:dyDescent="0.25">
      <c r="A701" t="s">
        <v>1766</v>
      </c>
      <c r="B701" s="2">
        <v>45401</v>
      </c>
      <c r="C701" t="str" cm="1">
        <f t="array" ref="C7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1">
        <f>YEAR(AllDataCorrected[[#This Row],[Date]])</f>
        <v>2024</v>
      </c>
      <c r="F7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1" t="str">
        <f>_xlfn.XLOOKUP(AllDataCorrected[[#This Row],[Location Name]], Locations[Location Name],Locations[Group As])</f>
        <v>Site 3  :  Severn Trent Water processing plant outflow</v>
      </c>
      <c r="H701" t="e" vm="2">
        <f>_xlfn.XLOOKUP(AllDataCorrected[[#This Row],[Site Name]],LocationsKey[Site Name],LocationsKey[District])</f>
        <v>#VALUE!</v>
      </c>
      <c r="I701" t="e" vm="11">
        <f>_xlfn.XLOOKUP(AllDataCorrected[[#This Row],[Site Name]],LocationsKey[Site Name],LocationsKey[Town])</f>
        <v>#VALUE!</v>
      </c>
      <c r="J701" t="str">
        <f>_xlfn.XLOOKUP(AllDataCorrected[[#This Row],[Site Name]],LocationsKey[Site Name], LocationsKey[Waterway])</f>
        <v>Fosseway Brook</v>
      </c>
      <c r="K701" t="s">
        <v>1861</v>
      </c>
      <c r="L701">
        <f>_xlfn.XLOOKUP(AllDataCorrected[[#This Row],[Site Name]],Tables!$B$12:$B$78, Tables!C$12:C$78)</f>
        <v>52.094341024390218</v>
      </c>
      <c r="M701">
        <f>_xlfn.XLOOKUP(AllDataCorrected[[#This Row],[Site Name]],Tables!$B$12:$B$78, Tables!D$12:D$78)</f>
        <v>-1.6731015853658531</v>
      </c>
      <c r="N701" t="s">
        <v>29</v>
      </c>
      <c r="O701">
        <v>801</v>
      </c>
      <c r="P701">
        <v>13</v>
      </c>
      <c r="Q701">
        <v>6</v>
      </c>
      <c r="R701" t="str">
        <f>IF(AllDataCorrected[[#This Row],[Nitrate (PPM)]]&gt;2, "4. Very high (&gt;2ppm)", IF(AllDataCorrected[[#This Row],[Nitrate (PPM)]]&gt;1, "3. High (1-2ppm)", IF(AllDataCorrected[[#This Row],[Nitrate (PPM)]]&gt;0.5, "2. Some evidence (0.5-1ppm)", IF(AllDataCorrected[[#This Row],[Nitrate (PPM)]]&gt;=0, "1. No evidence (&lt;0.5ppm)"))))</f>
        <v>4. Very high (&gt;2ppm)</v>
      </c>
      <c r="S701">
        <v>2.5</v>
      </c>
      <c r="T7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1">
        <v>0</v>
      </c>
      <c r="V701" t="s">
        <v>1909</v>
      </c>
    </row>
    <row r="702" spans="1:22" x14ac:dyDescent="0.25">
      <c r="A702" t="s">
        <v>1430</v>
      </c>
      <c r="B702" s="2">
        <v>45401</v>
      </c>
      <c r="C702" t="str" cm="1">
        <f t="array" ref="C7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2">
        <f>YEAR(AllDataCorrected[[#This Row],[Date]])</f>
        <v>2024</v>
      </c>
      <c r="F70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2" t="str">
        <f>_xlfn.XLOOKUP(AllDataCorrected[[#This Row],[Location Name]], Locations[Location Name],Locations[Group As])</f>
        <v>Site 3  :  Severn Trent Water processing plant outflow</v>
      </c>
      <c r="H702" t="e" vm="2">
        <f>_xlfn.XLOOKUP(AllDataCorrected[[#This Row],[Site Name]],LocationsKey[Site Name],LocationsKey[District])</f>
        <v>#VALUE!</v>
      </c>
      <c r="I702" t="e" vm="11">
        <f>_xlfn.XLOOKUP(AllDataCorrected[[#This Row],[Site Name]],LocationsKey[Site Name],LocationsKey[Town])</f>
        <v>#VALUE!</v>
      </c>
      <c r="J702" t="str">
        <f>_xlfn.XLOOKUP(AllDataCorrected[[#This Row],[Site Name]],LocationsKey[Site Name], LocationsKey[Waterway])</f>
        <v>Fosseway Brook</v>
      </c>
      <c r="K702" t="s">
        <v>1368</v>
      </c>
      <c r="L702">
        <f>_xlfn.XLOOKUP(AllDataCorrected[[#This Row],[Site Name]],Tables!$B$12:$B$78, Tables!C$12:C$78)</f>
        <v>52.094341024390218</v>
      </c>
      <c r="M702">
        <f>_xlfn.XLOOKUP(AllDataCorrected[[#This Row],[Site Name]],Tables!$B$12:$B$78, Tables!D$12:D$78)</f>
        <v>-1.6731015853658531</v>
      </c>
      <c r="N702" t="s">
        <v>29</v>
      </c>
      <c r="O702">
        <v>801</v>
      </c>
      <c r="P702">
        <v>13</v>
      </c>
      <c r="Q702">
        <v>6</v>
      </c>
      <c r="R702" t="str">
        <f>IF(AllDataCorrected[[#This Row],[Nitrate (PPM)]]&gt;2, "4. Very high (&gt;2ppm)", IF(AllDataCorrected[[#This Row],[Nitrate (PPM)]]&gt;1, "3. High (1-2ppm)", IF(AllDataCorrected[[#This Row],[Nitrate (PPM)]]&gt;0.5, "2. Some evidence (0.5-1ppm)", IF(AllDataCorrected[[#This Row],[Nitrate (PPM)]]&gt;=0, "1. No evidence (&lt;0.5ppm)"))))</f>
        <v>4. Very high (&gt;2ppm)</v>
      </c>
      <c r="S702">
        <v>2.5</v>
      </c>
      <c r="T7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03" spans="1:22" x14ac:dyDescent="0.25">
      <c r="A703" t="s">
        <v>1001</v>
      </c>
      <c r="B703" s="2">
        <v>45402</v>
      </c>
      <c r="C703" t="str" cm="1">
        <f t="array" ref="C7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3">
        <f>YEAR(AllDataCorrected[[#This Row],[Date]])</f>
        <v>2024</v>
      </c>
      <c r="E703" s="1">
        <v>0.47916666666666669</v>
      </c>
      <c r="F7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03" t="str">
        <f>_xlfn.XLOOKUP(AllDataCorrected[[#This Row],[Location Name]], Locations[Location Name],Locations[Group As])</f>
        <v>Piddle Brook Wyre Piddle Bridge</v>
      </c>
      <c r="H703" t="e" vm="17">
        <f>_xlfn.XLOOKUP(AllDataCorrected[[#This Row],[Site Name]],LocationsKey[Site Name],LocationsKey[District])</f>
        <v>#VALUE!</v>
      </c>
      <c r="I703" t="e" vm="20">
        <f>_xlfn.XLOOKUP(AllDataCorrected[[#This Row],[Site Name]],LocationsKey[Site Name],LocationsKey[Town])</f>
        <v>#VALUE!</v>
      </c>
      <c r="J703" t="str">
        <f>_xlfn.XLOOKUP(AllDataCorrected[[#This Row],[Site Name]],LocationsKey[Site Name], LocationsKey[Waterway])</f>
        <v>Piddle Brook</v>
      </c>
      <c r="K703" t="s">
        <v>744</v>
      </c>
      <c r="L703">
        <f>_xlfn.XLOOKUP(AllDataCorrected[[#This Row],[Site Name]],Tables!$B$12:$B$78, Tables!C$12:C$78)</f>
        <v>52.126401720000004</v>
      </c>
      <c r="M703">
        <f>_xlfn.XLOOKUP(AllDataCorrected[[#This Row],[Site Name]],Tables!$B$12:$B$78, Tables!D$12:D$78)</f>
        <v>-2.0565162000000003</v>
      </c>
      <c r="N703" t="s">
        <v>23</v>
      </c>
      <c r="O703">
        <v>1270</v>
      </c>
      <c r="P703">
        <v>10.3</v>
      </c>
      <c r="Q703">
        <v>7</v>
      </c>
      <c r="R703" t="str">
        <f>IF(AllDataCorrected[[#This Row],[Nitrate (PPM)]]&gt;2, "4. Very high (&gt;2ppm)", IF(AllDataCorrected[[#This Row],[Nitrate (PPM)]]&gt;1, "3. High (1-2ppm)", IF(AllDataCorrected[[#This Row],[Nitrate (PPM)]]&gt;0.5, "2. Some evidence (0.5-1ppm)", IF(AllDataCorrected[[#This Row],[Nitrate (PPM)]]&gt;=0, "1. No evidence (&lt;0.5ppm)"))))</f>
        <v>4. Very high (&gt;2ppm)</v>
      </c>
      <c r="S703">
        <v>0.67</v>
      </c>
      <c r="T7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3">
        <v>0.27</v>
      </c>
      <c r="V703" t="s">
        <v>1002</v>
      </c>
    </row>
    <row r="704" spans="1:22" x14ac:dyDescent="0.25">
      <c r="A704" t="s">
        <v>1003</v>
      </c>
      <c r="B704" s="2">
        <v>45402</v>
      </c>
      <c r="C704" t="str" cm="1">
        <f t="array" ref="C7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4">
        <f>YEAR(AllDataCorrected[[#This Row],[Date]])</f>
        <v>2024</v>
      </c>
      <c r="E704" s="1">
        <v>0.5</v>
      </c>
      <c r="F7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4" t="str">
        <f>_xlfn.XLOOKUP(AllDataCorrected[[#This Row],[Location Name]], Locations[Location Name],Locations[Group As])</f>
        <v>Carrant Bredon Rd</v>
      </c>
      <c r="H704" t="e" vm="1">
        <f>_xlfn.XLOOKUP(AllDataCorrected[[#This Row],[Site Name]],LocationsKey[Site Name],LocationsKey[District])</f>
        <v>#VALUE!</v>
      </c>
      <c r="I704" t="e" vm="1">
        <f>_xlfn.XLOOKUP(AllDataCorrected[[#This Row],[Site Name]],LocationsKey[Site Name],LocationsKey[Town])</f>
        <v>#VALUE!</v>
      </c>
      <c r="J704" t="str">
        <f>_xlfn.XLOOKUP(AllDataCorrected[[#This Row],[Site Name]],LocationsKey[Site Name], LocationsKey[Waterway])</f>
        <v>Carrant</v>
      </c>
      <c r="K704" t="s">
        <v>600</v>
      </c>
      <c r="L704">
        <f>_xlfn.XLOOKUP(AllDataCorrected[[#This Row],[Site Name]],Tables!$B$12:$B$78, Tables!C$12:C$78)</f>
        <v>51.996416567567572</v>
      </c>
      <c r="M704">
        <f>_xlfn.XLOOKUP(AllDataCorrected[[#This Row],[Site Name]],Tables!$B$12:$B$78, Tables!D$12:D$78)</f>
        <v>-2.1556626756756749</v>
      </c>
      <c r="N704" t="s">
        <v>23</v>
      </c>
      <c r="O704">
        <v>746</v>
      </c>
      <c r="P704">
        <v>11.5</v>
      </c>
      <c r="Q704">
        <v>7</v>
      </c>
      <c r="R704" t="str">
        <f>IF(AllDataCorrected[[#This Row],[Nitrate (PPM)]]&gt;2, "4. Very high (&gt;2ppm)", IF(AllDataCorrected[[#This Row],[Nitrate (PPM)]]&gt;1, "3. High (1-2ppm)", IF(AllDataCorrected[[#This Row],[Nitrate (PPM)]]&gt;0.5, "2. Some evidence (0.5-1ppm)", IF(AllDataCorrected[[#This Row],[Nitrate (PPM)]]&gt;=0, "1. No evidence (&lt;0.5ppm)"))))</f>
        <v>4. Very high (&gt;2ppm)</v>
      </c>
      <c r="S704">
        <v>0.22</v>
      </c>
      <c r="T7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4">
        <v>0.08</v>
      </c>
    </row>
    <row r="705" spans="1:22" x14ac:dyDescent="0.25">
      <c r="A705" t="s">
        <v>1004</v>
      </c>
      <c r="B705" s="2">
        <v>45402</v>
      </c>
      <c r="C705" t="str" cm="1">
        <f t="array" ref="C7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5">
        <f>YEAR(AllDataCorrected[[#This Row],[Date]])</f>
        <v>2024</v>
      </c>
      <c r="E705" s="1">
        <v>0.50694444444444442</v>
      </c>
      <c r="F7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5" t="str">
        <f>_xlfn.XLOOKUP(AllDataCorrected[[#This Row],[Location Name]], Locations[Location Name],Locations[Group As])</f>
        <v>Fell Mill Footbridge</v>
      </c>
      <c r="H705" t="e" vm="2">
        <f>_xlfn.XLOOKUP(AllDataCorrected[[#This Row],[Site Name]],LocationsKey[Site Name],LocationsKey[District])</f>
        <v>#VALUE!</v>
      </c>
      <c r="I705" t="e" vm="10">
        <f>_xlfn.XLOOKUP(AllDataCorrected[[#This Row],[Site Name]],LocationsKey[Site Name],LocationsKey[Town])</f>
        <v>#VALUE!</v>
      </c>
      <c r="J705" t="str">
        <f>_xlfn.XLOOKUP(AllDataCorrected[[#This Row],[Site Name]],LocationsKey[Site Name], LocationsKey[Waterway])</f>
        <v>Stour</v>
      </c>
      <c r="K705" t="s">
        <v>818</v>
      </c>
      <c r="L705">
        <f>_xlfn.XLOOKUP(AllDataCorrected[[#This Row],[Site Name]],Tables!$B$12:$B$78, Tables!C$12:C$78)</f>
        <v>52.067966827586183</v>
      </c>
      <c r="M705">
        <f>_xlfn.XLOOKUP(AllDataCorrected[[#This Row],[Site Name]],Tables!$B$12:$B$78, Tables!D$12:D$78)</f>
        <v>-1.6118101379310343</v>
      </c>
      <c r="N705" t="s">
        <v>29</v>
      </c>
      <c r="O705">
        <v>602</v>
      </c>
      <c r="P705">
        <v>11.5</v>
      </c>
      <c r="Q705">
        <v>10</v>
      </c>
      <c r="R705" t="str">
        <f>IF(AllDataCorrected[[#This Row],[Nitrate (PPM)]]&gt;2, "4. Very high (&gt;2ppm)", IF(AllDataCorrected[[#This Row],[Nitrate (PPM)]]&gt;1, "3. High (1-2ppm)", IF(AllDataCorrected[[#This Row],[Nitrate (PPM)]]&gt;0.5, "2. Some evidence (0.5-1ppm)", IF(AllDataCorrected[[#This Row],[Nitrate (PPM)]]&gt;=0, "1. No evidence (&lt;0.5ppm)"))))</f>
        <v>4. Very high (&gt;2ppm)</v>
      </c>
      <c r="S705">
        <v>0.18</v>
      </c>
      <c r="T7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5">
        <v>1.4</v>
      </c>
    </row>
    <row r="706" spans="1:22" x14ac:dyDescent="0.25">
      <c r="A706" t="s">
        <v>1005</v>
      </c>
      <c r="B706" s="2">
        <v>45402</v>
      </c>
      <c r="C706" t="str" cm="1">
        <f t="array" ref="C7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6">
        <f>YEAR(AllDataCorrected[[#This Row],[Date]])</f>
        <v>2024</v>
      </c>
      <c r="E706" s="1">
        <v>0.67361111111111116</v>
      </c>
      <c r="F7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6" t="str">
        <f>_xlfn.XLOOKUP(AllDataCorrected[[#This Row],[Location Name]], Locations[Location Name],Locations[Group As])</f>
        <v>Walcot Lane, Bow Brook Ford</v>
      </c>
      <c r="H706" t="e" vm="17">
        <f>_xlfn.XLOOKUP(AllDataCorrected[[#This Row],[Site Name]],LocationsKey[Site Name],LocationsKey[District])</f>
        <v>#VALUE!</v>
      </c>
      <c r="I706" t="e" vm="18">
        <f>_xlfn.XLOOKUP(AllDataCorrected[[#This Row],[Site Name]],LocationsKey[Site Name],LocationsKey[Town])</f>
        <v>#VALUE!</v>
      </c>
      <c r="J706" t="str">
        <f>_xlfn.XLOOKUP(AllDataCorrected[[#This Row],[Site Name]],LocationsKey[Site Name], LocationsKey[Waterway])</f>
        <v>Bow Brook</v>
      </c>
      <c r="K706" t="s">
        <v>732</v>
      </c>
      <c r="L706">
        <f>_xlfn.XLOOKUP(AllDataCorrected[[#This Row],[Site Name]],Tables!$B$12:$B$78, Tables!C$12:C$78)</f>
        <v>52.130499999999998</v>
      </c>
      <c r="M706">
        <f>_xlfn.XLOOKUP(AllDataCorrected[[#This Row],[Site Name]],Tables!$B$12:$B$78, Tables!D$12:D$78)</f>
        <v>-2.0787</v>
      </c>
      <c r="N706" t="s">
        <v>23</v>
      </c>
      <c r="O706">
        <v>1090</v>
      </c>
      <c r="P706">
        <v>14.5</v>
      </c>
      <c r="Q706">
        <v>5</v>
      </c>
      <c r="R706" t="str">
        <f>IF(AllDataCorrected[[#This Row],[Nitrate (PPM)]]&gt;2, "4. Very high (&gt;2ppm)", IF(AllDataCorrected[[#This Row],[Nitrate (PPM)]]&gt;1, "3. High (1-2ppm)", IF(AllDataCorrected[[#This Row],[Nitrate (PPM)]]&gt;0.5, "2. Some evidence (0.5-1ppm)", IF(AllDataCorrected[[#This Row],[Nitrate (PPM)]]&gt;=0, "1. No evidence (&lt;0.5ppm)"))))</f>
        <v>4. Very high (&gt;2ppm)</v>
      </c>
      <c r="S706">
        <v>0.8</v>
      </c>
      <c r="T7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6">
        <v>0.25</v>
      </c>
      <c r="V706" t="s">
        <v>1006</v>
      </c>
    </row>
    <row r="707" spans="1:22" x14ac:dyDescent="0.25">
      <c r="A707" t="s">
        <v>1007</v>
      </c>
      <c r="B707" s="2">
        <v>45402</v>
      </c>
      <c r="C707" t="str" cm="1">
        <f t="array" ref="C7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7">
        <f>YEAR(AllDataCorrected[[#This Row],[Date]])</f>
        <v>2024</v>
      </c>
      <c r="E707" s="1">
        <v>0.70138888888888884</v>
      </c>
      <c r="F7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7" t="str">
        <f>_xlfn.XLOOKUP(AllDataCorrected[[#This Row],[Location Name]], Locations[Location Name],Locations[Group As])</f>
        <v>Stour Whichford</v>
      </c>
      <c r="H707" t="e" vm="2">
        <f>_xlfn.XLOOKUP(AllDataCorrected[[#This Row],[Site Name]],LocationsKey[Site Name],LocationsKey[District])</f>
        <v>#VALUE!</v>
      </c>
      <c r="I707" t="e" vm="21">
        <f>_xlfn.XLOOKUP(AllDataCorrected[[#This Row],[Site Name]],LocationsKey[Site Name],LocationsKey[Town])</f>
        <v>#VALUE!</v>
      </c>
      <c r="J707" t="str">
        <f>_xlfn.XLOOKUP(AllDataCorrected[[#This Row],[Site Name]],LocationsKey[Site Name], LocationsKey[Waterway])</f>
        <v>Stour</v>
      </c>
      <c r="K707" t="s">
        <v>895</v>
      </c>
      <c r="L707">
        <f>_xlfn.XLOOKUP(AllDataCorrected[[#This Row],[Site Name]],Tables!$B$12:$B$78, Tables!C$12:C$78)</f>
        <v>52.017437000000001</v>
      </c>
      <c r="M707">
        <f>_xlfn.XLOOKUP(AllDataCorrected[[#This Row],[Site Name]],Tables!$B$12:$B$78, Tables!D$12:D$78)</f>
        <v>-1.544745</v>
      </c>
      <c r="N707" t="s">
        <v>29</v>
      </c>
      <c r="O707">
        <v>522</v>
      </c>
      <c r="P707">
        <v>12.1</v>
      </c>
      <c r="Q707">
        <v>4.5</v>
      </c>
      <c r="R707" t="str">
        <f>IF(AllDataCorrected[[#This Row],[Nitrate (PPM)]]&gt;2, "4. Very high (&gt;2ppm)", IF(AllDataCorrected[[#This Row],[Nitrate (PPM)]]&gt;1, "3. High (1-2ppm)", IF(AllDataCorrected[[#This Row],[Nitrate (PPM)]]&gt;0.5, "2. Some evidence (0.5-1ppm)", IF(AllDataCorrected[[#This Row],[Nitrate (PPM)]]&gt;=0, "1. No evidence (&lt;0.5ppm)"))))</f>
        <v>4. Very high (&gt;2ppm)</v>
      </c>
      <c r="S707">
        <v>0.34</v>
      </c>
      <c r="T7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7">
        <v>15</v>
      </c>
    </row>
    <row r="708" spans="1:22" x14ac:dyDescent="0.25">
      <c r="A708" t="s">
        <v>1008</v>
      </c>
      <c r="B708" s="2">
        <v>45402</v>
      </c>
      <c r="C708" t="str" cm="1">
        <f t="array" ref="C7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8">
        <f>YEAR(AllDataCorrected[[#This Row],[Date]])</f>
        <v>2024</v>
      </c>
      <c r="E708" s="1">
        <v>0.72916666666666663</v>
      </c>
      <c r="F7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8" t="str">
        <f>_xlfn.XLOOKUP(AllDataCorrected[[#This Row],[Location Name]], Locations[Location Name],Locations[Group As])</f>
        <v>Stour Ascott Village</v>
      </c>
      <c r="H708" t="e" vm="2">
        <f>_xlfn.XLOOKUP(AllDataCorrected[[#This Row],[Site Name]],LocationsKey[Site Name],LocationsKey[District])</f>
        <v>#VALUE!</v>
      </c>
      <c r="I708" t="e" vm="22">
        <f>_xlfn.XLOOKUP(AllDataCorrected[[#This Row],[Site Name]],LocationsKey[Site Name],LocationsKey[Town])</f>
        <v>#VALUE!</v>
      </c>
      <c r="J708" t="str">
        <f>_xlfn.XLOOKUP(AllDataCorrected[[#This Row],[Site Name]],LocationsKey[Site Name], LocationsKey[Waterway])</f>
        <v>Stour</v>
      </c>
      <c r="K708" t="s">
        <v>855</v>
      </c>
      <c r="L708">
        <f>_xlfn.XLOOKUP(AllDataCorrected[[#This Row],[Site Name]],Tables!$B$12:$B$78, Tables!C$12:C$78)</f>
        <v>52.013255999999998</v>
      </c>
      <c r="M708">
        <f>_xlfn.XLOOKUP(AllDataCorrected[[#This Row],[Site Name]],Tables!$B$12:$B$78, Tables!D$12:D$78)</f>
        <v>-1.5387710000000001</v>
      </c>
      <c r="N708" t="s">
        <v>66</v>
      </c>
      <c r="O708">
        <v>12.08</v>
      </c>
      <c r="P708">
        <v>12.1</v>
      </c>
      <c r="Q708">
        <v>3.5</v>
      </c>
      <c r="R708" t="str">
        <f>IF(AllDataCorrected[[#This Row],[Nitrate (PPM)]]&gt;2, "4. Very high (&gt;2ppm)", IF(AllDataCorrected[[#This Row],[Nitrate (PPM)]]&gt;1, "3. High (1-2ppm)", IF(AllDataCorrected[[#This Row],[Nitrate (PPM)]]&gt;0.5, "2. Some evidence (0.5-1ppm)", IF(AllDataCorrected[[#This Row],[Nitrate (PPM)]]&gt;=0, "1. No evidence (&lt;0.5ppm)"))))</f>
        <v>4. Very high (&gt;2ppm)</v>
      </c>
      <c r="S708">
        <v>0.23</v>
      </c>
      <c r="T7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8">
        <v>12</v>
      </c>
    </row>
    <row r="709" spans="1:22" x14ac:dyDescent="0.25">
      <c r="A709" t="s">
        <v>1009</v>
      </c>
      <c r="B709" s="2">
        <v>45403</v>
      </c>
      <c r="C709" t="str" cm="1">
        <f t="array" ref="C7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9">
        <f>YEAR(AllDataCorrected[[#This Row],[Date]])</f>
        <v>2024</v>
      </c>
      <c r="E709" s="1">
        <v>0.42708333333333331</v>
      </c>
      <c r="F7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09" t="str">
        <f>_xlfn.XLOOKUP(AllDataCorrected[[#This Row],[Location Name]], Locations[Location Name],Locations[Group As])</f>
        <v>Avon Smiths Meadow Wyre Piddle</v>
      </c>
      <c r="H709" t="e" vm="17">
        <f>_xlfn.XLOOKUP(AllDataCorrected[[#This Row],[Site Name]],LocationsKey[Site Name],LocationsKey[District])</f>
        <v>#VALUE!</v>
      </c>
      <c r="I709" t="e" vm="20">
        <f>_xlfn.XLOOKUP(AllDataCorrected[[#This Row],[Site Name]],LocationsKey[Site Name],LocationsKey[Town])</f>
        <v>#VALUE!</v>
      </c>
      <c r="J709" t="str">
        <f>_xlfn.XLOOKUP(AllDataCorrected[[#This Row],[Site Name]],LocationsKey[Site Name], LocationsKey[Waterway])</f>
        <v>Avon</v>
      </c>
      <c r="K709" t="s">
        <v>741</v>
      </c>
      <c r="L709">
        <f>_xlfn.XLOOKUP(AllDataCorrected[[#This Row],[Site Name]],Tables!$B$12:$B$78, Tables!C$12:C$78)</f>
        <v>52.123045961538452</v>
      </c>
      <c r="M709">
        <f>_xlfn.XLOOKUP(AllDataCorrected[[#This Row],[Site Name]],Tables!$B$12:$B$78, Tables!D$12:D$78)</f>
        <v>-2.0572161923076919</v>
      </c>
      <c r="N709" t="s">
        <v>23</v>
      </c>
      <c r="O709">
        <v>868</v>
      </c>
      <c r="P709">
        <v>11.6</v>
      </c>
      <c r="Q709">
        <v>5</v>
      </c>
      <c r="R709" t="str">
        <f>IF(AllDataCorrected[[#This Row],[Nitrate (PPM)]]&gt;2, "4. Very high (&gt;2ppm)", IF(AllDataCorrected[[#This Row],[Nitrate (PPM)]]&gt;1, "3. High (1-2ppm)", IF(AllDataCorrected[[#This Row],[Nitrate (PPM)]]&gt;0.5, "2. Some evidence (0.5-1ppm)", IF(AllDataCorrected[[#This Row],[Nitrate (PPM)]]&gt;=0, "1. No evidence (&lt;0.5ppm)"))))</f>
        <v>4. Very high (&gt;2ppm)</v>
      </c>
      <c r="S709">
        <v>0.56000000000000005</v>
      </c>
      <c r="T7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9">
        <v>0.68</v>
      </c>
      <c r="V709" t="s">
        <v>1010</v>
      </c>
    </row>
    <row r="710" spans="1:22" x14ac:dyDescent="0.25">
      <c r="A710" t="s">
        <v>1011</v>
      </c>
      <c r="B710" s="2">
        <v>45403</v>
      </c>
      <c r="C710" t="str" cm="1">
        <f t="array" ref="C7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0">
        <f>YEAR(AllDataCorrected[[#This Row],[Date]])</f>
        <v>2024</v>
      </c>
      <c r="E710" s="1">
        <v>0.44444444444444442</v>
      </c>
      <c r="F7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0" t="str">
        <f>_xlfn.XLOOKUP(AllDataCorrected[[#This Row],[Location Name]], Locations[Location Name],Locations[Group As])</f>
        <v>The Ford, Langley</v>
      </c>
      <c r="H710" t="e" vm="2">
        <f>_xlfn.XLOOKUP(AllDataCorrected[[#This Row],[Site Name]],LocationsKey[Site Name],LocationsKey[District])</f>
        <v>#VALUE!</v>
      </c>
      <c r="I710" t="str">
        <f>_xlfn.XLOOKUP(AllDataCorrected[[#This Row],[Site Name]],LocationsKey[Site Name],LocationsKey[Town])</f>
        <v>Langley</v>
      </c>
      <c r="J710" t="str">
        <f>_xlfn.XLOOKUP(AllDataCorrected[[#This Row],[Site Name]],LocationsKey[Site Name], LocationsKey[Waterway])</f>
        <v>Langley Ford</v>
      </c>
      <c r="K710" t="s">
        <v>557</v>
      </c>
      <c r="L710">
        <f>_xlfn.XLOOKUP(AllDataCorrected[[#This Row],[Site Name]],Tables!$B$12:$B$78, Tables!C$12:C$78)</f>
        <v>52.261724821428579</v>
      </c>
      <c r="M710">
        <f>_xlfn.XLOOKUP(AllDataCorrected[[#This Row],[Site Name]],Tables!$B$12:$B$78, Tables!D$12:D$78)</f>
        <v>-1.719408857142857</v>
      </c>
      <c r="N710" t="s">
        <v>29</v>
      </c>
      <c r="O710">
        <v>734</v>
      </c>
      <c r="P710">
        <v>9.6999999999999993</v>
      </c>
      <c r="Q710">
        <v>5</v>
      </c>
      <c r="R710" t="str">
        <f>IF(AllDataCorrected[[#This Row],[Nitrate (PPM)]]&gt;2, "4. Very high (&gt;2ppm)", IF(AllDataCorrected[[#This Row],[Nitrate (PPM)]]&gt;1, "3. High (1-2ppm)", IF(AllDataCorrected[[#This Row],[Nitrate (PPM)]]&gt;0.5, "2. Some evidence (0.5-1ppm)", IF(AllDataCorrected[[#This Row],[Nitrate (PPM)]]&gt;=0, "1. No evidence (&lt;0.5ppm)"))))</f>
        <v>4. Very high (&gt;2ppm)</v>
      </c>
      <c r="S710">
        <v>0.47</v>
      </c>
      <c r="T7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0">
        <v>0.3</v>
      </c>
      <c r="V710" t="s">
        <v>765</v>
      </c>
    </row>
    <row r="711" spans="1:22" x14ac:dyDescent="0.25">
      <c r="A711" t="s">
        <v>1020</v>
      </c>
      <c r="B711" s="2">
        <v>45403</v>
      </c>
      <c r="C711" t="str" cm="1">
        <f t="array" ref="C7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1">
        <f>YEAR(AllDataCorrected[[#This Row],[Date]])</f>
        <v>2024</v>
      </c>
      <c r="E711" s="1">
        <v>0.47222222222222221</v>
      </c>
      <c r="F7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1" t="str">
        <f>_xlfn.XLOOKUP(AllDataCorrected[[#This Row],[Location Name]], Locations[Location Name],Locations[Group As])</f>
        <v>Lucy's Mill Bridge</v>
      </c>
      <c r="H711" t="e" vm="2">
        <f>_xlfn.XLOOKUP(AllDataCorrected[[#This Row],[Site Name]],LocationsKey[Site Name],LocationsKey[District])</f>
        <v>#VALUE!</v>
      </c>
      <c r="I711" t="e" vm="7">
        <f>_xlfn.XLOOKUP(AllDataCorrected[[#This Row],[Site Name]],LocationsKey[Site Name],LocationsKey[Town])</f>
        <v>#VALUE!</v>
      </c>
      <c r="J711" t="str">
        <f>_xlfn.XLOOKUP(AllDataCorrected[[#This Row],[Site Name]],LocationsKey[Site Name], LocationsKey[Waterway])</f>
        <v>Avon</v>
      </c>
      <c r="K711" t="s">
        <v>216</v>
      </c>
      <c r="L711">
        <f>_xlfn.XLOOKUP(AllDataCorrected[[#This Row],[Site Name]],Tables!$B$12:$B$78, Tables!C$12:C$78)</f>
        <v>52.183699000000011</v>
      </c>
      <c r="M711">
        <f>_xlfn.XLOOKUP(AllDataCorrected[[#This Row],[Site Name]],Tables!$B$12:$B$78, Tables!D$12:D$78)</f>
        <v>-1.7078160000000004</v>
      </c>
      <c r="N711" t="s">
        <v>29</v>
      </c>
      <c r="P711">
        <v>13</v>
      </c>
      <c r="Q711">
        <v>10</v>
      </c>
      <c r="R711" t="str">
        <f>IF(AllDataCorrected[[#This Row],[Nitrate (PPM)]]&gt;2, "4. Very high (&gt;2ppm)", IF(AllDataCorrected[[#This Row],[Nitrate (PPM)]]&gt;1, "3. High (1-2ppm)", IF(AllDataCorrected[[#This Row],[Nitrate (PPM)]]&gt;0.5, "2. Some evidence (0.5-1ppm)", IF(AllDataCorrected[[#This Row],[Nitrate (PPM)]]&gt;=0, "1. No evidence (&lt;0.5ppm)"))))</f>
        <v>4. Very high (&gt;2ppm)</v>
      </c>
      <c r="S711">
        <v>0.26</v>
      </c>
      <c r="T7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1">
        <v>0.7</v>
      </c>
    </row>
    <row r="712" spans="1:22" x14ac:dyDescent="0.25">
      <c r="A712" t="s">
        <v>1012</v>
      </c>
      <c r="B712" s="2">
        <v>45403</v>
      </c>
      <c r="C712" t="str" cm="1">
        <f t="array" ref="C7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2">
        <f>YEAR(AllDataCorrected[[#This Row],[Date]])</f>
        <v>2024</v>
      </c>
      <c r="E712" s="1">
        <v>0.57291666666666663</v>
      </c>
      <c r="F7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2" t="str">
        <f>_xlfn.XLOOKUP(AllDataCorrected[[#This Row],[Location Name]], Locations[Location Name],Locations[Group As])</f>
        <v>Clifford Chambers Mill Bridge</v>
      </c>
      <c r="H712" t="e" vm="2">
        <f>_xlfn.XLOOKUP(AllDataCorrected[[#This Row],[Site Name]],LocationsKey[Site Name],LocationsKey[District])</f>
        <v>#VALUE!</v>
      </c>
      <c r="I712" t="e" vm="12">
        <f>_xlfn.XLOOKUP(AllDataCorrected[[#This Row],[Site Name]],LocationsKey[Site Name],LocationsKey[Town])</f>
        <v>#VALUE!</v>
      </c>
      <c r="J712" t="str">
        <f>_xlfn.XLOOKUP(AllDataCorrected[[#This Row],[Site Name]],LocationsKey[Site Name], LocationsKey[Waterway])</f>
        <v>Stour</v>
      </c>
      <c r="K712" t="s">
        <v>263</v>
      </c>
      <c r="L712">
        <f>_xlfn.XLOOKUP(AllDataCorrected[[#This Row],[Site Name]],Tables!$B$12:$B$78, Tables!C$12:C$78)</f>
        <v>52.166358517241363</v>
      </c>
      <c r="M712">
        <f>_xlfn.XLOOKUP(AllDataCorrected[[#This Row],[Site Name]],Tables!$B$12:$B$78, Tables!D$12:D$78)</f>
        <v>-1.7080419310344837</v>
      </c>
      <c r="N712" t="s">
        <v>66</v>
      </c>
      <c r="O712">
        <v>659</v>
      </c>
      <c r="P712">
        <v>12.5</v>
      </c>
      <c r="Q712">
        <v>8</v>
      </c>
      <c r="R712" t="str">
        <f>IF(AllDataCorrected[[#This Row],[Nitrate (PPM)]]&gt;2, "4. Very high (&gt;2ppm)", IF(AllDataCorrected[[#This Row],[Nitrate (PPM)]]&gt;1, "3. High (1-2ppm)", IF(AllDataCorrected[[#This Row],[Nitrate (PPM)]]&gt;0.5, "2. Some evidence (0.5-1ppm)", IF(AllDataCorrected[[#This Row],[Nitrate (PPM)]]&gt;=0, "1. No evidence (&lt;0.5ppm)"))))</f>
        <v>4. Very high (&gt;2ppm)</v>
      </c>
      <c r="S712">
        <v>0.14000000000000001</v>
      </c>
      <c r="T7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2">
        <v>0.8</v>
      </c>
    </row>
    <row r="713" spans="1:22" x14ac:dyDescent="0.25">
      <c r="A713" t="s">
        <v>1013</v>
      </c>
      <c r="B713" s="2">
        <v>45403</v>
      </c>
      <c r="C713" t="str" cm="1">
        <f t="array" ref="C7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3">
        <f>YEAR(AllDataCorrected[[#This Row],[Date]])</f>
        <v>2024</v>
      </c>
      <c r="E713" s="1">
        <v>0.58472222222222225</v>
      </c>
      <c r="F7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3" t="str">
        <f>_xlfn.XLOOKUP(AllDataCorrected[[#This Row],[Location Name]], Locations[Location Name],Locations[Group As])</f>
        <v>Carrant Mitton Path</v>
      </c>
      <c r="H713" t="e" vm="1">
        <f>_xlfn.XLOOKUP(AllDataCorrected[[#This Row],[Site Name]],LocationsKey[Site Name],LocationsKey[District])</f>
        <v>#VALUE!</v>
      </c>
      <c r="I713" t="e" vm="1">
        <f>_xlfn.XLOOKUP(AllDataCorrected[[#This Row],[Site Name]],LocationsKey[Site Name],LocationsKey[Town])</f>
        <v>#VALUE!</v>
      </c>
      <c r="J713" t="str">
        <f>_xlfn.XLOOKUP(AllDataCorrected[[#This Row],[Site Name]],LocationsKey[Site Name], LocationsKey[Waterway])</f>
        <v>Carrant</v>
      </c>
      <c r="K713" t="s">
        <v>958</v>
      </c>
      <c r="L713">
        <f>_xlfn.XLOOKUP(AllDataCorrected[[#This Row],[Site Name]],Tables!$B$12:$B$78, Tables!C$12:C$78)</f>
        <v>51.999946066666674</v>
      </c>
      <c r="M713">
        <f>_xlfn.XLOOKUP(AllDataCorrected[[#This Row],[Site Name]],Tables!$B$12:$B$78, Tables!D$12:D$78)</f>
        <v>-2.1414862000000006</v>
      </c>
      <c r="N713" t="s">
        <v>23</v>
      </c>
      <c r="O713">
        <v>525</v>
      </c>
      <c r="P713">
        <v>12.3</v>
      </c>
      <c r="Q713">
        <v>9</v>
      </c>
      <c r="R713" t="str">
        <f>IF(AllDataCorrected[[#This Row],[Nitrate (PPM)]]&gt;2, "4. Very high (&gt;2ppm)", IF(AllDataCorrected[[#This Row],[Nitrate (PPM)]]&gt;1, "3. High (1-2ppm)", IF(AllDataCorrected[[#This Row],[Nitrate (PPM)]]&gt;0.5, "2. Some evidence (0.5-1ppm)", IF(AllDataCorrected[[#This Row],[Nitrate (PPM)]]&gt;=0, "1. No evidence (&lt;0.5ppm)"))))</f>
        <v>4. Very high (&gt;2ppm)</v>
      </c>
      <c r="S713">
        <v>0.28000000000000003</v>
      </c>
      <c r="T7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3">
        <v>0</v>
      </c>
    </row>
    <row r="714" spans="1:22" x14ac:dyDescent="0.25">
      <c r="A714" t="s">
        <v>1014</v>
      </c>
      <c r="B714" s="2">
        <v>45403</v>
      </c>
      <c r="C714" t="str" cm="1">
        <f t="array" ref="C7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4">
        <f>YEAR(AllDataCorrected[[#This Row],[Date]])</f>
        <v>2024</v>
      </c>
      <c r="E714" s="1">
        <v>0.59652777777777777</v>
      </c>
      <c r="F7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4" t="str">
        <f>_xlfn.XLOOKUP(AllDataCorrected[[#This Row],[Location Name]], Locations[Location Name],Locations[Group As])</f>
        <v>Carrant M5 Bridge</v>
      </c>
      <c r="H714" t="e" vm="1">
        <f>_xlfn.XLOOKUP(AllDataCorrected[[#This Row],[Site Name]],LocationsKey[Site Name],LocationsKey[District])</f>
        <v>#VALUE!</v>
      </c>
      <c r="I714" t="e" vm="1">
        <f>_xlfn.XLOOKUP(AllDataCorrected[[#This Row],[Site Name]],LocationsKey[Site Name],LocationsKey[Town])</f>
        <v>#VALUE!</v>
      </c>
      <c r="J714" t="str">
        <f>_xlfn.XLOOKUP(AllDataCorrected[[#This Row],[Site Name]],LocationsKey[Site Name], LocationsKey[Waterway])</f>
        <v>Carrant</v>
      </c>
      <c r="K714" t="s">
        <v>1015</v>
      </c>
      <c r="L714">
        <f>_xlfn.XLOOKUP(AllDataCorrected[[#This Row],[Site Name]],Tables!$B$12:$B$78, Tables!C$12:C$78)</f>
        <v>52.011600000000001</v>
      </c>
      <c r="M714">
        <f>_xlfn.XLOOKUP(AllDataCorrected[[#This Row],[Site Name]],Tables!$B$12:$B$78, Tables!D$12:D$78)</f>
        <v>-2.1206</v>
      </c>
      <c r="N714" t="s">
        <v>23</v>
      </c>
      <c r="O714">
        <v>747</v>
      </c>
      <c r="P714">
        <v>12.4</v>
      </c>
      <c r="Q714">
        <v>5</v>
      </c>
      <c r="R714" t="str">
        <f>IF(AllDataCorrected[[#This Row],[Nitrate (PPM)]]&gt;2, "4. Very high (&gt;2ppm)", IF(AllDataCorrected[[#This Row],[Nitrate (PPM)]]&gt;1, "3. High (1-2ppm)", IF(AllDataCorrected[[#This Row],[Nitrate (PPM)]]&gt;0.5, "2. Some evidence (0.5-1ppm)", IF(AllDataCorrected[[#This Row],[Nitrate (PPM)]]&gt;=0, "1. No evidence (&lt;0.5ppm)"))))</f>
        <v>4. Very high (&gt;2ppm)</v>
      </c>
      <c r="S714">
        <v>0.32</v>
      </c>
      <c r="T7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4">
        <v>0</v>
      </c>
    </row>
    <row r="715" spans="1:22" x14ac:dyDescent="0.25">
      <c r="A715" t="s">
        <v>1016</v>
      </c>
      <c r="B715" s="2">
        <v>45403</v>
      </c>
      <c r="C715" t="str" cm="1">
        <f t="array" ref="C7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5">
        <f>YEAR(AllDataCorrected[[#This Row],[Date]])</f>
        <v>2024</v>
      </c>
      <c r="E715" s="1">
        <v>0.61458333333333337</v>
      </c>
      <c r="F7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5" t="str">
        <f>_xlfn.XLOOKUP(AllDataCorrected[[#This Row],[Location Name]], Locations[Location Name],Locations[Group As])</f>
        <v>Sherbourne Brook 1</v>
      </c>
      <c r="H715" t="e" vm="2">
        <f>_xlfn.XLOOKUP(AllDataCorrected[[#This Row],[Site Name]],LocationsKey[Site Name],LocationsKey[District])</f>
        <v>#VALUE!</v>
      </c>
      <c r="I715" t="e" vm="16">
        <f>_xlfn.XLOOKUP(AllDataCorrected[[#This Row],[Site Name]],LocationsKey[Site Name],LocationsKey[Town])</f>
        <v>#VALUE!</v>
      </c>
      <c r="J715" t="str">
        <f>_xlfn.XLOOKUP(AllDataCorrected[[#This Row],[Site Name]],LocationsKey[Site Name], LocationsKey[Waterway])</f>
        <v>Sherbourne Brook</v>
      </c>
      <c r="K715" t="s">
        <v>570</v>
      </c>
      <c r="L715">
        <f>_xlfn.XLOOKUP(AllDataCorrected[[#This Row],[Site Name]],Tables!$B$12:$B$78, Tables!C$12:C$78)</f>
        <v>52.252500000000033</v>
      </c>
      <c r="M715">
        <f>_xlfn.XLOOKUP(AllDataCorrected[[#This Row],[Site Name]],Tables!$B$12:$B$78, Tables!D$12:D$78)</f>
        <v>-1.6685000000000012</v>
      </c>
      <c r="N715" t="s">
        <v>23</v>
      </c>
      <c r="O715">
        <v>1060</v>
      </c>
      <c r="P715">
        <v>11.1</v>
      </c>
      <c r="Q715">
        <v>6</v>
      </c>
      <c r="R715" t="str">
        <f>IF(AllDataCorrected[[#This Row],[Nitrate (PPM)]]&gt;2, "4. Very high (&gt;2ppm)", IF(AllDataCorrected[[#This Row],[Nitrate (PPM)]]&gt;1, "3. High (1-2ppm)", IF(AllDataCorrected[[#This Row],[Nitrate (PPM)]]&gt;0.5, "2. Some evidence (0.5-1ppm)", IF(AllDataCorrected[[#This Row],[Nitrate (PPM)]]&gt;=0, "1. No evidence (&lt;0.5ppm)"))))</f>
        <v>4. Very high (&gt;2ppm)</v>
      </c>
      <c r="S715">
        <v>0.56999999999999995</v>
      </c>
      <c r="T7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5">
        <v>0.2</v>
      </c>
    </row>
    <row r="716" spans="1:22" x14ac:dyDescent="0.25">
      <c r="A716" t="s">
        <v>1017</v>
      </c>
      <c r="B716" s="2">
        <v>45403</v>
      </c>
      <c r="C716" t="str" cm="1">
        <f t="array" ref="C7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6">
        <f>YEAR(AllDataCorrected[[#This Row],[Date]])</f>
        <v>2024</v>
      </c>
      <c r="E716" s="1">
        <v>0.625</v>
      </c>
      <c r="F7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6" t="str">
        <f>_xlfn.XLOOKUP(AllDataCorrected[[#This Row],[Location Name]], Locations[Location Name],Locations[Group As])</f>
        <v>Bell Brook 1</v>
      </c>
      <c r="H716" t="e" vm="2">
        <f>_xlfn.XLOOKUP(AllDataCorrected[[#This Row],[Site Name]],LocationsKey[Site Name],LocationsKey[District])</f>
        <v>#VALUE!</v>
      </c>
      <c r="I716" t="e" vm="15">
        <f>_xlfn.XLOOKUP(AllDataCorrected[[#This Row],[Site Name]],LocationsKey[Site Name],LocationsKey[Town])</f>
        <v>#VALUE!</v>
      </c>
      <c r="J716" t="str">
        <f>_xlfn.XLOOKUP(AllDataCorrected[[#This Row],[Site Name]],LocationsKey[Site Name], LocationsKey[Waterway])</f>
        <v>Bell Brook</v>
      </c>
      <c r="K716" t="s">
        <v>534</v>
      </c>
      <c r="L716">
        <f>_xlfn.XLOOKUP(AllDataCorrected[[#This Row],[Site Name]],Tables!$B$12:$B$78, Tables!C$12:C$78)</f>
        <v>52.24489999999998</v>
      </c>
      <c r="M716">
        <f>_xlfn.XLOOKUP(AllDataCorrected[[#This Row],[Site Name]],Tables!$B$12:$B$78, Tables!D$12:D$78)</f>
        <v>-1.6617000000000013</v>
      </c>
      <c r="N716" t="s">
        <v>23</v>
      </c>
      <c r="O716">
        <v>735</v>
      </c>
      <c r="P716">
        <v>13</v>
      </c>
      <c r="Q716">
        <v>5</v>
      </c>
      <c r="R716" t="str">
        <f>IF(AllDataCorrected[[#This Row],[Nitrate (PPM)]]&gt;2, "4. Very high (&gt;2ppm)", IF(AllDataCorrected[[#This Row],[Nitrate (PPM)]]&gt;1, "3. High (1-2ppm)", IF(AllDataCorrected[[#This Row],[Nitrate (PPM)]]&gt;0.5, "2. Some evidence (0.5-1ppm)", IF(AllDataCorrected[[#This Row],[Nitrate (PPM)]]&gt;=0, "1. No evidence (&lt;0.5ppm)"))))</f>
        <v>4. Very high (&gt;2ppm)</v>
      </c>
      <c r="S716">
        <v>0.43</v>
      </c>
      <c r="T7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6">
        <v>0.1</v>
      </c>
    </row>
    <row r="717" spans="1:22" x14ac:dyDescent="0.25">
      <c r="A717" t="s">
        <v>1018</v>
      </c>
      <c r="B717" s="2">
        <v>45403</v>
      </c>
      <c r="C717" t="str" cm="1">
        <f t="array" ref="C7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7">
        <f>YEAR(AllDataCorrected[[#This Row],[Date]])</f>
        <v>2024</v>
      </c>
      <c r="E717" s="1">
        <v>0.68125000000000002</v>
      </c>
      <c r="F7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7" t="str">
        <f>_xlfn.XLOOKUP(AllDataCorrected[[#This Row],[Location Name]], Locations[Location Name],Locations[Group As])</f>
        <v>Black Bear</v>
      </c>
      <c r="H717" t="e" vm="1">
        <f>_xlfn.XLOOKUP(AllDataCorrected[[#This Row],[Site Name]],LocationsKey[Site Name],LocationsKey[District])</f>
        <v>#VALUE!</v>
      </c>
      <c r="I717" t="e" vm="1">
        <f>_xlfn.XLOOKUP(AllDataCorrected[[#This Row],[Site Name]],LocationsKey[Site Name],LocationsKey[Town])</f>
        <v>#VALUE!</v>
      </c>
      <c r="J717" t="str">
        <f>_xlfn.XLOOKUP(AllDataCorrected[[#This Row],[Site Name]],LocationsKey[Site Name], LocationsKey[Waterway])</f>
        <v>Avon</v>
      </c>
      <c r="K717" t="s">
        <v>567</v>
      </c>
      <c r="L717">
        <f>_xlfn.XLOOKUP(AllDataCorrected[[#This Row],[Site Name]],Tables!$B$12:$B$78, Tables!C$12:C$78)</f>
        <v>51.997435214285723</v>
      </c>
      <c r="M717">
        <f>_xlfn.XLOOKUP(AllDataCorrected[[#This Row],[Site Name]],Tables!$B$12:$B$78, Tables!D$12:D$78)</f>
        <v>-2.1562056785714288</v>
      </c>
      <c r="N717" t="s">
        <v>23</v>
      </c>
      <c r="O717">
        <v>790</v>
      </c>
      <c r="P717">
        <v>15.4</v>
      </c>
      <c r="Q717">
        <v>10</v>
      </c>
      <c r="R717" t="str">
        <f>IF(AllDataCorrected[[#This Row],[Nitrate (PPM)]]&gt;2, "4. Very high (&gt;2ppm)", IF(AllDataCorrected[[#This Row],[Nitrate (PPM)]]&gt;1, "3. High (1-2ppm)", IF(AllDataCorrected[[#This Row],[Nitrate (PPM)]]&gt;0.5, "2. Some evidence (0.5-1ppm)", IF(AllDataCorrected[[#This Row],[Nitrate (PPM)]]&gt;=0, "1. No evidence (&lt;0.5ppm)"))))</f>
        <v>4. Very high (&gt;2ppm)</v>
      </c>
      <c r="S717">
        <v>0.45</v>
      </c>
      <c r="T7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7">
        <v>0</v>
      </c>
    </row>
    <row r="718" spans="1:22" x14ac:dyDescent="0.25">
      <c r="A718" t="s">
        <v>1019</v>
      </c>
      <c r="B718" s="2">
        <v>45403</v>
      </c>
      <c r="C718" t="str" cm="1">
        <f t="array" ref="C7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8">
        <f>YEAR(AllDataCorrected[[#This Row],[Date]])</f>
        <v>2024</v>
      </c>
      <c r="E718" s="1">
        <v>0.73055555555555551</v>
      </c>
      <c r="F7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8" t="str">
        <f>_xlfn.XLOOKUP(AllDataCorrected[[#This Row],[Location Name]], Locations[Location Name],Locations[Group As])</f>
        <v>Pershore Bridges</v>
      </c>
      <c r="H718" t="e" vm="17">
        <f>_xlfn.XLOOKUP(AllDataCorrected[[#This Row],[Site Name]],LocationsKey[Site Name],LocationsKey[District])</f>
        <v>#VALUE!</v>
      </c>
      <c r="I718" t="e" vm="18">
        <f>_xlfn.XLOOKUP(AllDataCorrected[[#This Row],[Site Name]],LocationsKey[Site Name],LocationsKey[Town])</f>
        <v>#VALUE!</v>
      </c>
      <c r="J718" t="str">
        <f>_xlfn.XLOOKUP(AllDataCorrected[[#This Row],[Site Name]],LocationsKey[Site Name], LocationsKey[Waterway])</f>
        <v>Avon</v>
      </c>
      <c r="K718" t="s">
        <v>581</v>
      </c>
      <c r="L718">
        <f>_xlfn.XLOOKUP(AllDataCorrected[[#This Row],[Site Name]],Tables!$B$12:$B$78, Tables!C$12:C$78)</f>
        <v>52.104196285714281</v>
      </c>
      <c r="M718">
        <f>_xlfn.XLOOKUP(AllDataCorrected[[#This Row],[Site Name]],Tables!$B$12:$B$78, Tables!D$12:D$78)</f>
        <v>-2.0709292857142856</v>
      </c>
      <c r="O718">
        <v>877</v>
      </c>
      <c r="P718">
        <v>13.2</v>
      </c>
      <c r="Q718">
        <v>5</v>
      </c>
      <c r="R718" t="str">
        <f>IF(AllDataCorrected[[#This Row],[Nitrate (PPM)]]&gt;2, "4. Very high (&gt;2ppm)", IF(AllDataCorrected[[#This Row],[Nitrate (PPM)]]&gt;1, "3. High (1-2ppm)", IF(AllDataCorrected[[#This Row],[Nitrate (PPM)]]&gt;0.5, "2. Some evidence (0.5-1ppm)", IF(AllDataCorrected[[#This Row],[Nitrate (PPM)]]&gt;=0, "1. No evidence (&lt;0.5ppm)"))))</f>
        <v>4. Very high (&gt;2ppm)</v>
      </c>
      <c r="S718">
        <v>0.46</v>
      </c>
      <c r="T7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8">
        <v>3.38</v>
      </c>
    </row>
    <row r="719" spans="1:22" x14ac:dyDescent="0.25">
      <c r="A719" t="s">
        <v>1021</v>
      </c>
      <c r="B719" s="2">
        <v>45404</v>
      </c>
      <c r="C719" t="str" cm="1">
        <f t="array" ref="C7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9">
        <f>YEAR(AllDataCorrected[[#This Row],[Date]])</f>
        <v>2024</v>
      </c>
      <c r="E719" s="1">
        <v>0.36875000000000002</v>
      </c>
      <c r="F7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9" t="str">
        <f>_xlfn.XLOOKUP(AllDataCorrected[[#This Row],[Location Name]], Locations[Location Name],Locations[Group As])</f>
        <v>Stour Stretton-on-Fosse Village</v>
      </c>
      <c r="H719" t="e" vm="2">
        <f>_xlfn.XLOOKUP(AllDataCorrected[[#This Row],[Site Name]],LocationsKey[Site Name],LocationsKey[District])</f>
        <v>#VALUE!</v>
      </c>
      <c r="I719" t="e" vm="14">
        <f>_xlfn.XLOOKUP(AllDataCorrected[[#This Row],[Site Name]],LocationsKey[Site Name],LocationsKey[Town])</f>
        <v>#VALUE!</v>
      </c>
      <c r="J719" t="str">
        <f>_xlfn.XLOOKUP(AllDataCorrected[[#This Row],[Site Name]],LocationsKey[Site Name], LocationsKey[Waterway])</f>
        <v>Stour</v>
      </c>
      <c r="K719" t="s">
        <v>544</v>
      </c>
      <c r="L719">
        <f>_xlfn.XLOOKUP(AllDataCorrected[[#This Row],[Site Name]],Tables!$B$12:$B$78, Tables!C$12:C$78)</f>
        <v>52.046517558823524</v>
      </c>
      <c r="M719">
        <f>_xlfn.XLOOKUP(AllDataCorrected[[#This Row],[Site Name]],Tables!$B$12:$B$78, Tables!D$12:D$78)</f>
        <v>-1.6734143529411767</v>
      </c>
      <c r="N719" t="s">
        <v>66</v>
      </c>
      <c r="O719">
        <v>732</v>
      </c>
      <c r="P719">
        <v>8.6</v>
      </c>
      <c r="Q719">
        <v>2</v>
      </c>
      <c r="R719" t="str">
        <f>IF(AllDataCorrected[[#This Row],[Nitrate (PPM)]]&gt;2, "4. Very high (&gt;2ppm)", IF(AllDataCorrected[[#This Row],[Nitrate (PPM)]]&gt;1, "3. High (1-2ppm)", IF(AllDataCorrected[[#This Row],[Nitrate (PPM)]]&gt;0.5, "2. Some evidence (0.5-1ppm)", IF(AllDataCorrected[[#This Row],[Nitrate (PPM)]]&gt;=0, "1. No evidence (&lt;0.5ppm)"))))</f>
        <v>3. High (1-2ppm)</v>
      </c>
      <c r="S719">
        <v>2.5</v>
      </c>
      <c r="T7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9">
        <v>0.2</v>
      </c>
    </row>
    <row r="720" spans="1:22" x14ac:dyDescent="0.25">
      <c r="A720" t="s">
        <v>1022</v>
      </c>
      <c r="B720" s="2">
        <v>45404</v>
      </c>
      <c r="C720" t="str" cm="1">
        <f t="array" ref="C7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0">
        <f>YEAR(AllDataCorrected[[#This Row],[Date]])</f>
        <v>2024</v>
      </c>
      <c r="E720" s="1">
        <v>0.375</v>
      </c>
      <c r="F7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0" t="str">
        <f>_xlfn.XLOOKUP(AllDataCorrected[[#This Row],[Location Name]], Locations[Location Name],Locations[Group As])</f>
        <v>Stour Stretton-on-Fosse Sewage Works</v>
      </c>
      <c r="H720" t="e" vm="2">
        <f>_xlfn.XLOOKUP(AllDataCorrected[[#This Row],[Site Name]],LocationsKey[Site Name],LocationsKey[District])</f>
        <v>#VALUE!</v>
      </c>
      <c r="I720" t="e" vm="14">
        <f>_xlfn.XLOOKUP(AllDataCorrected[[#This Row],[Site Name]],LocationsKey[Site Name],LocationsKey[Town])</f>
        <v>#VALUE!</v>
      </c>
      <c r="J720" t="str">
        <f>_xlfn.XLOOKUP(AllDataCorrected[[#This Row],[Site Name]],LocationsKey[Site Name], LocationsKey[Waterway])</f>
        <v>Stour</v>
      </c>
      <c r="K720" t="s">
        <v>335</v>
      </c>
      <c r="L720">
        <f>_xlfn.XLOOKUP(AllDataCorrected[[#This Row],[Site Name]],Tables!$B$12:$B$78, Tables!C$12:C$78)</f>
        <v>52.045653647058806</v>
      </c>
      <c r="M720">
        <f>_xlfn.XLOOKUP(AllDataCorrected[[#This Row],[Site Name]],Tables!$B$12:$B$78, Tables!D$12:D$78)</f>
        <v>-1.6719221470588235</v>
      </c>
      <c r="N720" t="s">
        <v>29</v>
      </c>
      <c r="O720">
        <v>798</v>
      </c>
      <c r="P720">
        <v>8.1999999999999993</v>
      </c>
      <c r="Q720">
        <v>2</v>
      </c>
      <c r="R720" t="str">
        <f>IF(AllDataCorrected[[#This Row],[Nitrate (PPM)]]&gt;2, "4. Very high (&gt;2ppm)", IF(AllDataCorrected[[#This Row],[Nitrate (PPM)]]&gt;1, "3. High (1-2ppm)", IF(AllDataCorrected[[#This Row],[Nitrate (PPM)]]&gt;0.5, "2. Some evidence (0.5-1ppm)", IF(AllDataCorrected[[#This Row],[Nitrate (PPM)]]&gt;=0, "1. No evidence (&lt;0.5ppm)"))))</f>
        <v>3. High (1-2ppm)</v>
      </c>
      <c r="S720">
        <v>2.5</v>
      </c>
      <c r="T7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0">
        <v>0.25</v>
      </c>
      <c r="V720" t="s">
        <v>1023</v>
      </c>
    </row>
    <row r="721" spans="1:22" x14ac:dyDescent="0.25">
      <c r="A721" t="s">
        <v>1024</v>
      </c>
      <c r="B721" s="2">
        <v>45404</v>
      </c>
      <c r="C721" t="str" cm="1">
        <f t="array" ref="C7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1">
        <f>YEAR(AllDataCorrected[[#This Row],[Date]])</f>
        <v>2024</v>
      </c>
      <c r="E721" s="1">
        <v>0.61805555555555558</v>
      </c>
      <c r="F7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1" t="str">
        <f>_xlfn.XLOOKUP(AllDataCorrected[[#This Row],[Location Name]], Locations[Location Name],Locations[Group As])</f>
        <v>Alveston Weir</v>
      </c>
      <c r="H721" t="e" vm="2">
        <f>_xlfn.XLOOKUP(AllDataCorrected[[#This Row],[Site Name]],LocationsKey[Site Name],LocationsKey[District])</f>
        <v>#VALUE!</v>
      </c>
      <c r="I721" t="e" vm="13">
        <f>_xlfn.XLOOKUP(AllDataCorrected[[#This Row],[Site Name]],LocationsKey[Site Name],LocationsKey[Town])</f>
        <v>#VALUE!</v>
      </c>
      <c r="J721" t="str">
        <f>_xlfn.XLOOKUP(AllDataCorrected[[#This Row],[Site Name]],LocationsKey[Site Name], LocationsKey[Waterway])</f>
        <v>Avon</v>
      </c>
      <c r="K721" t="s">
        <v>286</v>
      </c>
      <c r="L721">
        <f>_xlfn.XLOOKUP(AllDataCorrected[[#This Row],[Site Name]],Tables!$B$12:$B$78, Tables!C$12:C$78)</f>
        <v>52.212366690476216</v>
      </c>
      <c r="M721">
        <f>_xlfn.XLOOKUP(AllDataCorrected[[#This Row],[Site Name]],Tables!$B$12:$B$78, Tables!D$12:D$78)</f>
        <v>-1.6602567619047619</v>
      </c>
      <c r="N721" t="s">
        <v>29</v>
      </c>
      <c r="O721">
        <v>689</v>
      </c>
      <c r="P721">
        <v>12</v>
      </c>
      <c r="Q721">
        <v>10</v>
      </c>
      <c r="R721" t="str">
        <f>IF(AllDataCorrected[[#This Row],[Nitrate (PPM)]]&gt;2, "4. Very high (&gt;2ppm)", IF(AllDataCorrected[[#This Row],[Nitrate (PPM)]]&gt;1, "3. High (1-2ppm)", IF(AllDataCorrected[[#This Row],[Nitrate (PPM)]]&gt;0.5, "2. Some evidence (0.5-1ppm)", IF(AllDataCorrected[[#This Row],[Nitrate (PPM)]]&gt;=0, "1. No evidence (&lt;0.5ppm)"))))</f>
        <v>4. Very high (&gt;2ppm)</v>
      </c>
      <c r="S721">
        <v>0.17</v>
      </c>
      <c r="T7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1">
        <v>0</v>
      </c>
    </row>
    <row r="722" spans="1:22" x14ac:dyDescent="0.25">
      <c r="A722" t="s">
        <v>1025</v>
      </c>
      <c r="B722" s="2">
        <v>45404</v>
      </c>
      <c r="C722" t="str" cm="1">
        <f t="array" ref="C7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2">
        <f>YEAR(AllDataCorrected[[#This Row],[Date]])</f>
        <v>2024</v>
      </c>
      <c r="E722" s="1">
        <v>0.62152777777777779</v>
      </c>
      <c r="F7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2" t="str">
        <f>_xlfn.XLOOKUP(AllDataCorrected[[#This Row],[Location Name]], Locations[Location Name],Locations[Group As])</f>
        <v>Swiffen Bank</v>
      </c>
      <c r="H722" t="e" vm="2">
        <f>_xlfn.XLOOKUP(AllDataCorrected[[#This Row],[Site Name]],LocationsKey[Site Name],LocationsKey[District])</f>
        <v>#VALUE!</v>
      </c>
      <c r="I722" t="e" vm="13">
        <f>_xlfn.XLOOKUP(AllDataCorrected[[#This Row],[Site Name]],LocationsKey[Site Name],LocationsKey[Town])</f>
        <v>#VALUE!</v>
      </c>
      <c r="J722" t="str">
        <f>_xlfn.XLOOKUP(AllDataCorrected[[#This Row],[Site Name]],LocationsKey[Site Name], LocationsKey[Waterway])</f>
        <v>Avon</v>
      </c>
      <c r="K722" t="s">
        <v>284</v>
      </c>
      <c r="L722">
        <f>_xlfn.XLOOKUP(AllDataCorrected[[#This Row],[Site Name]],Tables!$B$12:$B$78, Tables!C$12:C$78)</f>
        <v>52.206446825000015</v>
      </c>
      <c r="M722">
        <f>_xlfn.XLOOKUP(AllDataCorrected[[#This Row],[Site Name]],Tables!$B$12:$B$78, Tables!D$12:D$78)</f>
        <v>-1.6541684000000003</v>
      </c>
      <c r="N722" t="s">
        <v>29</v>
      </c>
      <c r="O722">
        <v>685</v>
      </c>
      <c r="P722">
        <v>12</v>
      </c>
      <c r="Q722">
        <v>10</v>
      </c>
      <c r="R722" t="str">
        <f>IF(AllDataCorrected[[#This Row],[Nitrate (PPM)]]&gt;2, "4. Very high (&gt;2ppm)", IF(AllDataCorrected[[#This Row],[Nitrate (PPM)]]&gt;1, "3. High (1-2ppm)", IF(AllDataCorrected[[#This Row],[Nitrate (PPM)]]&gt;0.5, "2. Some evidence (0.5-1ppm)", IF(AllDataCorrected[[#This Row],[Nitrate (PPM)]]&gt;=0, "1. No evidence (&lt;0.5ppm)"))))</f>
        <v>4. Very high (&gt;2ppm)</v>
      </c>
      <c r="S722">
        <v>0.35</v>
      </c>
      <c r="T7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2">
        <v>0</v>
      </c>
      <c r="V722" t="s">
        <v>1026</v>
      </c>
    </row>
    <row r="723" spans="1:22" x14ac:dyDescent="0.25">
      <c r="A723" t="s">
        <v>1027</v>
      </c>
      <c r="B723" s="2">
        <v>45405</v>
      </c>
      <c r="C723" t="str" cm="1">
        <f t="array" ref="C7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3">
        <f>YEAR(AllDataCorrected[[#This Row],[Date]])</f>
        <v>2024</v>
      </c>
      <c r="E723" s="1">
        <v>0.45694444444444443</v>
      </c>
      <c r="F7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3" t="str">
        <f>_xlfn.XLOOKUP(AllDataCorrected[[#This Row],[Location Name]], Locations[Location Name],Locations[Group As])</f>
        <v>Carrant M5 Bridge</v>
      </c>
      <c r="H723" t="e" vm="1">
        <f>_xlfn.XLOOKUP(AllDataCorrected[[#This Row],[Site Name]],LocationsKey[Site Name],LocationsKey[District])</f>
        <v>#VALUE!</v>
      </c>
      <c r="I723" t="e" vm="1">
        <f>_xlfn.XLOOKUP(AllDataCorrected[[#This Row],[Site Name]],LocationsKey[Site Name],LocationsKey[Town])</f>
        <v>#VALUE!</v>
      </c>
      <c r="J723" t="str">
        <f>_xlfn.XLOOKUP(AllDataCorrected[[#This Row],[Site Name]],LocationsKey[Site Name], LocationsKey[Waterway])</f>
        <v>Carrant</v>
      </c>
      <c r="K723" t="s">
        <v>1015</v>
      </c>
      <c r="L723">
        <f>_xlfn.XLOOKUP(AllDataCorrected[[#This Row],[Site Name]],Tables!$B$12:$B$78, Tables!C$12:C$78)</f>
        <v>52.011600000000001</v>
      </c>
      <c r="M723">
        <f>_xlfn.XLOOKUP(AllDataCorrected[[#This Row],[Site Name]],Tables!$B$12:$B$78, Tables!D$12:D$78)</f>
        <v>-2.1206</v>
      </c>
      <c r="N723" t="s">
        <v>23</v>
      </c>
      <c r="O723">
        <v>771</v>
      </c>
      <c r="P723">
        <v>11.1</v>
      </c>
      <c r="Q723">
        <v>5</v>
      </c>
      <c r="R723" t="str">
        <f>IF(AllDataCorrected[[#This Row],[Nitrate (PPM)]]&gt;2, "4. Very high (&gt;2ppm)", IF(AllDataCorrected[[#This Row],[Nitrate (PPM)]]&gt;1, "3. High (1-2ppm)", IF(AllDataCorrected[[#This Row],[Nitrate (PPM)]]&gt;0.5, "2. Some evidence (0.5-1ppm)", IF(AllDataCorrected[[#This Row],[Nitrate (PPM)]]&gt;=0, "1. No evidence (&lt;0.5ppm)"))))</f>
        <v>4. Very high (&gt;2ppm)</v>
      </c>
      <c r="S723">
        <v>0.4</v>
      </c>
      <c r="T7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3">
        <v>0</v>
      </c>
    </row>
    <row r="724" spans="1:22" x14ac:dyDescent="0.25">
      <c r="A724" t="s">
        <v>1028</v>
      </c>
      <c r="B724" s="2">
        <v>45405</v>
      </c>
      <c r="C724" t="str" cm="1">
        <f t="array" ref="C7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4">
        <f>YEAR(AllDataCorrected[[#This Row],[Date]])</f>
        <v>2024</v>
      </c>
      <c r="E724" s="1">
        <v>0.61527777777777781</v>
      </c>
      <c r="F7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4" t="str">
        <f>_xlfn.XLOOKUP(AllDataCorrected[[#This Row],[Location Name]], Locations[Location Name],Locations[Group As])</f>
        <v>Abbey Mill</v>
      </c>
      <c r="H724" t="e" vm="1">
        <f>_xlfn.XLOOKUP(AllDataCorrected[[#This Row],[Site Name]],LocationsKey[Site Name],LocationsKey[District])</f>
        <v>#VALUE!</v>
      </c>
      <c r="I724" t="e" vm="1">
        <f>_xlfn.XLOOKUP(AllDataCorrected[[#This Row],[Site Name]],LocationsKey[Site Name],LocationsKey[Town])</f>
        <v>#VALUE!</v>
      </c>
      <c r="J724" t="str">
        <f>_xlfn.XLOOKUP(AllDataCorrected[[#This Row],[Site Name]],LocationsKey[Site Name], LocationsKey[Waterway])</f>
        <v>Avon</v>
      </c>
      <c r="K724" t="s">
        <v>25</v>
      </c>
      <c r="L724">
        <f>_xlfn.XLOOKUP(AllDataCorrected[[#This Row],[Site Name]],Tables!$B$12:$B$78, Tables!C$12:C$78)</f>
        <v>51.991389555555564</v>
      </c>
      <c r="M724">
        <f>_xlfn.XLOOKUP(AllDataCorrected[[#This Row],[Site Name]],Tables!$B$12:$B$78, Tables!D$12:D$78)</f>
        <v>-2.1620794000000005</v>
      </c>
      <c r="N724" t="s">
        <v>23</v>
      </c>
      <c r="O724">
        <v>882</v>
      </c>
      <c r="P724">
        <v>13.7</v>
      </c>
      <c r="Q724">
        <v>7</v>
      </c>
      <c r="R724" t="str">
        <f>IF(AllDataCorrected[[#This Row],[Nitrate (PPM)]]&gt;2, "4. Very high (&gt;2ppm)", IF(AllDataCorrected[[#This Row],[Nitrate (PPM)]]&gt;1, "3. High (1-2ppm)", IF(AllDataCorrected[[#This Row],[Nitrate (PPM)]]&gt;0.5, "2. Some evidence (0.5-1ppm)", IF(AllDataCorrected[[#This Row],[Nitrate (PPM)]]&gt;=0, "1. No evidence (&lt;0.5ppm)"))))</f>
        <v>4. Very high (&gt;2ppm)</v>
      </c>
      <c r="S724">
        <v>0.6</v>
      </c>
      <c r="T7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4">
        <v>0.6</v>
      </c>
      <c r="V724" t="s">
        <v>1029</v>
      </c>
    </row>
    <row r="725" spans="1:22" x14ac:dyDescent="0.25">
      <c r="A725" t="s">
        <v>1030</v>
      </c>
      <c r="B725" s="2">
        <v>45406</v>
      </c>
      <c r="C725" t="str" cm="1">
        <f t="array" ref="C7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5">
        <f>YEAR(AllDataCorrected[[#This Row],[Date]])</f>
        <v>2024</v>
      </c>
      <c r="E725" s="1">
        <v>0.625</v>
      </c>
      <c r="F7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5" t="str">
        <f>_xlfn.XLOOKUP(AllDataCorrected[[#This Row],[Location Name]], Locations[Location Name],Locations[Group As])</f>
        <v>Stour Newbold Mill</v>
      </c>
      <c r="H725" t="e" vm="2">
        <f>_xlfn.XLOOKUP(AllDataCorrected[[#This Row],[Site Name]],LocationsKey[Site Name],LocationsKey[District])</f>
        <v>#VALUE!</v>
      </c>
      <c r="I725" t="e" vm="8">
        <f>_xlfn.XLOOKUP(AllDataCorrected[[#This Row],[Site Name]],LocationsKey[Site Name],LocationsKey[Town])</f>
        <v>#VALUE!</v>
      </c>
      <c r="J725" t="str">
        <f>_xlfn.XLOOKUP(AllDataCorrected[[#This Row],[Site Name]],LocationsKey[Site Name], LocationsKey[Waterway])</f>
        <v>Stour</v>
      </c>
      <c r="K725" t="s">
        <v>140</v>
      </c>
      <c r="L725">
        <f>_xlfn.XLOOKUP(AllDataCorrected[[#This Row],[Site Name]],Tables!$B$12:$B$78, Tables!C$12:C$78)</f>
        <v>52.113052370370362</v>
      </c>
      <c r="M725">
        <f>_xlfn.XLOOKUP(AllDataCorrected[[#This Row],[Site Name]],Tables!$B$12:$B$78, Tables!D$12:D$78)</f>
        <v>-1.6333685185185185</v>
      </c>
      <c r="N725" t="s">
        <v>29</v>
      </c>
      <c r="O725">
        <v>592</v>
      </c>
      <c r="P725">
        <v>13.9</v>
      </c>
      <c r="Q725">
        <v>2</v>
      </c>
      <c r="R725" t="str">
        <f>IF(AllDataCorrected[[#This Row],[Nitrate (PPM)]]&gt;2, "4. Very high (&gt;2ppm)", IF(AllDataCorrected[[#This Row],[Nitrate (PPM)]]&gt;1, "3. High (1-2ppm)", IF(AllDataCorrected[[#This Row],[Nitrate (PPM)]]&gt;0.5, "2. Some evidence (0.5-1ppm)", IF(AllDataCorrected[[#This Row],[Nitrate (PPM)]]&gt;=0, "1. No evidence (&lt;0.5ppm)"))))</f>
        <v>3. High (1-2ppm)</v>
      </c>
      <c r="S725">
        <v>0.28999999999999998</v>
      </c>
      <c r="T7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5">
        <v>2.5</v>
      </c>
      <c r="V725" t="s">
        <v>529</v>
      </c>
    </row>
    <row r="726" spans="1:22" x14ac:dyDescent="0.25">
      <c r="A726" t="s">
        <v>1031</v>
      </c>
      <c r="B726" s="2">
        <v>45407</v>
      </c>
      <c r="C726" t="str" cm="1">
        <f t="array" ref="C7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6">
        <f>YEAR(AllDataCorrected[[#This Row],[Date]])</f>
        <v>2024</v>
      </c>
      <c r="E726" s="1">
        <v>0.4375</v>
      </c>
      <c r="F7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6" t="str">
        <f>_xlfn.XLOOKUP(AllDataCorrected[[#This Row],[Location Name]], Locations[Location Name],Locations[Group As])</f>
        <v>Stour Willington</v>
      </c>
      <c r="H726" t="e" vm="2">
        <f>_xlfn.XLOOKUP(AllDataCorrected[[#This Row],[Site Name]],LocationsKey[Site Name],LocationsKey[District])</f>
        <v>#VALUE!</v>
      </c>
      <c r="I726" t="str">
        <f>_xlfn.XLOOKUP(AllDataCorrected[[#This Row],[Site Name]],LocationsKey[Site Name],LocationsKey[Town])</f>
        <v>Willington</v>
      </c>
      <c r="J726" t="str">
        <f>_xlfn.XLOOKUP(AllDataCorrected[[#This Row],[Site Name]],LocationsKey[Site Name], LocationsKey[Waterway])</f>
        <v>Stour</v>
      </c>
      <c r="K726" t="s">
        <v>517</v>
      </c>
      <c r="L726">
        <f>_xlfn.XLOOKUP(AllDataCorrected[[#This Row],[Site Name]],Tables!$B$12:$B$78, Tables!C$12:C$78)</f>
        <v>52.053154375000005</v>
      </c>
      <c r="M726">
        <f>_xlfn.XLOOKUP(AllDataCorrected[[#This Row],[Site Name]],Tables!$B$12:$B$78, Tables!D$12:D$78)</f>
        <v>-1.6191991562500001</v>
      </c>
      <c r="N726" t="s">
        <v>23</v>
      </c>
      <c r="O726">
        <v>611</v>
      </c>
      <c r="P726">
        <v>10.1</v>
      </c>
      <c r="Q726">
        <v>5</v>
      </c>
      <c r="R726" t="str">
        <f>IF(AllDataCorrected[[#This Row],[Nitrate (PPM)]]&gt;2, "4. Very high (&gt;2ppm)", IF(AllDataCorrected[[#This Row],[Nitrate (PPM)]]&gt;1, "3. High (1-2ppm)", IF(AllDataCorrected[[#This Row],[Nitrate (PPM)]]&gt;0.5, "2. Some evidence (0.5-1ppm)", IF(AllDataCorrected[[#This Row],[Nitrate (PPM)]]&gt;=0, "1. No evidence (&lt;0.5ppm)"))))</f>
        <v>4. Very high (&gt;2ppm)</v>
      </c>
      <c r="S726">
        <v>0.13</v>
      </c>
      <c r="T7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6">
        <v>0.5</v>
      </c>
    </row>
    <row r="727" spans="1:22" x14ac:dyDescent="0.25">
      <c r="A727" t="s">
        <v>1032</v>
      </c>
      <c r="B727" s="2">
        <v>45407</v>
      </c>
      <c r="C727" t="str" cm="1">
        <f t="array" ref="C7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7">
        <f>YEAR(AllDataCorrected[[#This Row],[Date]])</f>
        <v>2024</v>
      </c>
      <c r="E727" s="1">
        <v>0.52083333333333337</v>
      </c>
      <c r="F7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7" t="str">
        <f>_xlfn.XLOOKUP(AllDataCorrected[[#This Row],[Location Name]], Locations[Location Name],Locations[Group As])</f>
        <v>Swilgate</v>
      </c>
      <c r="H727" t="e" vm="1">
        <f>_xlfn.XLOOKUP(AllDataCorrected[[#This Row],[Site Name]],LocationsKey[Site Name],LocationsKey[District])</f>
        <v>#VALUE!</v>
      </c>
      <c r="I727" t="e" vm="1">
        <f>_xlfn.XLOOKUP(AllDataCorrected[[#This Row],[Site Name]],LocationsKey[Site Name],LocationsKey[Town])</f>
        <v>#VALUE!</v>
      </c>
      <c r="J727" t="str">
        <f>_xlfn.XLOOKUP(AllDataCorrected[[#This Row],[Site Name]],LocationsKey[Site Name], LocationsKey[Waterway])</f>
        <v>Swilgate</v>
      </c>
      <c r="K727" t="s">
        <v>84</v>
      </c>
      <c r="L727">
        <f>_xlfn.XLOOKUP(AllDataCorrected[[#This Row],[Site Name]],Tables!$B$12:$B$78, Tables!C$12:C$78)</f>
        <v>51.9885442</v>
      </c>
      <c r="M727">
        <f>_xlfn.XLOOKUP(AllDataCorrected[[#This Row],[Site Name]],Tables!$B$12:$B$78, Tables!D$12:D$78)</f>
        <v>-2.1639010000000001</v>
      </c>
      <c r="N727" t="s">
        <v>23</v>
      </c>
      <c r="O727">
        <v>954</v>
      </c>
      <c r="P727">
        <v>10.6</v>
      </c>
      <c r="Q727">
        <v>5</v>
      </c>
      <c r="R727" t="str">
        <f>IF(AllDataCorrected[[#This Row],[Nitrate (PPM)]]&gt;2, "4. Very high (&gt;2ppm)", IF(AllDataCorrected[[#This Row],[Nitrate (PPM)]]&gt;1, "3. High (1-2ppm)", IF(AllDataCorrected[[#This Row],[Nitrate (PPM)]]&gt;0.5, "2. Some evidence (0.5-1ppm)", IF(AllDataCorrected[[#This Row],[Nitrate (PPM)]]&gt;=0, "1. No evidence (&lt;0.5ppm)"))))</f>
        <v>4. Very high (&gt;2ppm)</v>
      </c>
      <c r="S727">
        <v>0.38</v>
      </c>
      <c r="T7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7">
        <v>0</v>
      </c>
    </row>
    <row r="728" spans="1:22" x14ac:dyDescent="0.25">
      <c r="A728" t="s">
        <v>1033</v>
      </c>
      <c r="B728" s="2">
        <v>45408</v>
      </c>
      <c r="C728" t="str" cm="1">
        <f t="array" ref="C7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8">
        <f>YEAR(AllDataCorrected[[#This Row],[Date]])</f>
        <v>2024</v>
      </c>
      <c r="E728" s="1">
        <v>0.47361111111111109</v>
      </c>
      <c r="F7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8" t="str">
        <f>_xlfn.XLOOKUP(AllDataCorrected[[#This Row],[Location Name]], Locations[Location Name],Locations[Group As])</f>
        <v>Preston-on-Stour River Bridge</v>
      </c>
      <c r="H728" t="e" vm="2">
        <f>_xlfn.XLOOKUP(AllDataCorrected[[#This Row],[Site Name]],LocationsKey[Site Name],LocationsKey[District])</f>
        <v>#VALUE!</v>
      </c>
      <c r="I728" t="e" vm="9">
        <f>_xlfn.XLOOKUP(AllDataCorrected[[#This Row],[Site Name]],LocationsKey[Site Name],LocationsKey[Town])</f>
        <v>#VALUE!</v>
      </c>
      <c r="J728" t="str">
        <f>_xlfn.XLOOKUP(AllDataCorrected[[#This Row],[Site Name]],LocationsKey[Site Name], LocationsKey[Waterway])</f>
        <v>Stour</v>
      </c>
      <c r="K728" t="s">
        <v>163</v>
      </c>
      <c r="L728">
        <f>_xlfn.XLOOKUP(AllDataCorrected[[#This Row],[Site Name]],Tables!$B$12:$B$78, Tables!C$12:C$78)</f>
        <v>52.146529500000007</v>
      </c>
      <c r="M728">
        <f>_xlfn.XLOOKUP(AllDataCorrected[[#This Row],[Site Name]],Tables!$B$12:$B$78, Tables!D$12:D$78)</f>
        <v>-1.6996899999999999</v>
      </c>
      <c r="N728" t="s">
        <v>29</v>
      </c>
      <c r="O728">
        <v>653</v>
      </c>
      <c r="P728">
        <v>10.9</v>
      </c>
      <c r="Q728">
        <v>7</v>
      </c>
      <c r="R728" t="str">
        <f>IF(AllDataCorrected[[#This Row],[Nitrate (PPM)]]&gt;2, "4. Very high (&gt;2ppm)", IF(AllDataCorrected[[#This Row],[Nitrate (PPM)]]&gt;1, "3. High (1-2ppm)", IF(AllDataCorrected[[#This Row],[Nitrate (PPM)]]&gt;0.5, "2. Some evidence (0.5-1ppm)", IF(AllDataCorrected[[#This Row],[Nitrate (PPM)]]&gt;=0, "1. No evidence (&lt;0.5ppm)"))))</f>
        <v>4. Very high (&gt;2ppm)</v>
      </c>
      <c r="S728">
        <v>0.16</v>
      </c>
      <c r="T7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8">
        <v>1.5</v>
      </c>
    </row>
    <row r="729" spans="1:22" x14ac:dyDescent="0.25">
      <c r="A729" t="s">
        <v>1034</v>
      </c>
      <c r="B729" s="2">
        <v>45408</v>
      </c>
      <c r="C729" t="str" cm="1">
        <f t="array" ref="C7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9">
        <f>YEAR(AllDataCorrected[[#This Row],[Date]])</f>
        <v>2024</v>
      </c>
      <c r="E729" s="1">
        <v>0.63888888888888884</v>
      </c>
      <c r="F7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9" t="str">
        <f>_xlfn.XLOOKUP(AllDataCorrected[[#This Row],[Location Name]], Locations[Location Name],Locations[Group As])</f>
        <v>Lower Lode</v>
      </c>
      <c r="H729" t="e" vm="1">
        <f>_xlfn.XLOOKUP(AllDataCorrected[[#This Row],[Site Name]],LocationsKey[Site Name],LocationsKey[District])</f>
        <v>#VALUE!</v>
      </c>
      <c r="I729" t="e" vm="1">
        <f>_xlfn.XLOOKUP(AllDataCorrected[[#This Row],[Site Name]],LocationsKey[Site Name],LocationsKey[Town])</f>
        <v>#VALUE!</v>
      </c>
      <c r="J729" t="str">
        <f>_xlfn.XLOOKUP(AllDataCorrected[[#This Row],[Site Name]],LocationsKey[Site Name], LocationsKey[Waterway])</f>
        <v>Avon</v>
      </c>
      <c r="K729" t="s">
        <v>592</v>
      </c>
      <c r="L729">
        <f>_xlfn.XLOOKUP(AllDataCorrected[[#This Row],[Site Name]],Tables!$B$12:$B$78, Tables!C$12:C$78)</f>
        <v>51.984954782608689</v>
      </c>
      <c r="M729">
        <f>_xlfn.XLOOKUP(AllDataCorrected[[#This Row],[Site Name]],Tables!$B$12:$B$78, Tables!D$12:D$78)</f>
        <v>-2.1744283478260868</v>
      </c>
      <c r="N729" t="s">
        <v>29</v>
      </c>
      <c r="O729">
        <v>8560</v>
      </c>
      <c r="P729">
        <v>13.1</v>
      </c>
      <c r="Q729">
        <v>10</v>
      </c>
      <c r="R729" t="str">
        <f>IF(AllDataCorrected[[#This Row],[Nitrate (PPM)]]&gt;2, "4. Very high (&gt;2ppm)", IF(AllDataCorrected[[#This Row],[Nitrate (PPM)]]&gt;1, "3. High (1-2ppm)", IF(AllDataCorrected[[#This Row],[Nitrate (PPM)]]&gt;0.5, "2. Some evidence (0.5-1ppm)", IF(AllDataCorrected[[#This Row],[Nitrate (PPM)]]&gt;=0, "1. No evidence (&lt;0.5ppm)"))))</f>
        <v>4. Very high (&gt;2ppm)</v>
      </c>
      <c r="S729">
        <v>0.82</v>
      </c>
      <c r="T7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9">
        <v>2</v>
      </c>
    </row>
    <row r="730" spans="1:22" x14ac:dyDescent="0.25">
      <c r="A730" t="s">
        <v>1035</v>
      </c>
      <c r="B730" s="2">
        <v>45408</v>
      </c>
      <c r="C730" t="str" cm="1">
        <f t="array" ref="C7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0">
        <f>YEAR(AllDataCorrected[[#This Row],[Date]])</f>
        <v>2024</v>
      </c>
      <c r="E730" s="1">
        <v>0.74722222222222223</v>
      </c>
      <c r="F7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0" t="str">
        <f>_xlfn.XLOOKUP(AllDataCorrected[[#This Row],[Location Name]], Locations[Location Name],Locations[Group As])</f>
        <v>Carrant Mitton Path</v>
      </c>
      <c r="H730" t="e" vm="1">
        <f>_xlfn.XLOOKUP(AllDataCorrected[[#This Row],[Site Name]],LocationsKey[Site Name],LocationsKey[District])</f>
        <v>#VALUE!</v>
      </c>
      <c r="I730" t="e" vm="1">
        <f>_xlfn.XLOOKUP(AllDataCorrected[[#This Row],[Site Name]],LocationsKey[Site Name],LocationsKey[Town])</f>
        <v>#VALUE!</v>
      </c>
      <c r="J730" t="str">
        <f>_xlfn.XLOOKUP(AllDataCorrected[[#This Row],[Site Name]],LocationsKey[Site Name], LocationsKey[Waterway])</f>
        <v>Carrant</v>
      </c>
      <c r="K730" t="s">
        <v>958</v>
      </c>
      <c r="L730">
        <f>_xlfn.XLOOKUP(AllDataCorrected[[#This Row],[Site Name]],Tables!$B$12:$B$78, Tables!C$12:C$78)</f>
        <v>51.999946066666674</v>
      </c>
      <c r="M730">
        <f>_xlfn.XLOOKUP(AllDataCorrected[[#This Row],[Site Name]],Tables!$B$12:$B$78, Tables!D$12:D$78)</f>
        <v>-2.1414862000000006</v>
      </c>
      <c r="N730" t="s">
        <v>23</v>
      </c>
      <c r="O730">
        <v>675</v>
      </c>
      <c r="P730">
        <v>14</v>
      </c>
      <c r="Q730">
        <v>5</v>
      </c>
      <c r="R730" t="str">
        <f>IF(AllDataCorrected[[#This Row],[Nitrate (PPM)]]&gt;2, "4. Very high (&gt;2ppm)", IF(AllDataCorrected[[#This Row],[Nitrate (PPM)]]&gt;1, "3. High (1-2ppm)", IF(AllDataCorrected[[#This Row],[Nitrate (PPM)]]&gt;0.5, "2. Some evidence (0.5-1ppm)", IF(AllDataCorrected[[#This Row],[Nitrate (PPM)]]&gt;=0, "1. No evidence (&lt;0.5ppm)"))))</f>
        <v>4. Very high (&gt;2ppm)</v>
      </c>
      <c r="S730">
        <v>0.27</v>
      </c>
      <c r="T7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0">
        <v>0</v>
      </c>
    </row>
    <row r="731" spans="1:22" x14ac:dyDescent="0.25">
      <c r="A731" t="s">
        <v>1036</v>
      </c>
      <c r="B731" s="2">
        <v>45409</v>
      </c>
      <c r="C731" t="str" cm="1">
        <f t="array" ref="C7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1">
        <f>YEAR(AllDataCorrected[[#This Row],[Date]])</f>
        <v>2024</v>
      </c>
      <c r="E731" s="1">
        <v>0.36319444444444443</v>
      </c>
      <c r="F7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31" t="str">
        <f>_xlfn.XLOOKUP(AllDataCorrected[[#This Row],[Location Name]], Locations[Location Name],Locations[Group As])</f>
        <v>Stour Whichford</v>
      </c>
      <c r="H731" t="e" vm="2">
        <f>_xlfn.XLOOKUP(AllDataCorrected[[#This Row],[Site Name]],LocationsKey[Site Name],LocationsKey[District])</f>
        <v>#VALUE!</v>
      </c>
      <c r="I731" t="e" vm="21">
        <f>_xlfn.XLOOKUP(AllDataCorrected[[#This Row],[Site Name]],LocationsKey[Site Name],LocationsKey[Town])</f>
        <v>#VALUE!</v>
      </c>
      <c r="J731" t="str">
        <f>_xlfn.XLOOKUP(AllDataCorrected[[#This Row],[Site Name]],LocationsKey[Site Name], LocationsKey[Waterway])</f>
        <v>Stour</v>
      </c>
      <c r="K731" t="s">
        <v>895</v>
      </c>
      <c r="L731">
        <f>_xlfn.XLOOKUP(AllDataCorrected[[#This Row],[Site Name]],Tables!$B$12:$B$78, Tables!C$12:C$78)</f>
        <v>52.017437000000001</v>
      </c>
      <c r="M731">
        <f>_xlfn.XLOOKUP(AllDataCorrected[[#This Row],[Site Name]],Tables!$B$12:$B$78, Tables!D$12:D$78)</f>
        <v>-1.544745</v>
      </c>
      <c r="N731" t="s">
        <v>29</v>
      </c>
      <c r="O731">
        <v>6.2</v>
      </c>
      <c r="P731">
        <v>9.1999999999999993</v>
      </c>
      <c r="Q731">
        <v>4.5</v>
      </c>
      <c r="R731" t="str">
        <f>IF(AllDataCorrected[[#This Row],[Nitrate (PPM)]]&gt;2, "4. Very high (&gt;2ppm)", IF(AllDataCorrected[[#This Row],[Nitrate (PPM)]]&gt;1, "3. High (1-2ppm)", IF(AllDataCorrected[[#This Row],[Nitrate (PPM)]]&gt;0.5, "2. Some evidence (0.5-1ppm)", IF(AllDataCorrected[[#This Row],[Nitrate (PPM)]]&gt;=0, "1. No evidence (&lt;0.5ppm)"))))</f>
        <v>4. Very high (&gt;2ppm)</v>
      </c>
      <c r="S731">
        <v>0.33</v>
      </c>
      <c r="T7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1">
        <v>15</v>
      </c>
    </row>
    <row r="732" spans="1:22" x14ac:dyDescent="0.25">
      <c r="A732" t="s">
        <v>1037</v>
      </c>
      <c r="B732" s="2">
        <v>45409</v>
      </c>
      <c r="C732" t="str" cm="1">
        <f t="array" ref="C7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2">
        <f>YEAR(AllDataCorrected[[#This Row],[Date]])</f>
        <v>2024</v>
      </c>
      <c r="E732" s="1">
        <v>0.38194444444444442</v>
      </c>
      <c r="F7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32" t="str">
        <f>_xlfn.XLOOKUP(AllDataCorrected[[#This Row],[Location Name]], Locations[Location Name],Locations[Group As])</f>
        <v>Stour Ascott Village</v>
      </c>
      <c r="H732" t="e" vm="2">
        <f>_xlfn.XLOOKUP(AllDataCorrected[[#This Row],[Site Name]],LocationsKey[Site Name],LocationsKey[District])</f>
        <v>#VALUE!</v>
      </c>
      <c r="I732" t="e" vm="22">
        <f>_xlfn.XLOOKUP(AllDataCorrected[[#This Row],[Site Name]],LocationsKey[Site Name],LocationsKey[Town])</f>
        <v>#VALUE!</v>
      </c>
      <c r="J732" t="str">
        <f>_xlfn.XLOOKUP(AllDataCorrected[[#This Row],[Site Name]],LocationsKey[Site Name], LocationsKey[Waterway])</f>
        <v>Stour</v>
      </c>
      <c r="K732" t="s">
        <v>855</v>
      </c>
      <c r="L732">
        <f>_xlfn.XLOOKUP(AllDataCorrected[[#This Row],[Site Name]],Tables!$B$12:$B$78, Tables!C$12:C$78)</f>
        <v>52.013255999999998</v>
      </c>
      <c r="M732">
        <f>_xlfn.XLOOKUP(AllDataCorrected[[#This Row],[Site Name]],Tables!$B$12:$B$78, Tables!D$12:D$78)</f>
        <v>-1.5387710000000001</v>
      </c>
      <c r="N732" t="s">
        <v>66</v>
      </c>
      <c r="O732">
        <v>56.7</v>
      </c>
      <c r="P732">
        <v>9.1</v>
      </c>
      <c r="Q732">
        <v>1.05</v>
      </c>
      <c r="R732" t="str">
        <f>IF(AllDataCorrected[[#This Row],[Nitrate (PPM)]]&gt;2, "4. Very high (&gt;2ppm)", IF(AllDataCorrected[[#This Row],[Nitrate (PPM)]]&gt;1, "3. High (1-2ppm)", IF(AllDataCorrected[[#This Row],[Nitrate (PPM)]]&gt;0.5, "2. Some evidence (0.5-1ppm)", IF(AllDataCorrected[[#This Row],[Nitrate (PPM)]]&gt;=0, "1. No evidence (&lt;0.5ppm)"))))</f>
        <v>3. High (1-2ppm)</v>
      </c>
      <c r="S732">
        <v>0.15</v>
      </c>
      <c r="T7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2">
        <v>12</v>
      </c>
      <c r="V732" t="s">
        <v>1038</v>
      </c>
    </row>
    <row r="733" spans="1:22" x14ac:dyDescent="0.25">
      <c r="A733" t="s">
        <v>1039</v>
      </c>
      <c r="B733" s="2">
        <v>45409</v>
      </c>
      <c r="C733" t="str" cm="1">
        <f t="array" ref="C7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3">
        <f>YEAR(AllDataCorrected[[#This Row],[Date]])</f>
        <v>2024</v>
      </c>
      <c r="E733" s="1">
        <v>0.51041666666666663</v>
      </c>
      <c r="F7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3" t="str">
        <f>_xlfn.XLOOKUP(AllDataCorrected[[#This Row],[Location Name]], Locations[Location Name],Locations[Group As])</f>
        <v>Carrant Bredon Rd</v>
      </c>
      <c r="H733" t="e" vm="1">
        <f>_xlfn.XLOOKUP(AllDataCorrected[[#This Row],[Site Name]],LocationsKey[Site Name],LocationsKey[District])</f>
        <v>#VALUE!</v>
      </c>
      <c r="I733" t="e" vm="1">
        <f>_xlfn.XLOOKUP(AllDataCorrected[[#This Row],[Site Name]],LocationsKey[Site Name],LocationsKey[Town])</f>
        <v>#VALUE!</v>
      </c>
      <c r="J733" t="str">
        <f>_xlfn.XLOOKUP(AllDataCorrected[[#This Row],[Site Name]],LocationsKey[Site Name], LocationsKey[Waterway])</f>
        <v>Carrant</v>
      </c>
      <c r="K733" t="s">
        <v>600</v>
      </c>
      <c r="L733">
        <f>_xlfn.XLOOKUP(AllDataCorrected[[#This Row],[Site Name]],Tables!$B$12:$B$78, Tables!C$12:C$78)</f>
        <v>51.996416567567572</v>
      </c>
      <c r="M733">
        <f>_xlfn.XLOOKUP(AllDataCorrected[[#This Row],[Site Name]],Tables!$B$12:$B$78, Tables!D$12:D$78)</f>
        <v>-2.1556626756756749</v>
      </c>
      <c r="N733" t="s">
        <v>23</v>
      </c>
      <c r="O733">
        <v>738</v>
      </c>
      <c r="P733">
        <v>10.7</v>
      </c>
      <c r="Q733">
        <v>6</v>
      </c>
      <c r="R733" t="str">
        <f>IF(AllDataCorrected[[#This Row],[Nitrate (PPM)]]&gt;2, "4. Very high (&gt;2ppm)", IF(AllDataCorrected[[#This Row],[Nitrate (PPM)]]&gt;1, "3. High (1-2ppm)", IF(AllDataCorrected[[#This Row],[Nitrate (PPM)]]&gt;0.5, "2. Some evidence (0.5-1ppm)", IF(AllDataCorrected[[#This Row],[Nitrate (PPM)]]&gt;=0, "1. No evidence (&lt;0.5ppm)"))))</f>
        <v>4. Very high (&gt;2ppm)</v>
      </c>
      <c r="S733">
        <v>0.3</v>
      </c>
      <c r="T7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3">
        <v>0.06</v>
      </c>
    </row>
    <row r="734" spans="1:22" x14ac:dyDescent="0.25">
      <c r="A734" t="s">
        <v>1040</v>
      </c>
      <c r="B734" s="2">
        <v>45409</v>
      </c>
      <c r="C734" t="str" cm="1">
        <f t="array" ref="C7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4">
        <f>YEAR(AllDataCorrected[[#This Row],[Date]])</f>
        <v>2024</v>
      </c>
      <c r="E734" s="1">
        <v>0.61458333333333337</v>
      </c>
      <c r="F7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4" t="str">
        <f>_xlfn.XLOOKUP(AllDataCorrected[[#This Row],[Location Name]], Locations[Location Name],Locations[Group As])</f>
        <v>Avon Smiths Meadow Wyre Piddle</v>
      </c>
      <c r="H734" t="e" vm="17">
        <f>_xlfn.XLOOKUP(AllDataCorrected[[#This Row],[Site Name]],LocationsKey[Site Name],LocationsKey[District])</f>
        <v>#VALUE!</v>
      </c>
      <c r="I734" t="e" vm="20">
        <f>_xlfn.XLOOKUP(AllDataCorrected[[#This Row],[Site Name]],LocationsKey[Site Name],LocationsKey[Town])</f>
        <v>#VALUE!</v>
      </c>
      <c r="J734" t="str">
        <f>_xlfn.XLOOKUP(AllDataCorrected[[#This Row],[Site Name]],LocationsKey[Site Name], LocationsKey[Waterway])</f>
        <v>Avon</v>
      </c>
      <c r="K734" t="s">
        <v>741</v>
      </c>
      <c r="L734">
        <f>_xlfn.XLOOKUP(AllDataCorrected[[#This Row],[Site Name]],Tables!$B$12:$B$78, Tables!C$12:C$78)</f>
        <v>52.123045961538452</v>
      </c>
      <c r="M734">
        <f>_xlfn.XLOOKUP(AllDataCorrected[[#This Row],[Site Name]],Tables!$B$12:$B$78, Tables!D$12:D$78)</f>
        <v>-2.0572161923076919</v>
      </c>
      <c r="N734" t="s">
        <v>23</v>
      </c>
      <c r="O734">
        <v>892</v>
      </c>
      <c r="P734">
        <v>11.7</v>
      </c>
      <c r="Q734">
        <v>6</v>
      </c>
      <c r="R734" t="str">
        <f>IF(AllDataCorrected[[#This Row],[Nitrate (PPM)]]&gt;2, "4. Very high (&gt;2ppm)", IF(AllDataCorrected[[#This Row],[Nitrate (PPM)]]&gt;1, "3. High (1-2ppm)", IF(AllDataCorrected[[#This Row],[Nitrate (PPM)]]&gt;0.5, "2. Some evidence (0.5-1ppm)", IF(AllDataCorrected[[#This Row],[Nitrate (PPM)]]&gt;=0, "1. No evidence (&lt;0.5ppm)"))))</f>
        <v>4. Very high (&gt;2ppm)</v>
      </c>
      <c r="S734">
        <v>0.37</v>
      </c>
      <c r="T7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4">
        <v>0.65</v>
      </c>
      <c r="V734" t="s">
        <v>1041</v>
      </c>
    </row>
    <row r="735" spans="1:22" x14ac:dyDescent="0.25">
      <c r="A735" t="s">
        <v>1042</v>
      </c>
      <c r="B735" s="2">
        <v>45409</v>
      </c>
      <c r="C735" t="str" cm="1">
        <f t="array" ref="C7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5">
        <f>YEAR(AllDataCorrected[[#This Row],[Date]])</f>
        <v>2024</v>
      </c>
      <c r="E735" s="1">
        <v>0.64583333333333337</v>
      </c>
      <c r="F7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5" t="str">
        <f>_xlfn.XLOOKUP(AllDataCorrected[[#This Row],[Location Name]], Locations[Location Name],Locations[Group As])</f>
        <v>Piddle Brook Wyre Piddle Bridge</v>
      </c>
      <c r="H735" t="e" vm="17">
        <f>_xlfn.XLOOKUP(AllDataCorrected[[#This Row],[Site Name]],LocationsKey[Site Name],LocationsKey[District])</f>
        <v>#VALUE!</v>
      </c>
      <c r="I735" t="e" vm="20">
        <f>_xlfn.XLOOKUP(AllDataCorrected[[#This Row],[Site Name]],LocationsKey[Site Name],LocationsKey[Town])</f>
        <v>#VALUE!</v>
      </c>
      <c r="J735" t="str">
        <f>_xlfn.XLOOKUP(AllDataCorrected[[#This Row],[Site Name]],LocationsKey[Site Name], LocationsKey[Waterway])</f>
        <v>Piddle Brook</v>
      </c>
      <c r="K735" t="s">
        <v>744</v>
      </c>
      <c r="L735">
        <f>_xlfn.XLOOKUP(AllDataCorrected[[#This Row],[Site Name]],Tables!$B$12:$B$78, Tables!C$12:C$78)</f>
        <v>52.126401720000004</v>
      </c>
      <c r="M735">
        <f>_xlfn.XLOOKUP(AllDataCorrected[[#This Row],[Site Name]],Tables!$B$12:$B$78, Tables!D$12:D$78)</f>
        <v>-2.0565162000000003</v>
      </c>
      <c r="N735" t="s">
        <v>23</v>
      </c>
      <c r="O735">
        <v>1420</v>
      </c>
      <c r="P735">
        <v>9</v>
      </c>
      <c r="Q735">
        <v>10</v>
      </c>
      <c r="R735" t="str">
        <f>IF(AllDataCorrected[[#This Row],[Nitrate (PPM)]]&gt;2, "4. Very high (&gt;2ppm)", IF(AllDataCorrected[[#This Row],[Nitrate (PPM)]]&gt;1, "3. High (1-2ppm)", IF(AllDataCorrected[[#This Row],[Nitrate (PPM)]]&gt;0.5, "2. Some evidence (0.5-1ppm)", IF(AllDataCorrected[[#This Row],[Nitrate (PPM)]]&gt;=0, "1. No evidence (&lt;0.5ppm)"))))</f>
        <v>4. Very high (&gt;2ppm)</v>
      </c>
      <c r="S735">
        <v>0.51</v>
      </c>
      <c r="T7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5">
        <v>0.22</v>
      </c>
      <c r="V735" t="s">
        <v>1043</v>
      </c>
    </row>
    <row r="736" spans="1:22" x14ac:dyDescent="0.25">
      <c r="A736" t="s">
        <v>1044</v>
      </c>
      <c r="B736" s="2">
        <v>45409</v>
      </c>
      <c r="C736" t="str" cm="1">
        <f t="array" ref="C7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6">
        <f>YEAR(AllDataCorrected[[#This Row],[Date]])</f>
        <v>2024</v>
      </c>
      <c r="E736" s="1">
        <v>0.68055555555555558</v>
      </c>
      <c r="F7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6" t="str">
        <f>_xlfn.XLOOKUP(AllDataCorrected[[#This Row],[Location Name]], Locations[Location Name],Locations[Group As])</f>
        <v>Black Bear</v>
      </c>
      <c r="H736" t="e" vm="1">
        <f>_xlfn.XLOOKUP(AllDataCorrected[[#This Row],[Site Name]],LocationsKey[Site Name],LocationsKey[District])</f>
        <v>#VALUE!</v>
      </c>
      <c r="I736" t="e" vm="1">
        <f>_xlfn.XLOOKUP(AllDataCorrected[[#This Row],[Site Name]],LocationsKey[Site Name],LocationsKey[Town])</f>
        <v>#VALUE!</v>
      </c>
      <c r="J736" t="str">
        <f>_xlfn.XLOOKUP(AllDataCorrected[[#This Row],[Site Name]],LocationsKey[Site Name], LocationsKey[Waterway])</f>
        <v>Avon</v>
      </c>
      <c r="K736" t="s">
        <v>1045</v>
      </c>
      <c r="L736">
        <f>_xlfn.XLOOKUP(AllDataCorrected[[#This Row],[Site Name]],Tables!$B$12:$B$78, Tables!C$12:C$78)</f>
        <v>51.997435214285723</v>
      </c>
      <c r="M736">
        <f>_xlfn.XLOOKUP(AllDataCorrected[[#This Row],[Site Name]],Tables!$B$12:$B$78, Tables!D$12:D$78)</f>
        <v>-2.1562056785714288</v>
      </c>
      <c r="N736" t="s">
        <v>23</v>
      </c>
      <c r="O736">
        <v>891</v>
      </c>
      <c r="P736">
        <v>22.6</v>
      </c>
      <c r="Q736">
        <v>5</v>
      </c>
      <c r="R736" t="str">
        <f>IF(AllDataCorrected[[#This Row],[Nitrate (PPM)]]&gt;2, "4. Very high (&gt;2ppm)", IF(AllDataCorrected[[#This Row],[Nitrate (PPM)]]&gt;1, "3. High (1-2ppm)", IF(AllDataCorrected[[#This Row],[Nitrate (PPM)]]&gt;0.5, "2. Some evidence (0.5-1ppm)", IF(AllDataCorrected[[#This Row],[Nitrate (PPM)]]&gt;=0, "1. No evidence (&lt;0.5ppm)"))))</f>
        <v>4. Very high (&gt;2ppm)</v>
      </c>
      <c r="S736">
        <v>0.59</v>
      </c>
      <c r="T7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6">
        <v>0</v>
      </c>
    </row>
    <row r="737" spans="1:22" x14ac:dyDescent="0.25">
      <c r="A737" t="s">
        <v>1767</v>
      </c>
      <c r="B737" s="2">
        <v>45409</v>
      </c>
      <c r="C737" t="str" cm="1">
        <f t="array" ref="C7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7">
        <f>YEAR(AllDataCorrected[[#This Row],[Date]])</f>
        <v>2024</v>
      </c>
      <c r="F73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7" t="str">
        <f>_xlfn.XLOOKUP(AllDataCorrected[[#This Row],[Location Name]], Locations[Location Name],Locations[Group As])</f>
        <v>Site 1  :  Middle Street</v>
      </c>
      <c r="H737" t="e" vm="2">
        <f>_xlfn.XLOOKUP(AllDataCorrected[[#This Row],[Site Name]],LocationsKey[Site Name],LocationsKey[District])</f>
        <v>#VALUE!</v>
      </c>
      <c r="I737" t="e" vm="11">
        <f>_xlfn.XLOOKUP(AllDataCorrected[[#This Row],[Site Name]],LocationsKey[Site Name],LocationsKey[Town])</f>
        <v>#VALUE!</v>
      </c>
      <c r="J737" t="str">
        <f>_xlfn.XLOOKUP(AllDataCorrected[[#This Row],[Site Name]],LocationsKey[Site Name], LocationsKey[Waterway])</f>
        <v>Fosseway Brook</v>
      </c>
      <c r="K737" t="s">
        <v>1859</v>
      </c>
      <c r="L737">
        <f>_xlfn.XLOOKUP(AllDataCorrected[[#This Row],[Site Name]],Tables!$B$12:$B$78, Tables!C$12:C$78)</f>
        <v>52.090077380952394</v>
      </c>
      <c r="M737">
        <f>_xlfn.XLOOKUP(AllDataCorrected[[#This Row],[Site Name]],Tables!$B$12:$B$78, Tables!D$12:D$78)</f>
        <v>-1.6926051666666673</v>
      </c>
      <c r="N737" t="s">
        <v>66</v>
      </c>
      <c r="O737">
        <v>571</v>
      </c>
      <c r="P737">
        <v>11.6</v>
      </c>
      <c r="Q737">
        <v>5</v>
      </c>
      <c r="R737" t="str">
        <f>IF(AllDataCorrected[[#This Row],[Nitrate (PPM)]]&gt;2, "4. Very high (&gt;2ppm)", IF(AllDataCorrected[[#This Row],[Nitrate (PPM)]]&gt;1, "3. High (1-2ppm)", IF(AllDataCorrected[[#This Row],[Nitrate (PPM)]]&gt;0.5, "2. Some evidence (0.5-1ppm)", IF(AllDataCorrected[[#This Row],[Nitrate (PPM)]]&gt;=0, "1. No evidence (&lt;0.5ppm)"))))</f>
        <v>4. Very high (&gt;2ppm)</v>
      </c>
      <c r="S737">
        <v>0.15</v>
      </c>
      <c r="T7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7">
        <v>0</v>
      </c>
      <c r="V737" t="s">
        <v>1909</v>
      </c>
    </row>
    <row r="738" spans="1:22" x14ac:dyDescent="0.25">
      <c r="A738" t="s">
        <v>1429</v>
      </c>
      <c r="B738" s="2">
        <v>45409</v>
      </c>
      <c r="C738" t="str" cm="1">
        <f t="array" ref="C7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8">
        <f>YEAR(AllDataCorrected[[#This Row],[Date]])</f>
        <v>2024</v>
      </c>
      <c r="F73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8" t="str">
        <f>_xlfn.XLOOKUP(AllDataCorrected[[#This Row],[Location Name]], Locations[Location Name],Locations[Group As])</f>
        <v>Site 1  :  Middle Street</v>
      </c>
      <c r="H738" t="e" vm="2">
        <f>_xlfn.XLOOKUP(AllDataCorrected[[#This Row],[Site Name]],LocationsKey[Site Name],LocationsKey[District])</f>
        <v>#VALUE!</v>
      </c>
      <c r="I738" t="e" vm="11">
        <f>_xlfn.XLOOKUP(AllDataCorrected[[#This Row],[Site Name]],LocationsKey[Site Name],LocationsKey[Town])</f>
        <v>#VALUE!</v>
      </c>
      <c r="J738" t="str">
        <f>_xlfn.XLOOKUP(AllDataCorrected[[#This Row],[Site Name]],LocationsKey[Site Name], LocationsKey[Waterway])</f>
        <v>Fosseway Brook</v>
      </c>
      <c r="K738" t="s">
        <v>1373</v>
      </c>
      <c r="L738">
        <f>_xlfn.XLOOKUP(AllDataCorrected[[#This Row],[Site Name]],Tables!$B$12:$B$78, Tables!C$12:C$78)</f>
        <v>52.090077380952394</v>
      </c>
      <c r="M738">
        <f>_xlfn.XLOOKUP(AllDataCorrected[[#This Row],[Site Name]],Tables!$B$12:$B$78, Tables!D$12:D$78)</f>
        <v>-1.6926051666666673</v>
      </c>
      <c r="N738" t="s">
        <v>66</v>
      </c>
      <c r="O738">
        <v>571</v>
      </c>
      <c r="P738">
        <v>11.6</v>
      </c>
      <c r="Q738">
        <v>5</v>
      </c>
      <c r="R738" t="str">
        <f>IF(AllDataCorrected[[#This Row],[Nitrate (PPM)]]&gt;2, "4. Very high (&gt;2ppm)", IF(AllDataCorrected[[#This Row],[Nitrate (PPM)]]&gt;1, "3. High (1-2ppm)", IF(AllDataCorrected[[#This Row],[Nitrate (PPM)]]&gt;0.5, "2. Some evidence (0.5-1ppm)", IF(AllDataCorrected[[#This Row],[Nitrate (PPM)]]&gt;=0, "1. No evidence (&lt;0.5ppm)"))))</f>
        <v>4. Very high (&gt;2ppm)</v>
      </c>
      <c r="S738">
        <v>0.15</v>
      </c>
      <c r="T7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39" spans="1:22" x14ac:dyDescent="0.25">
      <c r="A739" t="s">
        <v>1768</v>
      </c>
      <c r="B739" s="2">
        <v>45409</v>
      </c>
      <c r="C739" t="str" cm="1">
        <f t="array" ref="C7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9">
        <f>YEAR(AllDataCorrected[[#This Row],[Date]])</f>
        <v>2024</v>
      </c>
      <c r="F7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9" t="str">
        <f>_xlfn.XLOOKUP(AllDataCorrected[[#This Row],[Location Name]], Locations[Location Name],Locations[Group As])</f>
        <v>Site 2  :  Cross Leys culvert</v>
      </c>
      <c r="H739" t="e" vm="2">
        <f>_xlfn.XLOOKUP(AllDataCorrected[[#This Row],[Site Name]],LocationsKey[Site Name],LocationsKey[District])</f>
        <v>#VALUE!</v>
      </c>
      <c r="I739" t="e" vm="11">
        <f>_xlfn.XLOOKUP(AllDataCorrected[[#This Row],[Site Name]],LocationsKey[Site Name],LocationsKey[Town])</f>
        <v>#VALUE!</v>
      </c>
      <c r="J739" t="str">
        <f>_xlfn.XLOOKUP(AllDataCorrected[[#This Row],[Site Name]],LocationsKey[Site Name], LocationsKey[Waterway])</f>
        <v>Fosseway Brook</v>
      </c>
      <c r="K739" t="s">
        <v>1860</v>
      </c>
      <c r="L739">
        <f>_xlfn.XLOOKUP(AllDataCorrected[[#This Row],[Site Name]],Tables!$B$12:$B$78, Tables!C$12:C$78)</f>
        <v>52.092990199999988</v>
      </c>
      <c r="M739">
        <f>_xlfn.XLOOKUP(AllDataCorrected[[#This Row],[Site Name]],Tables!$B$12:$B$78, Tables!D$12:D$78)</f>
        <v>-1.6862810999999998</v>
      </c>
      <c r="N739" t="s">
        <v>66</v>
      </c>
      <c r="O739">
        <v>638</v>
      </c>
      <c r="P739">
        <v>12.4</v>
      </c>
      <c r="Q739">
        <v>2</v>
      </c>
      <c r="R739" t="str">
        <f>IF(AllDataCorrected[[#This Row],[Nitrate (PPM)]]&gt;2, "4. Very high (&gt;2ppm)", IF(AllDataCorrected[[#This Row],[Nitrate (PPM)]]&gt;1, "3. High (1-2ppm)", IF(AllDataCorrected[[#This Row],[Nitrate (PPM)]]&gt;0.5, "2. Some evidence (0.5-1ppm)", IF(AllDataCorrected[[#This Row],[Nitrate (PPM)]]&gt;=0, "1. No evidence (&lt;0.5ppm)"))))</f>
        <v>3. High (1-2ppm)</v>
      </c>
      <c r="S739">
        <v>0.17</v>
      </c>
      <c r="T7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9">
        <v>0</v>
      </c>
      <c r="V739" t="s">
        <v>1909</v>
      </c>
    </row>
    <row r="740" spans="1:22" x14ac:dyDescent="0.25">
      <c r="A740" t="s">
        <v>1428</v>
      </c>
      <c r="B740" s="2">
        <v>45409</v>
      </c>
      <c r="C740" t="str" cm="1">
        <f t="array" ref="C7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0">
        <f>YEAR(AllDataCorrected[[#This Row],[Date]])</f>
        <v>2024</v>
      </c>
      <c r="F7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0" t="str">
        <f>_xlfn.XLOOKUP(AllDataCorrected[[#This Row],[Location Name]], Locations[Location Name],Locations[Group As])</f>
        <v>Site 2  :  Cross Leys culvert</v>
      </c>
      <c r="H740" t="e" vm="2">
        <f>_xlfn.XLOOKUP(AllDataCorrected[[#This Row],[Site Name]],LocationsKey[Site Name],LocationsKey[District])</f>
        <v>#VALUE!</v>
      </c>
      <c r="I740" t="e" vm="11">
        <f>_xlfn.XLOOKUP(AllDataCorrected[[#This Row],[Site Name]],LocationsKey[Site Name],LocationsKey[Town])</f>
        <v>#VALUE!</v>
      </c>
      <c r="J740" t="str">
        <f>_xlfn.XLOOKUP(AllDataCorrected[[#This Row],[Site Name]],LocationsKey[Site Name], LocationsKey[Waterway])</f>
        <v>Fosseway Brook</v>
      </c>
      <c r="K740" t="s">
        <v>1371</v>
      </c>
      <c r="L740">
        <f>_xlfn.XLOOKUP(AllDataCorrected[[#This Row],[Site Name]],Tables!$B$12:$B$78, Tables!C$12:C$78)</f>
        <v>52.092990199999988</v>
      </c>
      <c r="M740">
        <f>_xlfn.XLOOKUP(AllDataCorrected[[#This Row],[Site Name]],Tables!$B$12:$B$78, Tables!D$12:D$78)</f>
        <v>-1.6862810999999998</v>
      </c>
      <c r="N740" t="s">
        <v>66</v>
      </c>
      <c r="O740">
        <v>638</v>
      </c>
      <c r="P740">
        <v>12.4</v>
      </c>
      <c r="Q740">
        <v>2</v>
      </c>
      <c r="R740" t="str">
        <f>IF(AllDataCorrected[[#This Row],[Nitrate (PPM)]]&gt;2, "4. Very high (&gt;2ppm)", IF(AllDataCorrected[[#This Row],[Nitrate (PPM)]]&gt;1, "3. High (1-2ppm)", IF(AllDataCorrected[[#This Row],[Nitrate (PPM)]]&gt;0.5, "2. Some evidence (0.5-1ppm)", IF(AllDataCorrected[[#This Row],[Nitrate (PPM)]]&gt;=0, "1. No evidence (&lt;0.5ppm)"))))</f>
        <v>3. High (1-2ppm)</v>
      </c>
      <c r="S740">
        <v>0.17</v>
      </c>
      <c r="T7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41" spans="1:22" x14ac:dyDescent="0.25">
      <c r="A741" t="s">
        <v>1769</v>
      </c>
      <c r="B741" s="2">
        <v>45409</v>
      </c>
      <c r="C741" t="str" cm="1">
        <f t="array" ref="C7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1">
        <f>YEAR(AllDataCorrected[[#This Row],[Date]])</f>
        <v>2024</v>
      </c>
      <c r="F74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1" t="str">
        <f>_xlfn.XLOOKUP(AllDataCorrected[[#This Row],[Location Name]], Locations[Location Name],Locations[Group As])</f>
        <v>Site 3  :  Severn Trent Water processing plant outflow</v>
      </c>
      <c r="H741" t="e" vm="2">
        <f>_xlfn.XLOOKUP(AllDataCorrected[[#This Row],[Site Name]],LocationsKey[Site Name],LocationsKey[District])</f>
        <v>#VALUE!</v>
      </c>
      <c r="I741" t="e" vm="11">
        <f>_xlfn.XLOOKUP(AllDataCorrected[[#This Row],[Site Name]],LocationsKey[Site Name],LocationsKey[Town])</f>
        <v>#VALUE!</v>
      </c>
      <c r="J741" t="str">
        <f>_xlfn.XLOOKUP(AllDataCorrected[[#This Row],[Site Name]],LocationsKey[Site Name], LocationsKey[Waterway])</f>
        <v>Fosseway Brook</v>
      </c>
      <c r="K741" t="s">
        <v>1861</v>
      </c>
      <c r="L741">
        <f>_xlfn.XLOOKUP(AllDataCorrected[[#This Row],[Site Name]],Tables!$B$12:$B$78, Tables!C$12:C$78)</f>
        <v>52.094341024390218</v>
      </c>
      <c r="M741">
        <f>_xlfn.XLOOKUP(AllDataCorrected[[#This Row],[Site Name]],Tables!$B$12:$B$78, Tables!D$12:D$78)</f>
        <v>-1.6731015853658531</v>
      </c>
      <c r="N741" t="s">
        <v>29</v>
      </c>
      <c r="O741">
        <v>850</v>
      </c>
      <c r="P741">
        <v>13.1</v>
      </c>
      <c r="Q741">
        <v>10</v>
      </c>
      <c r="R741" t="str">
        <f>IF(AllDataCorrected[[#This Row],[Nitrate (PPM)]]&gt;2, "4. Very high (&gt;2ppm)", IF(AllDataCorrected[[#This Row],[Nitrate (PPM)]]&gt;1, "3. High (1-2ppm)", IF(AllDataCorrected[[#This Row],[Nitrate (PPM)]]&gt;0.5, "2. Some evidence (0.5-1ppm)", IF(AllDataCorrected[[#This Row],[Nitrate (PPM)]]&gt;=0, "1. No evidence (&lt;0.5ppm)"))))</f>
        <v>4. Very high (&gt;2ppm)</v>
      </c>
      <c r="S741">
        <v>2.5</v>
      </c>
      <c r="T7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1">
        <v>0</v>
      </c>
      <c r="V741" t="s">
        <v>1910</v>
      </c>
    </row>
    <row r="742" spans="1:22" x14ac:dyDescent="0.25">
      <c r="A742" t="s">
        <v>1427</v>
      </c>
      <c r="B742" s="2">
        <v>45409</v>
      </c>
      <c r="C742" t="str" cm="1">
        <f t="array" ref="C7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2">
        <f>YEAR(AllDataCorrected[[#This Row],[Date]])</f>
        <v>2024</v>
      </c>
      <c r="F74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2" t="str">
        <f>_xlfn.XLOOKUP(AllDataCorrected[[#This Row],[Location Name]], Locations[Location Name],Locations[Group As])</f>
        <v>Site 3  :  Severn Trent Water processing plant outflow</v>
      </c>
      <c r="H742" t="e" vm="2">
        <f>_xlfn.XLOOKUP(AllDataCorrected[[#This Row],[Site Name]],LocationsKey[Site Name],LocationsKey[District])</f>
        <v>#VALUE!</v>
      </c>
      <c r="I742" t="e" vm="11">
        <f>_xlfn.XLOOKUP(AllDataCorrected[[#This Row],[Site Name]],LocationsKey[Site Name],LocationsKey[Town])</f>
        <v>#VALUE!</v>
      </c>
      <c r="J742" t="str">
        <f>_xlfn.XLOOKUP(AllDataCorrected[[#This Row],[Site Name]],LocationsKey[Site Name], LocationsKey[Waterway])</f>
        <v>Fosseway Brook</v>
      </c>
      <c r="K742" t="s">
        <v>1368</v>
      </c>
      <c r="L742">
        <f>_xlfn.XLOOKUP(AllDataCorrected[[#This Row],[Site Name]],Tables!$B$12:$B$78, Tables!C$12:C$78)</f>
        <v>52.094341024390218</v>
      </c>
      <c r="M742">
        <f>_xlfn.XLOOKUP(AllDataCorrected[[#This Row],[Site Name]],Tables!$B$12:$B$78, Tables!D$12:D$78)</f>
        <v>-1.6731015853658531</v>
      </c>
      <c r="N742" t="s">
        <v>29</v>
      </c>
      <c r="O742">
        <v>850</v>
      </c>
      <c r="P742">
        <v>13.1</v>
      </c>
      <c r="Q742">
        <v>10</v>
      </c>
      <c r="R742" t="str">
        <f>IF(AllDataCorrected[[#This Row],[Nitrate (PPM)]]&gt;2, "4. Very high (&gt;2ppm)", IF(AllDataCorrected[[#This Row],[Nitrate (PPM)]]&gt;1, "3. High (1-2ppm)", IF(AllDataCorrected[[#This Row],[Nitrate (PPM)]]&gt;0.5, "2. Some evidence (0.5-1ppm)", IF(AllDataCorrected[[#This Row],[Nitrate (PPM)]]&gt;=0, "1. No evidence (&lt;0.5ppm)"))))</f>
        <v>4. Very high (&gt;2ppm)</v>
      </c>
      <c r="S742">
        <v>2.5</v>
      </c>
      <c r="T7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43" spans="1:22" x14ac:dyDescent="0.25">
      <c r="A743" t="s">
        <v>1046</v>
      </c>
      <c r="B743" s="2">
        <v>45410</v>
      </c>
      <c r="C743" t="str" cm="1">
        <f t="array" ref="C7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3">
        <f>YEAR(AllDataCorrected[[#This Row],[Date]])</f>
        <v>2024</v>
      </c>
      <c r="E743" s="1">
        <v>0.2048611111111111</v>
      </c>
      <c r="F7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3" t="str">
        <f>_xlfn.XLOOKUP(AllDataCorrected[[#This Row],[Location Name]], Locations[Location Name],Locations[Group As])</f>
        <v>Fell Mill Footbridge</v>
      </c>
      <c r="H743" t="e" vm="2">
        <f>_xlfn.XLOOKUP(AllDataCorrected[[#This Row],[Site Name]],LocationsKey[Site Name],LocationsKey[District])</f>
        <v>#VALUE!</v>
      </c>
      <c r="I743" t="e" vm="10">
        <f>_xlfn.XLOOKUP(AllDataCorrected[[#This Row],[Site Name]],LocationsKey[Site Name],LocationsKey[Town])</f>
        <v>#VALUE!</v>
      </c>
      <c r="J743" t="str">
        <f>_xlfn.XLOOKUP(AllDataCorrected[[#This Row],[Site Name]],LocationsKey[Site Name], LocationsKey[Waterway])</f>
        <v>Stour</v>
      </c>
      <c r="K743" t="s">
        <v>818</v>
      </c>
      <c r="L743">
        <f>_xlfn.XLOOKUP(AllDataCorrected[[#This Row],[Site Name]],Tables!$B$12:$B$78, Tables!C$12:C$78)</f>
        <v>52.067966827586183</v>
      </c>
      <c r="M743">
        <f>_xlfn.XLOOKUP(AllDataCorrected[[#This Row],[Site Name]],Tables!$B$12:$B$78, Tables!D$12:D$78)</f>
        <v>-1.6118101379310343</v>
      </c>
      <c r="N743" t="s">
        <v>29</v>
      </c>
      <c r="O743">
        <v>465</v>
      </c>
      <c r="P743">
        <v>10.4</v>
      </c>
      <c r="Q743">
        <v>5</v>
      </c>
      <c r="R743" t="str">
        <f>IF(AllDataCorrected[[#This Row],[Nitrate (PPM)]]&gt;2, "4. Very high (&gt;2ppm)", IF(AllDataCorrected[[#This Row],[Nitrate (PPM)]]&gt;1, "3. High (1-2ppm)", IF(AllDataCorrected[[#This Row],[Nitrate (PPM)]]&gt;0.5, "2. Some evidence (0.5-1ppm)", IF(AllDataCorrected[[#This Row],[Nitrate (PPM)]]&gt;=0, "1. No evidence (&lt;0.5ppm)"))))</f>
        <v>4. Very high (&gt;2ppm)</v>
      </c>
      <c r="S743">
        <v>1.02</v>
      </c>
      <c r="T7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3">
        <v>0.9</v>
      </c>
    </row>
    <row r="744" spans="1:22" x14ac:dyDescent="0.25">
      <c r="A744" t="s">
        <v>1047</v>
      </c>
      <c r="B744" s="2">
        <v>45410</v>
      </c>
      <c r="C744" t="str" cm="1">
        <f t="array" ref="C7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4">
        <f>YEAR(AllDataCorrected[[#This Row],[Date]])</f>
        <v>2024</v>
      </c>
      <c r="E744" s="1">
        <v>0.41666666666666669</v>
      </c>
      <c r="F7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4" t="str">
        <f>_xlfn.XLOOKUP(AllDataCorrected[[#This Row],[Location Name]], Locations[Location Name],Locations[Group As])</f>
        <v>Avonbank Drive</v>
      </c>
      <c r="H744" t="e" vm="2">
        <f>_xlfn.XLOOKUP(AllDataCorrected[[#This Row],[Site Name]],LocationsKey[Site Name],LocationsKey[District])</f>
        <v>#VALUE!</v>
      </c>
      <c r="I744" t="e" vm="7">
        <f>_xlfn.XLOOKUP(AllDataCorrected[[#This Row],[Site Name]],LocationsKey[Site Name],LocationsKey[Town])</f>
        <v>#VALUE!</v>
      </c>
      <c r="J744" t="str">
        <f>_xlfn.XLOOKUP(AllDataCorrected[[#This Row],[Site Name]],LocationsKey[Site Name], LocationsKey[Waterway])</f>
        <v>Avon</v>
      </c>
      <c r="K744" t="s">
        <v>103</v>
      </c>
      <c r="L744">
        <f>_xlfn.XLOOKUP(AllDataCorrected[[#This Row],[Site Name]],Tables!$B$12:$B$78, Tables!C$12:C$78)</f>
        <v>52.177054657142854</v>
      </c>
      <c r="M744">
        <f>_xlfn.XLOOKUP(AllDataCorrected[[#This Row],[Site Name]],Tables!$B$12:$B$78, Tables!D$12:D$78)</f>
        <v>-1.7358669999999996</v>
      </c>
      <c r="N744" t="s">
        <v>66</v>
      </c>
      <c r="O744">
        <v>890</v>
      </c>
      <c r="P744">
        <v>14.1</v>
      </c>
      <c r="Q744">
        <v>10</v>
      </c>
      <c r="R744" t="str">
        <f>IF(AllDataCorrected[[#This Row],[Nitrate (PPM)]]&gt;2, "4. Very high (&gt;2ppm)", IF(AllDataCorrected[[#This Row],[Nitrate (PPM)]]&gt;1, "3. High (1-2ppm)", IF(AllDataCorrected[[#This Row],[Nitrate (PPM)]]&gt;0.5, "2. Some evidence (0.5-1ppm)", IF(AllDataCorrected[[#This Row],[Nitrate (PPM)]]&gt;=0, "1. No evidence (&lt;0.5ppm)"))))</f>
        <v>4. Very high (&gt;2ppm)</v>
      </c>
      <c r="S744">
        <v>0.34</v>
      </c>
      <c r="T7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4">
        <v>1</v>
      </c>
    </row>
    <row r="745" spans="1:22" x14ac:dyDescent="0.25">
      <c r="A745" t="s">
        <v>1048</v>
      </c>
      <c r="B745" s="2">
        <v>45410</v>
      </c>
      <c r="C745" t="str" cm="1">
        <f t="array" ref="C7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5">
        <f>YEAR(AllDataCorrected[[#This Row],[Date]])</f>
        <v>2024</v>
      </c>
      <c r="E745" s="1">
        <v>0.41666666666666669</v>
      </c>
      <c r="F7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5" t="str">
        <f>_xlfn.XLOOKUP(AllDataCorrected[[#This Row],[Location Name]], Locations[Location Name],Locations[Group As])</f>
        <v>Pitch 16</v>
      </c>
      <c r="H745" t="e" vm="2">
        <f>_xlfn.XLOOKUP(AllDataCorrected[[#This Row],[Site Name]],LocationsKey[Site Name],LocationsKey[District])</f>
        <v>#VALUE!</v>
      </c>
      <c r="I745" t="e" vm="7">
        <f>_xlfn.XLOOKUP(AllDataCorrected[[#This Row],[Site Name]],LocationsKey[Site Name],LocationsKey[Town])</f>
        <v>#VALUE!</v>
      </c>
      <c r="J745" t="str">
        <f>_xlfn.XLOOKUP(AllDataCorrected[[#This Row],[Site Name]],LocationsKey[Site Name], LocationsKey[Waterway])</f>
        <v>Avon</v>
      </c>
      <c r="K745" t="s">
        <v>69</v>
      </c>
      <c r="L745">
        <f>_xlfn.XLOOKUP(AllDataCorrected[[#This Row],[Site Name]],Tables!$B$12:$B$78, Tables!C$12:C$78)</f>
        <v>52.17355294117646</v>
      </c>
      <c r="M745">
        <f>_xlfn.XLOOKUP(AllDataCorrected[[#This Row],[Site Name]],Tables!$B$12:$B$78, Tables!D$12:D$78)</f>
        <v>-1.7433199411764708</v>
      </c>
      <c r="N745" t="s">
        <v>1049</v>
      </c>
      <c r="O745">
        <v>861</v>
      </c>
      <c r="P745">
        <v>14.5</v>
      </c>
      <c r="Q745">
        <v>10</v>
      </c>
      <c r="R745" t="str">
        <f>IF(AllDataCorrected[[#This Row],[Nitrate (PPM)]]&gt;2, "4. Very high (&gt;2ppm)", IF(AllDataCorrected[[#This Row],[Nitrate (PPM)]]&gt;1, "3. High (1-2ppm)", IF(AllDataCorrected[[#This Row],[Nitrate (PPM)]]&gt;0.5, "2. Some evidence (0.5-1ppm)", IF(AllDataCorrected[[#This Row],[Nitrate (PPM)]]&gt;=0, "1. No evidence (&lt;0.5ppm)"))))</f>
        <v>4. Very high (&gt;2ppm)</v>
      </c>
      <c r="S745">
        <v>0.34</v>
      </c>
      <c r="T7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5">
        <v>1</v>
      </c>
    </row>
    <row r="746" spans="1:22" x14ac:dyDescent="0.25">
      <c r="A746" t="s">
        <v>1053</v>
      </c>
      <c r="B746" s="2">
        <v>45410</v>
      </c>
      <c r="C746" t="str" cm="1">
        <f t="array" ref="C7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6">
        <f>YEAR(AllDataCorrected[[#This Row],[Date]])</f>
        <v>2024</v>
      </c>
      <c r="E746" s="1">
        <v>0.48958333333333331</v>
      </c>
      <c r="F7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6" t="str">
        <f>_xlfn.XLOOKUP(AllDataCorrected[[#This Row],[Location Name]], Locations[Location Name],Locations[Group As])</f>
        <v>Lucy's Mill Bridge</v>
      </c>
      <c r="H746" t="e" vm="2">
        <f>_xlfn.XLOOKUP(AllDataCorrected[[#This Row],[Site Name]],LocationsKey[Site Name],LocationsKey[District])</f>
        <v>#VALUE!</v>
      </c>
      <c r="I746" t="e" vm="7">
        <f>_xlfn.XLOOKUP(AllDataCorrected[[#This Row],[Site Name]],LocationsKey[Site Name],LocationsKey[Town])</f>
        <v>#VALUE!</v>
      </c>
      <c r="J746" t="str">
        <f>_xlfn.XLOOKUP(AllDataCorrected[[#This Row],[Site Name]],LocationsKey[Site Name], LocationsKey[Waterway])</f>
        <v>Avon</v>
      </c>
      <c r="K746" t="s">
        <v>216</v>
      </c>
      <c r="L746">
        <f>_xlfn.XLOOKUP(AllDataCorrected[[#This Row],[Site Name]],Tables!$B$12:$B$78, Tables!C$12:C$78)</f>
        <v>52.183699000000011</v>
      </c>
      <c r="M746">
        <f>_xlfn.XLOOKUP(AllDataCorrected[[#This Row],[Site Name]],Tables!$B$12:$B$78, Tables!D$12:D$78)</f>
        <v>-1.7078160000000004</v>
      </c>
      <c r="N746" t="s">
        <v>29</v>
      </c>
      <c r="P746">
        <v>12</v>
      </c>
      <c r="Q746">
        <v>5</v>
      </c>
      <c r="R746" t="str">
        <f>IF(AllDataCorrected[[#This Row],[Nitrate (PPM)]]&gt;2, "4. Very high (&gt;2ppm)", IF(AllDataCorrected[[#This Row],[Nitrate (PPM)]]&gt;1, "3. High (1-2ppm)", IF(AllDataCorrected[[#This Row],[Nitrate (PPM)]]&gt;0.5, "2. Some evidence (0.5-1ppm)", IF(AllDataCorrected[[#This Row],[Nitrate (PPM)]]&gt;=0, "1. No evidence (&lt;0.5ppm)"))))</f>
        <v>4. Very high (&gt;2ppm)</v>
      </c>
      <c r="S746">
        <v>0.26</v>
      </c>
      <c r="T7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6">
        <v>0.7</v>
      </c>
    </row>
    <row r="747" spans="1:22" x14ac:dyDescent="0.25">
      <c r="A747" t="s">
        <v>1054</v>
      </c>
      <c r="B747" s="2">
        <v>45410</v>
      </c>
      <c r="C747" t="str" cm="1">
        <f t="array" ref="C7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7">
        <f>YEAR(AllDataCorrected[[#This Row],[Date]])</f>
        <v>2024</v>
      </c>
      <c r="E747" s="1">
        <v>0.5625</v>
      </c>
      <c r="F7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7" t="str">
        <f>_xlfn.XLOOKUP(AllDataCorrected[[#This Row],[Location Name]], Locations[Location Name],Locations[Group As])</f>
        <v>The Ford, Langley</v>
      </c>
      <c r="H747" t="e" vm="2">
        <f>_xlfn.XLOOKUP(AllDataCorrected[[#This Row],[Site Name]],LocationsKey[Site Name],LocationsKey[District])</f>
        <v>#VALUE!</v>
      </c>
      <c r="I747" t="str">
        <f>_xlfn.XLOOKUP(AllDataCorrected[[#This Row],[Site Name]],LocationsKey[Site Name],LocationsKey[Town])</f>
        <v>Langley</v>
      </c>
      <c r="J747" t="str">
        <f>_xlfn.XLOOKUP(AllDataCorrected[[#This Row],[Site Name]],LocationsKey[Site Name], LocationsKey[Waterway])</f>
        <v>Langley Ford</v>
      </c>
      <c r="K747" t="s">
        <v>526</v>
      </c>
      <c r="L747">
        <f>_xlfn.XLOOKUP(AllDataCorrected[[#This Row],[Site Name]],Tables!$B$12:$B$78, Tables!C$12:C$78)</f>
        <v>52.261724821428579</v>
      </c>
      <c r="M747">
        <f>_xlfn.XLOOKUP(AllDataCorrected[[#This Row],[Site Name]],Tables!$B$12:$B$78, Tables!D$12:D$78)</f>
        <v>-1.719408857142857</v>
      </c>
      <c r="N747" t="s">
        <v>29</v>
      </c>
      <c r="O747">
        <v>295</v>
      </c>
      <c r="P747">
        <v>10.3</v>
      </c>
      <c r="Q747">
        <v>5</v>
      </c>
      <c r="R747" t="str">
        <f>IF(AllDataCorrected[[#This Row],[Nitrate (PPM)]]&gt;2, "4. Very high (&gt;2ppm)", IF(AllDataCorrected[[#This Row],[Nitrate (PPM)]]&gt;1, "3. High (1-2ppm)", IF(AllDataCorrected[[#This Row],[Nitrate (PPM)]]&gt;0.5, "2. Some evidence (0.5-1ppm)", IF(AllDataCorrected[[#This Row],[Nitrate (PPM)]]&gt;=0, "1. No evidence (&lt;0.5ppm)"))))</f>
        <v>4. Very high (&gt;2ppm)</v>
      </c>
      <c r="S747">
        <v>0.89</v>
      </c>
      <c r="T7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7">
        <v>0.65</v>
      </c>
    </row>
    <row r="748" spans="1:22" x14ac:dyDescent="0.25">
      <c r="A748" t="s">
        <v>1050</v>
      </c>
      <c r="B748" s="2">
        <v>45410</v>
      </c>
      <c r="C748" t="str" cm="1">
        <f t="array" ref="C7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8">
        <f>YEAR(AllDataCorrected[[#This Row],[Date]])</f>
        <v>2024</v>
      </c>
      <c r="E748" s="1">
        <v>0.58333333333333337</v>
      </c>
      <c r="F7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8" t="str">
        <f>_xlfn.XLOOKUP(AllDataCorrected[[#This Row],[Location Name]], Locations[Location Name],Locations[Group As])</f>
        <v>Clifford Chambers Mill Bridge</v>
      </c>
      <c r="H748" t="e" vm="2">
        <f>_xlfn.XLOOKUP(AllDataCorrected[[#This Row],[Site Name]],LocationsKey[Site Name],LocationsKey[District])</f>
        <v>#VALUE!</v>
      </c>
      <c r="I748" t="e" vm="12">
        <f>_xlfn.XLOOKUP(AllDataCorrected[[#This Row],[Site Name]],LocationsKey[Site Name],LocationsKey[Town])</f>
        <v>#VALUE!</v>
      </c>
      <c r="J748" t="str">
        <f>_xlfn.XLOOKUP(AllDataCorrected[[#This Row],[Site Name]],LocationsKey[Site Name], LocationsKey[Waterway])</f>
        <v>Stour</v>
      </c>
      <c r="K748" t="s">
        <v>263</v>
      </c>
      <c r="L748">
        <f>_xlfn.XLOOKUP(AllDataCorrected[[#This Row],[Site Name]],Tables!$B$12:$B$78, Tables!C$12:C$78)</f>
        <v>52.166358517241363</v>
      </c>
      <c r="M748">
        <f>_xlfn.XLOOKUP(AllDataCorrected[[#This Row],[Site Name]],Tables!$B$12:$B$78, Tables!D$12:D$78)</f>
        <v>-1.7080419310344837</v>
      </c>
      <c r="N748" t="s">
        <v>66</v>
      </c>
      <c r="O748">
        <v>647</v>
      </c>
      <c r="P748">
        <v>11.2</v>
      </c>
      <c r="Q748">
        <v>8</v>
      </c>
      <c r="R748" t="str">
        <f>IF(AllDataCorrected[[#This Row],[Nitrate (PPM)]]&gt;2, "4. Very high (&gt;2ppm)", IF(AllDataCorrected[[#This Row],[Nitrate (PPM)]]&gt;1, "3. High (1-2ppm)", IF(AllDataCorrected[[#This Row],[Nitrate (PPM)]]&gt;0.5, "2. Some evidence (0.5-1ppm)", IF(AllDataCorrected[[#This Row],[Nitrate (PPM)]]&gt;=0, "1. No evidence (&lt;0.5ppm)"))))</f>
        <v>4. Very high (&gt;2ppm)</v>
      </c>
      <c r="S748">
        <v>0.13</v>
      </c>
      <c r="T7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8">
        <v>1.2</v>
      </c>
    </row>
    <row r="749" spans="1:22" x14ac:dyDescent="0.25">
      <c r="A749" t="s">
        <v>1051</v>
      </c>
      <c r="B749" s="2">
        <v>45410</v>
      </c>
      <c r="C749" t="str" cm="1">
        <f t="array" ref="C7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9">
        <f>YEAR(AllDataCorrected[[#This Row],[Date]])</f>
        <v>2024</v>
      </c>
      <c r="E749" s="1">
        <v>0.625</v>
      </c>
      <c r="F7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9" t="str">
        <f>_xlfn.XLOOKUP(AllDataCorrected[[#This Row],[Location Name]], Locations[Location Name],Locations[Group As])</f>
        <v>Sherbourne Brook 1</v>
      </c>
      <c r="H749" t="e" vm="2">
        <f>_xlfn.XLOOKUP(AllDataCorrected[[#This Row],[Site Name]],LocationsKey[Site Name],LocationsKey[District])</f>
        <v>#VALUE!</v>
      </c>
      <c r="I749" t="e" vm="16">
        <f>_xlfn.XLOOKUP(AllDataCorrected[[#This Row],[Site Name]],LocationsKey[Site Name],LocationsKey[Town])</f>
        <v>#VALUE!</v>
      </c>
      <c r="J749" t="str">
        <f>_xlfn.XLOOKUP(AllDataCorrected[[#This Row],[Site Name]],LocationsKey[Site Name], LocationsKey[Waterway])</f>
        <v>Sherbourne Brook</v>
      </c>
      <c r="K749" t="s">
        <v>570</v>
      </c>
      <c r="L749">
        <f>_xlfn.XLOOKUP(AllDataCorrected[[#This Row],[Site Name]],Tables!$B$12:$B$78, Tables!C$12:C$78)</f>
        <v>52.252500000000033</v>
      </c>
      <c r="M749">
        <f>_xlfn.XLOOKUP(AllDataCorrected[[#This Row],[Site Name]],Tables!$B$12:$B$78, Tables!D$12:D$78)</f>
        <v>-1.6685000000000012</v>
      </c>
      <c r="N749" t="s">
        <v>23</v>
      </c>
      <c r="O749">
        <v>821</v>
      </c>
      <c r="P749">
        <v>9.6</v>
      </c>
      <c r="Q749">
        <v>8</v>
      </c>
      <c r="R749" t="str">
        <f>IF(AllDataCorrected[[#This Row],[Nitrate (PPM)]]&gt;2, "4. Very high (&gt;2ppm)", IF(AllDataCorrected[[#This Row],[Nitrate (PPM)]]&gt;1, "3. High (1-2ppm)", IF(AllDataCorrected[[#This Row],[Nitrate (PPM)]]&gt;0.5, "2. Some evidence (0.5-1ppm)", IF(AllDataCorrected[[#This Row],[Nitrate (PPM)]]&gt;=0, "1. No evidence (&lt;0.5ppm)"))))</f>
        <v>4. Very high (&gt;2ppm)</v>
      </c>
      <c r="S749">
        <v>0.72</v>
      </c>
      <c r="T7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9">
        <v>9.1999999999999993</v>
      </c>
    </row>
    <row r="750" spans="1:22" x14ac:dyDescent="0.25">
      <c r="A750" t="s">
        <v>1052</v>
      </c>
      <c r="B750" s="2">
        <v>45410</v>
      </c>
      <c r="C750" t="str" cm="1">
        <f t="array" ref="C7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0">
        <f>YEAR(AllDataCorrected[[#This Row],[Date]])</f>
        <v>2024</v>
      </c>
      <c r="E750" s="1">
        <v>0.63541666666666663</v>
      </c>
      <c r="F7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0" t="str">
        <f>_xlfn.XLOOKUP(AllDataCorrected[[#This Row],[Location Name]], Locations[Location Name],Locations[Group As])</f>
        <v>Bell Brook 1</v>
      </c>
      <c r="H750" t="e" vm="2">
        <f>_xlfn.XLOOKUP(AllDataCorrected[[#This Row],[Site Name]],LocationsKey[Site Name],LocationsKey[District])</f>
        <v>#VALUE!</v>
      </c>
      <c r="I750" t="e" vm="15">
        <f>_xlfn.XLOOKUP(AllDataCorrected[[#This Row],[Site Name]],LocationsKey[Site Name],LocationsKey[Town])</f>
        <v>#VALUE!</v>
      </c>
      <c r="J750" t="str">
        <f>_xlfn.XLOOKUP(AllDataCorrected[[#This Row],[Site Name]],LocationsKey[Site Name], LocationsKey[Waterway])</f>
        <v>Bell Brook</v>
      </c>
      <c r="K750" t="s">
        <v>534</v>
      </c>
      <c r="L750">
        <f>_xlfn.XLOOKUP(AllDataCorrected[[#This Row],[Site Name]],Tables!$B$12:$B$78, Tables!C$12:C$78)</f>
        <v>52.24489999999998</v>
      </c>
      <c r="M750">
        <f>_xlfn.XLOOKUP(AllDataCorrected[[#This Row],[Site Name]],Tables!$B$12:$B$78, Tables!D$12:D$78)</f>
        <v>-1.6617000000000013</v>
      </c>
      <c r="N750" t="s">
        <v>23</v>
      </c>
      <c r="O750">
        <v>684</v>
      </c>
      <c r="P750">
        <v>10.5</v>
      </c>
      <c r="Q750">
        <v>5</v>
      </c>
      <c r="R750" t="str">
        <f>IF(AllDataCorrected[[#This Row],[Nitrate (PPM)]]&gt;2, "4. Very high (&gt;2ppm)", IF(AllDataCorrected[[#This Row],[Nitrate (PPM)]]&gt;1, "3. High (1-2ppm)", IF(AllDataCorrected[[#This Row],[Nitrate (PPM)]]&gt;0.5, "2. Some evidence (0.5-1ppm)", IF(AllDataCorrected[[#This Row],[Nitrate (PPM)]]&gt;=0, "1. No evidence (&lt;0.5ppm)"))))</f>
        <v>4. Very high (&gt;2ppm)</v>
      </c>
      <c r="S750">
        <v>0.53</v>
      </c>
      <c r="T7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0">
        <v>0.2</v>
      </c>
    </row>
    <row r="751" spans="1:22" x14ac:dyDescent="0.25">
      <c r="A751" t="s">
        <v>1055</v>
      </c>
      <c r="B751" s="2">
        <v>45411</v>
      </c>
      <c r="C751" t="str" cm="1">
        <f t="array" ref="C7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1">
        <f>YEAR(AllDataCorrected[[#This Row],[Date]])</f>
        <v>2024</v>
      </c>
      <c r="E751" s="1">
        <v>0.375</v>
      </c>
      <c r="F7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1" t="str">
        <f>_xlfn.XLOOKUP(AllDataCorrected[[#This Row],[Location Name]], Locations[Location Name],Locations[Group As])</f>
        <v>Stour Stretton-on-Fosse Village</v>
      </c>
      <c r="H751" t="e" vm="2">
        <f>_xlfn.XLOOKUP(AllDataCorrected[[#This Row],[Site Name]],LocationsKey[Site Name],LocationsKey[District])</f>
        <v>#VALUE!</v>
      </c>
      <c r="I751" t="e" vm="14">
        <f>_xlfn.XLOOKUP(AllDataCorrected[[#This Row],[Site Name]],LocationsKey[Site Name],LocationsKey[Town])</f>
        <v>#VALUE!</v>
      </c>
      <c r="J751" t="str">
        <f>_xlfn.XLOOKUP(AllDataCorrected[[#This Row],[Site Name]],LocationsKey[Site Name], LocationsKey[Waterway])</f>
        <v>Stour</v>
      </c>
      <c r="K751" t="s">
        <v>544</v>
      </c>
      <c r="L751">
        <f>_xlfn.XLOOKUP(AllDataCorrected[[#This Row],[Site Name]],Tables!$B$12:$B$78, Tables!C$12:C$78)</f>
        <v>52.046517558823524</v>
      </c>
      <c r="M751">
        <f>_xlfn.XLOOKUP(AllDataCorrected[[#This Row],[Site Name]],Tables!$B$12:$B$78, Tables!D$12:D$78)</f>
        <v>-1.6734143529411767</v>
      </c>
      <c r="N751" t="s">
        <v>66</v>
      </c>
      <c r="O751">
        <v>564</v>
      </c>
      <c r="P751">
        <v>10.1</v>
      </c>
      <c r="Q751">
        <v>2</v>
      </c>
      <c r="R751" t="str">
        <f>IF(AllDataCorrected[[#This Row],[Nitrate (PPM)]]&gt;2, "4. Very high (&gt;2ppm)", IF(AllDataCorrected[[#This Row],[Nitrate (PPM)]]&gt;1, "3. High (1-2ppm)", IF(AllDataCorrected[[#This Row],[Nitrate (PPM)]]&gt;0.5, "2. Some evidence (0.5-1ppm)", IF(AllDataCorrected[[#This Row],[Nitrate (PPM)]]&gt;=0, "1. No evidence (&lt;0.5ppm)"))))</f>
        <v>3. High (1-2ppm)</v>
      </c>
      <c r="S751">
        <v>0.82</v>
      </c>
      <c r="T7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1">
        <v>0.2</v>
      </c>
    </row>
    <row r="752" spans="1:22" x14ac:dyDescent="0.25">
      <c r="A752" t="s">
        <v>1056</v>
      </c>
      <c r="B752" s="2">
        <v>45411</v>
      </c>
      <c r="C752" t="str" cm="1">
        <f t="array" ref="C7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2">
        <f>YEAR(AllDataCorrected[[#This Row],[Date]])</f>
        <v>2024</v>
      </c>
      <c r="E752" s="1">
        <v>0.3840277777777778</v>
      </c>
      <c r="F7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2" t="str">
        <f>_xlfn.XLOOKUP(AllDataCorrected[[#This Row],[Location Name]], Locations[Location Name],Locations[Group As])</f>
        <v>Stour Stretton-on-Fosse Sewage Works</v>
      </c>
      <c r="H752" t="e" vm="2">
        <f>_xlfn.XLOOKUP(AllDataCorrected[[#This Row],[Site Name]],LocationsKey[Site Name],LocationsKey[District])</f>
        <v>#VALUE!</v>
      </c>
      <c r="I752" t="e" vm="14">
        <f>_xlfn.XLOOKUP(AllDataCorrected[[#This Row],[Site Name]],LocationsKey[Site Name],LocationsKey[Town])</f>
        <v>#VALUE!</v>
      </c>
      <c r="J752" t="str">
        <f>_xlfn.XLOOKUP(AllDataCorrected[[#This Row],[Site Name]],LocationsKey[Site Name], LocationsKey[Waterway])</f>
        <v>Stour</v>
      </c>
      <c r="K752" t="s">
        <v>335</v>
      </c>
      <c r="L752">
        <f>_xlfn.XLOOKUP(AllDataCorrected[[#This Row],[Site Name]],Tables!$B$12:$B$78, Tables!C$12:C$78)</f>
        <v>52.045653647058806</v>
      </c>
      <c r="M752">
        <f>_xlfn.XLOOKUP(AllDataCorrected[[#This Row],[Site Name]],Tables!$B$12:$B$78, Tables!D$12:D$78)</f>
        <v>-1.6719221470588235</v>
      </c>
      <c r="N752" t="s">
        <v>29</v>
      </c>
      <c r="O752">
        <v>608</v>
      </c>
      <c r="P752">
        <v>9.4</v>
      </c>
      <c r="Q752">
        <v>5</v>
      </c>
      <c r="R752" t="str">
        <f>IF(AllDataCorrected[[#This Row],[Nitrate (PPM)]]&gt;2, "4. Very high (&gt;2ppm)", IF(AllDataCorrected[[#This Row],[Nitrate (PPM)]]&gt;1, "3. High (1-2ppm)", IF(AllDataCorrected[[#This Row],[Nitrate (PPM)]]&gt;0.5, "2. Some evidence (0.5-1ppm)", IF(AllDataCorrected[[#This Row],[Nitrate (PPM)]]&gt;=0, "1. No evidence (&lt;0.5ppm)"))))</f>
        <v>4. Very high (&gt;2ppm)</v>
      </c>
      <c r="S752">
        <v>1.48</v>
      </c>
      <c r="T7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2">
        <v>0.25</v>
      </c>
    </row>
    <row r="753" spans="1:22" x14ac:dyDescent="0.25">
      <c r="A753" t="s">
        <v>1057</v>
      </c>
      <c r="B753" s="2">
        <v>45411</v>
      </c>
      <c r="C753" t="str" cm="1">
        <f t="array" ref="C7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3">
        <f>YEAR(AllDataCorrected[[#This Row],[Date]])</f>
        <v>2024</v>
      </c>
      <c r="E753" s="1">
        <v>0.60972222222222228</v>
      </c>
      <c r="F7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3" t="str">
        <f>_xlfn.XLOOKUP(AllDataCorrected[[#This Row],[Location Name]], Locations[Location Name],Locations[Group As])</f>
        <v>Alveston Weir</v>
      </c>
      <c r="H753" t="e" vm="2">
        <f>_xlfn.XLOOKUP(AllDataCorrected[[#This Row],[Site Name]],LocationsKey[Site Name],LocationsKey[District])</f>
        <v>#VALUE!</v>
      </c>
      <c r="I753" t="e" vm="13">
        <f>_xlfn.XLOOKUP(AllDataCorrected[[#This Row],[Site Name]],LocationsKey[Site Name],LocationsKey[Town])</f>
        <v>#VALUE!</v>
      </c>
      <c r="J753" t="str">
        <f>_xlfn.XLOOKUP(AllDataCorrected[[#This Row],[Site Name]],LocationsKey[Site Name], LocationsKey[Waterway])</f>
        <v>Avon</v>
      </c>
      <c r="K753" t="s">
        <v>286</v>
      </c>
      <c r="L753">
        <f>_xlfn.XLOOKUP(AllDataCorrected[[#This Row],[Site Name]],Tables!$B$12:$B$78, Tables!C$12:C$78)</f>
        <v>52.212366690476216</v>
      </c>
      <c r="M753">
        <f>_xlfn.XLOOKUP(AllDataCorrected[[#This Row],[Site Name]],Tables!$B$12:$B$78, Tables!D$12:D$78)</f>
        <v>-1.6602567619047619</v>
      </c>
      <c r="N753" t="s">
        <v>29</v>
      </c>
      <c r="O753">
        <v>442</v>
      </c>
      <c r="P753">
        <v>12.1</v>
      </c>
      <c r="Q753">
        <v>5</v>
      </c>
      <c r="R753" t="str">
        <f>IF(AllDataCorrected[[#This Row],[Nitrate (PPM)]]&gt;2, "4. Very high (&gt;2ppm)", IF(AllDataCorrected[[#This Row],[Nitrate (PPM)]]&gt;1, "3. High (1-2ppm)", IF(AllDataCorrected[[#This Row],[Nitrate (PPM)]]&gt;0.5, "2. Some evidence (0.5-1ppm)", IF(AllDataCorrected[[#This Row],[Nitrate (PPM)]]&gt;=0, "1. No evidence (&lt;0.5ppm)"))))</f>
        <v>4. Very high (&gt;2ppm)</v>
      </c>
      <c r="S753">
        <v>0.3</v>
      </c>
      <c r="T7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3">
        <v>1.5</v>
      </c>
    </row>
    <row r="754" spans="1:22" x14ac:dyDescent="0.25">
      <c r="A754" t="s">
        <v>1058</v>
      </c>
      <c r="B754" s="2">
        <v>45411</v>
      </c>
      <c r="C754" t="str" cm="1">
        <f t="array" ref="C7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4">
        <f>YEAR(AllDataCorrected[[#This Row],[Date]])</f>
        <v>2024</v>
      </c>
      <c r="E754" s="1">
        <v>0.625</v>
      </c>
      <c r="F7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4" t="str">
        <f>_xlfn.XLOOKUP(AllDataCorrected[[#This Row],[Location Name]], Locations[Location Name],Locations[Group As])</f>
        <v>Swiffen Bank</v>
      </c>
      <c r="H754" t="e" vm="2">
        <f>_xlfn.XLOOKUP(AllDataCorrected[[#This Row],[Site Name]],LocationsKey[Site Name],LocationsKey[District])</f>
        <v>#VALUE!</v>
      </c>
      <c r="I754" t="e" vm="13">
        <f>_xlfn.XLOOKUP(AllDataCorrected[[#This Row],[Site Name]],LocationsKey[Site Name],LocationsKey[Town])</f>
        <v>#VALUE!</v>
      </c>
      <c r="J754" t="str">
        <f>_xlfn.XLOOKUP(AllDataCorrected[[#This Row],[Site Name]],LocationsKey[Site Name], LocationsKey[Waterway])</f>
        <v>Avon</v>
      </c>
      <c r="K754" t="s">
        <v>284</v>
      </c>
      <c r="L754">
        <f>_xlfn.XLOOKUP(AllDataCorrected[[#This Row],[Site Name]],Tables!$B$12:$B$78, Tables!C$12:C$78)</f>
        <v>52.206446825000015</v>
      </c>
      <c r="M754">
        <f>_xlfn.XLOOKUP(AllDataCorrected[[#This Row],[Site Name]],Tables!$B$12:$B$78, Tables!D$12:D$78)</f>
        <v>-1.6541684000000003</v>
      </c>
      <c r="N754" t="s">
        <v>29</v>
      </c>
      <c r="O754">
        <v>491</v>
      </c>
      <c r="P754">
        <v>14.2</v>
      </c>
      <c r="Q754">
        <v>5</v>
      </c>
      <c r="R754" t="str">
        <f>IF(AllDataCorrected[[#This Row],[Nitrate (PPM)]]&gt;2, "4. Very high (&gt;2ppm)", IF(AllDataCorrected[[#This Row],[Nitrate (PPM)]]&gt;1, "3. High (1-2ppm)", IF(AllDataCorrected[[#This Row],[Nitrate (PPM)]]&gt;0.5, "2. Some evidence (0.5-1ppm)", IF(AllDataCorrected[[#This Row],[Nitrate (PPM)]]&gt;=0, "1. No evidence (&lt;0.5ppm)"))))</f>
        <v>4. Very high (&gt;2ppm)</v>
      </c>
      <c r="S754">
        <v>0.53</v>
      </c>
      <c r="T7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4">
        <v>1.5</v>
      </c>
      <c r="V754" t="s">
        <v>1059</v>
      </c>
    </row>
    <row r="755" spans="1:22" x14ac:dyDescent="0.25">
      <c r="A755" t="s">
        <v>1060</v>
      </c>
      <c r="B755" s="2">
        <v>45412</v>
      </c>
      <c r="C755" t="str" cm="1">
        <f t="array" ref="C7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5">
        <f>YEAR(AllDataCorrected[[#This Row],[Date]])</f>
        <v>2024</v>
      </c>
      <c r="E755" s="1">
        <v>0.44166666666666665</v>
      </c>
      <c r="F7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5" t="str">
        <f>_xlfn.XLOOKUP(AllDataCorrected[[#This Row],[Location Name]], Locations[Location Name],Locations[Group As])</f>
        <v>Carrant Mitton Path</v>
      </c>
      <c r="H755" t="e" vm="1">
        <f>_xlfn.XLOOKUP(AllDataCorrected[[#This Row],[Site Name]],LocationsKey[Site Name],LocationsKey[District])</f>
        <v>#VALUE!</v>
      </c>
      <c r="I755" t="e" vm="1">
        <f>_xlfn.XLOOKUP(AllDataCorrected[[#This Row],[Site Name]],LocationsKey[Site Name],LocationsKey[Town])</f>
        <v>#VALUE!</v>
      </c>
      <c r="J755" t="str">
        <f>_xlfn.XLOOKUP(AllDataCorrected[[#This Row],[Site Name]],LocationsKey[Site Name], LocationsKey[Waterway])</f>
        <v>Carrant</v>
      </c>
      <c r="K755" t="s">
        <v>1061</v>
      </c>
      <c r="L755">
        <f>_xlfn.XLOOKUP(AllDataCorrected[[#This Row],[Site Name]],Tables!$B$12:$B$78, Tables!C$12:C$78)</f>
        <v>51.999946066666674</v>
      </c>
      <c r="M755">
        <f>_xlfn.XLOOKUP(AllDataCorrected[[#This Row],[Site Name]],Tables!$B$12:$B$78, Tables!D$12:D$78)</f>
        <v>-2.1414862000000006</v>
      </c>
      <c r="N755" t="s">
        <v>23</v>
      </c>
      <c r="O755">
        <v>696</v>
      </c>
      <c r="P755">
        <v>13.2</v>
      </c>
      <c r="Q755">
        <v>10</v>
      </c>
      <c r="R755" t="str">
        <f>IF(AllDataCorrected[[#This Row],[Nitrate (PPM)]]&gt;2, "4. Very high (&gt;2ppm)", IF(AllDataCorrected[[#This Row],[Nitrate (PPM)]]&gt;1, "3. High (1-2ppm)", IF(AllDataCorrected[[#This Row],[Nitrate (PPM)]]&gt;0.5, "2. Some evidence (0.5-1ppm)", IF(AllDataCorrected[[#This Row],[Nitrate (PPM)]]&gt;=0, "1. No evidence (&lt;0.5ppm)"))))</f>
        <v>4. Very high (&gt;2ppm)</v>
      </c>
      <c r="S755">
        <v>0.27</v>
      </c>
      <c r="T7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5">
        <v>0</v>
      </c>
    </row>
    <row r="756" spans="1:22" x14ac:dyDescent="0.25">
      <c r="A756" t="s">
        <v>1062</v>
      </c>
      <c r="B756" s="2">
        <v>45412</v>
      </c>
      <c r="C756" t="str" cm="1">
        <f t="array" ref="C7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6">
        <f>YEAR(AllDataCorrected[[#This Row],[Date]])</f>
        <v>2024</v>
      </c>
      <c r="E756" s="1">
        <v>0.47013888888888888</v>
      </c>
      <c r="F7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6" t="str">
        <f>_xlfn.XLOOKUP(AllDataCorrected[[#This Row],[Location Name]], Locations[Location Name],Locations[Group As])</f>
        <v>Carrant M5 Bridge</v>
      </c>
      <c r="H756" t="e" vm="1">
        <f>_xlfn.XLOOKUP(AllDataCorrected[[#This Row],[Site Name]],LocationsKey[Site Name],LocationsKey[District])</f>
        <v>#VALUE!</v>
      </c>
      <c r="I756" t="e" vm="1">
        <f>_xlfn.XLOOKUP(AllDataCorrected[[#This Row],[Site Name]],LocationsKey[Site Name],LocationsKey[Town])</f>
        <v>#VALUE!</v>
      </c>
      <c r="J756" t="str">
        <f>_xlfn.XLOOKUP(AllDataCorrected[[#This Row],[Site Name]],LocationsKey[Site Name], LocationsKey[Waterway])</f>
        <v>Carrant</v>
      </c>
      <c r="K756" t="s">
        <v>960</v>
      </c>
      <c r="L756">
        <f>_xlfn.XLOOKUP(AllDataCorrected[[#This Row],[Site Name]],Tables!$B$12:$B$78, Tables!C$12:C$78)</f>
        <v>52.011600000000001</v>
      </c>
      <c r="M756">
        <f>_xlfn.XLOOKUP(AllDataCorrected[[#This Row],[Site Name]],Tables!$B$12:$B$78, Tables!D$12:D$78)</f>
        <v>-2.1206</v>
      </c>
      <c r="N756" t="s">
        <v>23</v>
      </c>
      <c r="O756">
        <v>720</v>
      </c>
      <c r="P756">
        <v>14.8</v>
      </c>
      <c r="Q756">
        <v>8</v>
      </c>
      <c r="R756" t="str">
        <f>IF(AllDataCorrected[[#This Row],[Nitrate (PPM)]]&gt;2, "4. Very high (&gt;2ppm)", IF(AllDataCorrected[[#This Row],[Nitrate (PPM)]]&gt;1, "3. High (1-2ppm)", IF(AllDataCorrected[[#This Row],[Nitrate (PPM)]]&gt;0.5, "2. Some evidence (0.5-1ppm)", IF(AllDataCorrected[[#This Row],[Nitrate (PPM)]]&gt;=0, "1. No evidence (&lt;0.5ppm)"))))</f>
        <v>4. Very high (&gt;2ppm)</v>
      </c>
      <c r="S756">
        <v>0.13</v>
      </c>
      <c r="T7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6">
        <v>0</v>
      </c>
    </row>
    <row r="757" spans="1:22" x14ac:dyDescent="0.25">
      <c r="A757" t="s">
        <v>1063</v>
      </c>
      <c r="B757" s="2">
        <v>45412</v>
      </c>
      <c r="C757" t="str" cm="1">
        <f t="array" ref="C7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7">
        <f>YEAR(AllDataCorrected[[#This Row],[Date]])</f>
        <v>2024</v>
      </c>
      <c r="E757" s="1">
        <v>0.73958333333333337</v>
      </c>
      <c r="F7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7" t="str">
        <f>_xlfn.XLOOKUP(AllDataCorrected[[#This Row],[Location Name]], Locations[Location Name],Locations[Group As])</f>
        <v>Abbey Mill</v>
      </c>
      <c r="H757" t="e" vm="1">
        <f>_xlfn.XLOOKUP(AllDataCorrected[[#This Row],[Site Name]],LocationsKey[Site Name],LocationsKey[District])</f>
        <v>#VALUE!</v>
      </c>
      <c r="I757" t="e" vm="1">
        <f>_xlfn.XLOOKUP(AllDataCorrected[[#This Row],[Site Name]],LocationsKey[Site Name],LocationsKey[Town])</f>
        <v>#VALUE!</v>
      </c>
      <c r="J757" t="str">
        <f>_xlfn.XLOOKUP(AllDataCorrected[[#This Row],[Site Name]],LocationsKey[Site Name], LocationsKey[Waterway])</f>
        <v>Avon</v>
      </c>
      <c r="K757" t="s">
        <v>25</v>
      </c>
      <c r="L757">
        <f>_xlfn.XLOOKUP(AllDataCorrected[[#This Row],[Site Name]],Tables!$B$12:$B$78, Tables!C$12:C$78)</f>
        <v>51.991389555555564</v>
      </c>
      <c r="M757">
        <f>_xlfn.XLOOKUP(AllDataCorrected[[#This Row],[Site Name]],Tables!$B$12:$B$78, Tables!D$12:D$78)</f>
        <v>-2.1620794000000005</v>
      </c>
      <c r="N757" t="s">
        <v>23</v>
      </c>
      <c r="O757">
        <v>713</v>
      </c>
      <c r="P757">
        <v>12.4</v>
      </c>
      <c r="Q757">
        <v>5</v>
      </c>
      <c r="R757" t="str">
        <f>IF(AllDataCorrected[[#This Row],[Nitrate (PPM)]]&gt;2, "4. Very high (&gt;2ppm)", IF(AllDataCorrected[[#This Row],[Nitrate (PPM)]]&gt;1, "3. High (1-2ppm)", IF(AllDataCorrected[[#This Row],[Nitrate (PPM)]]&gt;0.5, "2. Some evidence (0.5-1ppm)", IF(AllDataCorrected[[#This Row],[Nitrate (PPM)]]&gt;=0, "1. No evidence (&lt;0.5ppm)"))))</f>
        <v>4. Very high (&gt;2ppm)</v>
      </c>
      <c r="S757">
        <v>0.51</v>
      </c>
      <c r="T7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7">
        <v>0.7</v>
      </c>
    </row>
    <row r="758" spans="1:22" x14ac:dyDescent="0.25">
      <c r="A758" t="s">
        <v>1064</v>
      </c>
      <c r="B758" s="2">
        <v>45413</v>
      </c>
      <c r="C758" t="str" cm="1">
        <f t="array" ref="C7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8">
        <f>YEAR(AllDataCorrected[[#This Row],[Date]])</f>
        <v>2024</v>
      </c>
      <c r="E758" s="1">
        <v>0.5180555555555556</v>
      </c>
      <c r="F75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8" t="str">
        <f>_xlfn.XLOOKUP(AllDataCorrected[[#This Row],[Location Name]], Locations[Location Name],Locations[Group As])</f>
        <v>Walcot Lane, Bow Brook Ford</v>
      </c>
      <c r="H758" t="e" vm="17">
        <f>_xlfn.XLOOKUP(AllDataCorrected[[#This Row],[Site Name]],LocationsKey[Site Name],LocationsKey[District])</f>
        <v>#VALUE!</v>
      </c>
      <c r="I758" t="e" vm="18">
        <f>_xlfn.XLOOKUP(AllDataCorrected[[#This Row],[Site Name]],LocationsKey[Site Name],LocationsKey[Town])</f>
        <v>#VALUE!</v>
      </c>
      <c r="J758" t="str">
        <f>_xlfn.XLOOKUP(AllDataCorrected[[#This Row],[Site Name]],LocationsKey[Site Name], LocationsKey[Waterway])</f>
        <v>Bow Brook</v>
      </c>
      <c r="K758" t="s">
        <v>732</v>
      </c>
      <c r="L758">
        <f>_xlfn.XLOOKUP(AllDataCorrected[[#This Row],[Site Name]],Tables!$B$12:$B$78, Tables!C$12:C$78)</f>
        <v>52.130499999999998</v>
      </c>
      <c r="M758">
        <f>_xlfn.XLOOKUP(AllDataCorrected[[#This Row],[Site Name]],Tables!$B$12:$B$78, Tables!D$12:D$78)</f>
        <v>-2.0787</v>
      </c>
      <c r="N758" t="s">
        <v>23</v>
      </c>
      <c r="O758">
        <v>945</v>
      </c>
      <c r="P758">
        <v>16</v>
      </c>
      <c r="Q758">
        <v>5</v>
      </c>
      <c r="R758" t="str">
        <f>IF(AllDataCorrected[[#This Row],[Nitrate (PPM)]]&gt;2, "4. Very high (&gt;2ppm)", IF(AllDataCorrected[[#This Row],[Nitrate (PPM)]]&gt;1, "3. High (1-2ppm)", IF(AllDataCorrected[[#This Row],[Nitrate (PPM)]]&gt;0.5, "2. Some evidence (0.5-1ppm)", IF(AllDataCorrected[[#This Row],[Nitrate (PPM)]]&gt;=0, "1. No evidence (&lt;0.5ppm)"))))</f>
        <v>4. Very high (&gt;2ppm)</v>
      </c>
      <c r="S758">
        <v>0.84</v>
      </c>
      <c r="T7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8">
        <v>0.3</v>
      </c>
      <c r="V758" t="s">
        <v>1006</v>
      </c>
    </row>
    <row r="759" spans="1:22" x14ac:dyDescent="0.25">
      <c r="A759" t="s">
        <v>1065</v>
      </c>
      <c r="B759" s="2">
        <v>45414</v>
      </c>
      <c r="C759" t="str" cm="1">
        <f t="array" ref="C7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9">
        <f>YEAR(AllDataCorrected[[#This Row],[Date]])</f>
        <v>2024</v>
      </c>
      <c r="E759" s="1">
        <v>0.45833333333333331</v>
      </c>
      <c r="F7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9" t="str">
        <f>_xlfn.XLOOKUP(AllDataCorrected[[#This Row],[Location Name]], Locations[Location Name],Locations[Group As])</f>
        <v>Stour Willington</v>
      </c>
      <c r="H759" t="e" vm="2">
        <f>_xlfn.XLOOKUP(AllDataCorrected[[#This Row],[Site Name]],LocationsKey[Site Name],LocationsKey[District])</f>
        <v>#VALUE!</v>
      </c>
      <c r="I759" t="str">
        <f>_xlfn.XLOOKUP(AllDataCorrected[[#This Row],[Site Name]],LocationsKey[Site Name],LocationsKey[Town])</f>
        <v>Willington</v>
      </c>
      <c r="J759" t="str">
        <f>_xlfn.XLOOKUP(AllDataCorrected[[#This Row],[Site Name]],LocationsKey[Site Name], LocationsKey[Waterway])</f>
        <v>Stour</v>
      </c>
      <c r="K759" t="s">
        <v>517</v>
      </c>
      <c r="L759">
        <f>_xlfn.XLOOKUP(AllDataCorrected[[#This Row],[Site Name]],Tables!$B$12:$B$78, Tables!C$12:C$78)</f>
        <v>52.053154375000005</v>
      </c>
      <c r="M759">
        <f>_xlfn.XLOOKUP(AllDataCorrected[[#This Row],[Site Name]],Tables!$B$12:$B$78, Tables!D$12:D$78)</f>
        <v>-1.6191991562500001</v>
      </c>
      <c r="N759" t="s">
        <v>23</v>
      </c>
      <c r="O759">
        <v>617</v>
      </c>
      <c r="P759">
        <v>13.7</v>
      </c>
      <c r="Q759">
        <v>2</v>
      </c>
      <c r="R759" t="str">
        <f>IF(AllDataCorrected[[#This Row],[Nitrate (PPM)]]&gt;2, "4. Very high (&gt;2ppm)", IF(AllDataCorrected[[#This Row],[Nitrate (PPM)]]&gt;1, "3. High (1-2ppm)", IF(AllDataCorrected[[#This Row],[Nitrate (PPM)]]&gt;0.5, "2. Some evidence (0.5-1ppm)", IF(AllDataCorrected[[#This Row],[Nitrate (PPM)]]&gt;=0, "1. No evidence (&lt;0.5ppm)"))))</f>
        <v>3. High (1-2ppm)</v>
      </c>
      <c r="S759">
        <v>0.32</v>
      </c>
      <c r="T7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9">
        <v>0.5</v>
      </c>
    </row>
    <row r="760" spans="1:22" x14ac:dyDescent="0.25">
      <c r="A760" t="s">
        <v>1066</v>
      </c>
      <c r="B760" s="2">
        <v>45414</v>
      </c>
      <c r="C760" t="str" cm="1">
        <f t="array" ref="C7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0">
        <f>YEAR(AllDataCorrected[[#This Row],[Date]])</f>
        <v>2024</v>
      </c>
      <c r="E760" s="1">
        <v>0.64583333333333337</v>
      </c>
      <c r="F7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0" t="str">
        <f>_xlfn.XLOOKUP(AllDataCorrected[[#This Row],[Location Name]], Locations[Location Name],Locations[Group As])</f>
        <v>Stour Newbold Mill</v>
      </c>
      <c r="H760" t="e" vm="2">
        <f>_xlfn.XLOOKUP(AllDataCorrected[[#This Row],[Site Name]],LocationsKey[Site Name],LocationsKey[District])</f>
        <v>#VALUE!</v>
      </c>
      <c r="I760" t="e" vm="8">
        <f>_xlfn.XLOOKUP(AllDataCorrected[[#This Row],[Site Name]],LocationsKey[Site Name],LocationsKey[Town])</f>
        <v>#VALUE!</v>
      </c>
      <c r="J760" t="str">
        <f>_xlfn.XLOOKUP(AllDataCorrected[[#This Row],[Site Name]],LocationsKey[Site Name], LocationsKey[Waterway])</f>
        <v>Stour</v>
      </c>
      <c r="K760" t="s">
        <v>140</v>
      </c>
      <c r="L760">
        <f>_xlfn.XLOOKUP(AllDataCorrected[[#This Row],[Site Name]],Tables!$B$12:$B$78, Tables!C$12:C$78)</f>
        <v>52.113052370370362</v>
      </c>
      <c r="M760">
        <f>_xlfn.XLOOKUP(AllDataCorrected[[#This Row],[Site Name]],Tables!$B$12:$B$78, Tables!D$12:D$78)</f>
        <v>-1.6333685185185185</v>
      </c>
      <c r="N760" t="s">
        <v>29</v>
      </c>
      <c r="O760">
        <v>680</v>
      </c>
      <c r="P760">
        <v>15.4</v>
      </c>
      <c r="Q760">
        <v>2</v>
      </c>
      <c r="R760" t="str">
        <f>IF(AllDataCorrected[[#This Row],[Nitrate (PPM)]]&gt;2, "4. Very high (&gt;2ppm)", IF(AllDataCorrected[[#This Row],[Nitrate (PPM)]]&gt;1, "3. High (1-2ppm)", IF(AllDataCorrected[[#This Row],[Nitrate (PPM)]]&gt;0.5, "2. Some evidence (0.5-1ppm)", IF(AllDataCorrected[[#This Row],[Nitrate (PPM)]]&gt;=0, "1. No evidence (&lt;0.5ppm)"))))</f>
        <v>3. High (1-2ppm)</v>
      </c>
      <c r="S760">
        <v>0.46</v>
      </c>
      <c r="T7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0">
        <v>2.5</v>
      </c>
      <c r="V760" t="s">
        <v>529</v>
      </c>
    </row>
    <row r="761" spans="1:22" x14ac:dyDescent="0.25">
      <c r="A761" t="s">
        <v>1067</v>
      </c>
      <c r="B761" s="2">
        <v>45415</v>
      </c>
      <c r="C761" t="str" cm="1">
        <f t="array" ref="C7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1">
        <f>YEAR(AllDataCorrected[[#This Row],[Date]])</f>
        <v>2024</v>
      </c>
      <c r="E761" s="1">
        <v>0.54513888888888884</v>
      </c>
      <c r="F7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1" t="str">
        <f>_xlfn.XLOOKUP(AllDataCorrected[[#This Row],[Location Name]], Locations[Location Name],Locations[Group As])</f>
        <v>Swilgate</v>
      </c>
      <c r="H761" t="e" vm="1">
        <f>_xlfn.XLOOKUP(AllDataCorrected[[#This Row],[Site Name]],LocationsKey[Site Name],LocationsKey[District])</f>
        <v>#VALUE!</v>
      </c>
      <c r="I761" t="e" vm="1">
        <f>_xlfn.XLOOKUP(AllDataCorrected[[#This Row],[Site Name]],LocationsKey[Site Name],LocationsKey[Town])</f>
        <v>#VALUE!</v>
      </c>
      <c r="J761" t="str">
        <f>_xlfn.XLOOKUP(AllDataCorrected[[#This Row],[Site Name]],LocationsKey[Site Name], LocationsKey[Waterway])</f>
        <v>Swilgate</v>
      </c>
      <c r="K761" t="s">
        <v>84</v>
      </c>
      <c r="L761">
        <f>_xlfn.XLOOKUP(AllDataCorrected[[#This Row],[Site Name]],Tables!$B$12:$B$78, Tables!C$12:C$78)</f>
        <v>51.9885442</v>
      </c>
      <c r="M761">
        <f>_xlfn.XLOOKUP(AllDataCorrected[[#This Row],[Site Name]],Tables!$B$12:$B$78, Tables!D$12:D$78)</f>
        <v>-2.1639010000000001</v>
      </c>
      <c r="N761" t="s">
        <v>23</v>
      </c>
      <c r="O761">
        <v>589</v>
      </c>
      <c r="P761">
        <v>12.1</v>
      </c>
      <c r="Q761">
        <v>4</v>
      </c>
      <c r="R761" t="str">
        <f>IF(AllDataCorrected[[#This Row],[Nitrate (PPM)]]&gt;2, "4. Very high (&gt;2ppm)", IF(AllDataCorrected[[#This Row],[Nitrate (PPM)]]&gt;1, "3. High (1-2ppm)", IF(AllDataCorrected[[#This Row],[Nitrate (PPM)]]&gt;0.5, "2. Some evidence (0.5-1ppm)", IF(AllDataCorrected[[#This Row],[Nitrate (PPM)]]&gt;=0, "1. No evidence (&lt;0.5ppm)"))))</f>
        <v>4. Very high (&gt;2ppm)</v>
      </c>
      <c r="S761">
        <v>0.55000000000000004</v>
      </c>
      <c r="T7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1">
        <v>0</v>
      </c>
    </row>
    <row r="762" spans="1:22" x14ac:dyDescent="0.25">
      <c r="A762" t="s">
        <v>1068</v>
      </c>
      <c r="B762" s="2">
        <v>45415</v>
      </c>
      <c r="C762" t="str" cm="1">
        <f t="array" ref="C7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2">
        <f>YEAR(AllDataCorrected[[#This Row],[Date]])</f>
        <v>2024</v>
      </c>
      <c r="E762" s="1">
        <v>0.625</v>
      </c>
      <c r="F7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2" t="str">
        <f>_xlfn.XLOOKUP(AllDataCorrected[[#This Row],[Location Name]], Locations[Location Name],Locations[Group As])</f>
        <v>Preston-on-Stour River Bridge</v>
      </c>
      <c r="H762" t="e" vm="2">
        <f>_xlfn.XLOOKUP(AllDataCorrected[[#This Row],[Site Name]],LocationsKey[Site Name],LocationsKey[District])</f>
        <v>#VALUE!</v>
      </c>
      <c r="I762" t="e" vm="9">
        <f>_xlfn.XLOOKUP(AllDataCorrected[[#This Row],[Site Name]],LocationsKey[Site Name],LocationsKey[Town])</f>
        <v>#VALUE!</v>
      </c>
      <c r="J762" t="str">
        <f>_xlfn.XLOOKUP(AllDataCorrected[[#This Row],[Site Name]],LocationsKey[Site Name], LocationsKey[Waterway])</f>
        <v>Stour</v>
      </c>
      <c r="K762" t="s">
        <v>163</v>
      </c>
      <c r="L762">
        <f>_xlfn.XLOOKUP(AllDataCorrected[[#This Row],[Site Name]],Tables!$B$12:$B$78, Tables!C$12:C$78)</f>
        <v>52.146529500000007</v>
      </c>
      <c r="M762">
        <f>_xlfn.XLOOKUP(AllDataCorrected[[#This Row],[Site Name]],Tables!$B$12:$B$78, Tables!D$12:D$78)</f>
        <v>-1.6996899999999999</v>
      </c>
      <c r="N762" t="s">
        <v>29</v>
      </c>
      <c r="O762">
        <v>702</v>
      </c>
      <c r="P762">
        <v>12</v>
      </c>
      <c r="Q762">
        <v>5</v>
      </c>
      <c r="R762" t="str">
        <f>IF(AllDataCorrected[[#This Row],[Nitrate (PPM)]]&gt;2, "4. Very high (&gt;2ppm)", IF(AllDataCorrected[[#This Row],[Nitrate (PPM)]]&gt;1, "3. High (1-2ppm)", IF(AllDataCorrected[[#This Row],[Nitrate (PPM)]]&gt;0.5, "2. Some evidence (0.5-1ppm)", IF(AllDataCorrected[[#This Row],[Nitrate (PPM)]]&gt;=0, "1. No evidence (&lt;0.5ppm)"))))</f>
        <v>4. Very high (&gt;2ppm)</v>
      </c>
      <c r="S762">
        <v>0.22</v>
      </c>
      <c r="T7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2">
        <v>1.5</v>
      </c>
    </row>
    <row r="763" spans="1:22" x14ac:dyDescent="0.25">
      <c r="A763" t="s">
        <v>1069</v>
      </c>
      <c r="B763" s="2">
        <v>45416</v>
      </c>
      <c r="C763" t="str" cm="1">
        <f t="array" ref="C7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3">
        <f>YEAR(AllDataCorrected[[#This Row],[Date]])</f>
        <v>2024</v>
      </c>
      <c r="E763" s="1">
        <v>0.29444444444444445</v>
      </c>
      <c r="F7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3" t="str">
        <f>_xlfn.XLOOKUP(AllDataCorrected[[#This Row],[Location Name]], Locations[Location Name],Locations[Group As])</f>
        <v>Lower Lode</v>
      </c>
      <c r="H763" t="e" vm="1">
        <f>_xlfn.XLOOKUP(AllDataCorrected[[#This Row],[Site Name]],LocationsKey[Site Name],LocationsKey[District])</f>
        <v>#VALUE!</v>
      </c>
      <c r="I763" t="e" vm="1">
        <f>_xlfn.XLOOKUP(AllDataCorrected[[#This Row],[Site Name]],LocationsKey[Site Name],LocationsKey[Town])</f>
        <v>#VALUE!</v>
      </c>
      <c r="J763" t="str">
        <f>_xlfn.XLOOKUP(AllDataCorrected[[#This Row],[Site Name]],LocationsKey[Site Name], LocationsKey[Waterway])</f>
        <v>Avon</v>
      </c>
      <c r="K763" t="s">
        <v>592</v>
      </c>
      <c r="L763">
        <f>_xlfn.XLOOKUP(AllDataCorrected[[#This Row],[Site Name]],Tables!$B$12:$B$78, Tables!C$12:C$78)</f>
        <v>51.984954782608689</v>
      </c>
      <c r="M763">
        <f>_xlfn.XLOOKUP(AllDataCorrected[[#This Row],[Site Name]],Tables!$B$12:$B$78, Tables!D$12:D$78)</f>
        <v>-2.1744283478260868</v>
      </c>
      <c r="N763" t="s">
        <v>29</v>
      </c>
      <c r="O763">
        <v>7000</v>
      </c>
      <c r="P763">
        <v>12.7</v>
      </c>
      <c r="Q763">
        <v>10</v>
      </c>
      <c r="R763" t="str">
        <f>IF(AllDataCorrected[[#This Row],[Nitrate (PPM)]]&gt;2, "4. Very high (&gt;2ppm)", IF(AllDataCorrected[[#This Row],[Nitrate (PPM)]]&gt;1, "3. High (1-2ppm)", IF(AllDataCorrected[[#This Row],[Nitrate (PPM)]]&gt;0.5, "2. Some evidence (0.5-1ppm)", IF(AllDataCorrected[[#This Row],[Nitrate (PPM)]]&gt;=0, "1. No evidence (&lt;0.5ppm)"))))</f>
        <v>4. Very high (&gt;2ppm)</v>
      </c>
      <c r="S763">
        <v>0.56999999999999995</v>
      </c>
      <c r="T7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3">
        <v>1</v>
      </c>
    </row>
    <row r="764" spans="1:22" x14ac:dyDescent="0.25">
      <c r="A764" t="s">
        <v>1070</v>
      </c>
      <c r="B764" s="2">
        <v>45416</v>
      </c>
      <c r="C764" t="str" cm="1">
        <f t="array" ref="C7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4">
        <f>YEAR(AllDataCorrected[[#This Row],[Date]])</f>
        <v>2024</v>
      </c>
      <c r="E764" s="1">
        <v>0.4375</v>
      </c>
      <c r="F7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4" t="str">
        <f>_xlfn.XLOOKUP(AllDataCorrected[[#This Row],[Location Name]], Locations[Location Name],Locations[Group As])</f>
        <v>Avon Smiths Meadow Wyre Piddle</v>
      </c>
      <c r="H764" t="e" vm="17">
        <f>_xlfn.XLOOKUP(AllDataCorrected[[#This Row],[Site Name]],LocationsKey[Site Name],LocationsKey[District])</f>
        <v>#VALUE!</v>
      </c>
      <c r="I764" t="e" vm="20">
        <f>_xlfn.XLOOKUP(AllDataCorrected[[#This Row],[Site Name]],LocationsKey[Site Name],LocationsKey[Town])</f>
        <v>#VALUE!</v>
      </c>
      <c r="J764" t="str">
        <f>_xlfn.XLOOKUP(AllDataCorrected[[#This Row],[Site Name]],LocationsKey[Site Name], LocationsKey[Waterway])</f>
        <v>Avon</v>
      </c>
      <c r="K764" t="s">
        <v>741</v>
      </c>
      <c r="L764">
        <f>_xlfn.XLOOKUP(AllDataCorrected[[#This Row],[Site Name]],Tables!$B$12:$B$78, Tables!C$12:C$78)</f>
        <v>52.123045961538452</v>
      </c>
      <c r="M764">
        <f>_xlfn.XLOOKUP(AllDataCorrected[[#This Row],[Site Name]],Tables!$B$12:$B$78, Tables!D$12:D$78)</f>
        <v>-2.0572161923076919</v>
      </c>
      <c r="N764" t="s">
        <v>23</v>
      </c>
      <c r="O764">
        <v>723</v>
      </c>
      <c r="P764">
        <v>13.1</v>
      </c>
      <c r="Q764">
        <v>6</v>
      </c>
      <c r="R764" t="str">
        <f>IF(AllDataCorrected[[#This Row],[Nitrate (PPM)]]&gt;2, "4. Very high (&gt;2ppm)", IF(AllDataCorrected[[#This Row],[Nitrate (PPM)]]&gt;1, "3. High (1-2ppm)", IF(AllDataCorrected[[#This Row],[Nitrate (PPM)]]&gt;0.5, "2. Some evidence (0.5-1ppm)", IF(AllDataCorrected[[#This Row],[Nitrate (PPM)]]&gt;=0, "1. No evidence (&lt;0.5ppm)"))))</f>
        <v>4. Very high (&gt;2ppm)</v>
      </c>
      <c r="S764">
        <v>0.5</v>
      </c>
      <c r="T7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4">
        <v>0.89</v>
      </c>
      <c r="V764" t="s">
        <v>1071</v>
      </c>
    </row>
    <row r="765" spans="1:22" x14ac:dyDescent="0.25">
      <c r="A765" t="s">
        <v>1072</v>
      </c>
      <c r="B765" s="2">
        <v>45416</v>
      </c>
      <c r="C765" t="str" cm="1">
        <f t="array" ref="C7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5">
        <f>YEAR(AllDataCorrected[[#This Row],[Date]])</f>
        <v>2024</v>
      </c>
      <c r="E765" s="1">
        <v>0.46875</v>
      </c>
      <c r="F7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5" t="str">
        <f>_xlfn.XLOOKUP(AllDataCorrected[[#This Row],[Location Name]], Locations[Location Name],Locations[Group As])</f>
        <v>Piddle Brook Wyre Piddle Bridge</v>
      </c>
      <c r="H765" t="e" vm="17">
        <f>_xlfn.XLOOKUP(AllDataCorrected[[#This Row],[Site Name]],LocationsKey[Site Name],LocationsKey[District])</f>
        <v>#VALUE!</v>
      </c>
      <c r="I765" t="e" vm="20">
        <f>_xlfn.XLOOKUP(AllDataCorrected[[#This Row],[Site Name]],LocationsKey[Site Name],LocationsKey[Town])</f>
        <v>#VALUE!</v>
      </c>
      <c r="J765" t="str">
        <f>_xlfn.XLOOKUP(AllDataCorrected[[#This Row],[Site Name]],LocationsKey[Site Name], LocationsKey[Waterway])</f>
        <v>Piddle Brook</v>
      </c>
      <c r="K765" t="s">
        <v>744</v>
      </c>
      <c r="L765">
        <f>_xlfn.XLOOKUP(AllDataCorrected[[#This Row],[Site Name]],Tables!$B$12:$B$78, Tables!C$12:C$78)</f>
        <v>52.126401720000004</v>
      </c>
      <c r="M765">
        <f>_xlfn.XLOOKUP(AllDataCorrected[[#This Row],[Site Name]],Tables!$B$12:$B$78, Tables!D$12:D$78)</f>
        <v>-2.0565162000000003</v>
      </c>
      <c r="N765" t="s">
        <v>23</v>
      </c>
      <c r="O765">
        <v>1030</v>
      </c>
      <c r="P765">
        <v>12.8</v>
      </c>
      <c r="Q765">
        <v>5</v>
      </c>
      <c r="R765" t="str">
        <f>IF(AllDataCorrected[[#This Row],[Nitrate (PPM)]]&gt;2, "4. Very high (&gt;2ppm)", IF(AllDataCorrected[[#This Row],[Nitrate (PPM)]]&gt;1, "3. High (1-2ppm)", IF(AllDataCorrected[[#This Row],[Nitrate (PPM)]]&gt;0.5, "2. Some evidence (0.5-1ppm)", IF(AllDataCorrected[[#This Row],[Nitrate (PPM)]]&gt;=0, "1. No evidence (&lt;0.5ppm)"))))</f>
        <v>4. Very high (&gt;2ppm)</v>
      </c>
      <c r="S765">
        <v>0.72</v>
      </c>
      <c r="T7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5">
        <v>0.37</v>
      </c>
      <c r="V765" t="s">
        <v>1073</v>
      </c>
    </row>
    <row r="766" spans="1:22" x14ac:dyDescent="0.25">
      <c r="A766" t="s">
        <v>1074</v>
      </c>
      <c r="B766" s="2">
        <v>45417</v>
      </c>
      <c r="C766" t="str" cm="1">
        <f t="array" ref="C7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6">
        <f>YEAR(AllDataCorrected[[#This Row],[Date]])</f>
        <v>2024</v>
      </c>
      <c r="E766" s="1">
        <v>0.41111111111111109</v>
      </c>
      <c r="F7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6" t="str">
        <f>_xlfn.XLOOKUP(AllDataCorrected[[#This Row],[Location Name]], Locations[Location Name],Locations[Group As])</f>
        <v>Black Bear</v>
      </c>
      <c r="H766" t="e" vm="1">
        <f>_xlfn.XLOOKUP(AllDataCorrected[[#This Row],[Site Name]],LocationsKey[Site Name],LocationsKey[District])</f>
        <v>#VALUE!</v>
      </c>
      <c r="I766" t="e" vm="1">
        <f>_xlfn.XLOOKUP(AllDataCorrected[[#This Row],[Site Name]],LocationsKey[Site Name],LocationsKey[Town])</f>
        <v>#VALUE!</v>
      </c>
      <c r="J766" t="str">
        <f>_xlfn.XLOOKUP(AllDataCorrected[[#This Row],[Site Name]],LocationsKey[Site Name], LocationsKey[Waterway])</f>
        <v>Avon</v>
      </c>
      <c r="K766" t="s">
        <v>567</v>
      </c>
      <c r="L766">
        <f>_xlfn.XLOOKUP(AllDataCorrected[[#This Row],[Site Name]],Tables!$B$12:$B$78, Tables!C$12:C$78)</f>
        <v>51.997435214285723</v>
      </c>
      <c r="M766">
        <f>_xlfn.XLOOKUP(AllDataCorrected[[#This Row],[Site Name]],Tables!$B$12:$B$78, Tables!D$12:D$78)</f>
        <v>-2.1562056785714288</v>
      </c>
      <c r="N766" t="s">
        <v>23</v>
      </c>
      <c r="O766">
        <v>708</v>
      </c>
      <c r="P766">
        <v>15</v>
      </c>
      <c r="Q766">
        <v>3</v>
      </c>
      <c r="R766" t="str">
        <f>IF(AllDataCorrected[[#This Row],[Nitrate (PPM)]]&gt;2, "4. Very high (&gt;2ppm)", IF(AllDataCorrected[[#This Row],[Nitrate (PPM)]]&gt;1, "3. High (1-2ppm)", IF(AllDataCorrected[[#This Row],[Nitrate (PPM)]]&gt;0.5, "2. Some evidence (0.5-1ppm)", IF(AllDataCorrected[[#This Row],[Nitrate (PPM)]]&gt;=0, "1. No evidence (&lt;0.5ppm)"))))</f>
        <v>4. Very high (&gt;2ppm)</v>
      </c>
      <c r="S766">
        <v>0.49</v>
      </c>
      <c r="T7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6">
        <v>0</v>
      </c>
    </row>
    <row r="767" spans="1:22" x14ac:dyDescent="0.25">
      <c r="A767" t="s">
        <v>1075</v>
      </c>
      <c r="B767" s="2">
        <v>45417</v>
      </c>
      <c r="C767" t="str" cm="1">
        <f t="array" ref="C7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7">
        <f>YEAR(AllDataCorrected[[#This Row],[Date]])</f>
        <v>2024</v>
      </c>
      <c r="E767" s="1">
        <v>0.48958333333333331</v>
      </c>
      <c r="F7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7" t="str">
        <f>_xlfn.XLOOKUP(AllDataCorrected[[#This Row],[Location Name]], Locations[Location Name],Locations[Group As])</f>
        <v>Carrant Bredon Rd</v>
      </c>
      <c r="H767" t="e" vm="1">
        <f>_xlfn.XLOOKUP(AllDataCorrected[[#This Row],[Site Name]],LocationsKey[Site Name],LocationsKey[District])</f>
        <v>#VALUE!</v>
      </c>
      <c r="I767" t="e" vm="1">
        <f>_xlfn.XLOOKUP(AllDataCorrected[[#This Row],[Site Name]],LocationsKey[Site Name],LocationsKey[Town])</f>
        <v>#VALUE!</v>
      </c>
      <c r="J767" t="str">
        <f>_xlfn.XLOOKUP(AllDataCorrected[[#This Row],[Site Name]],LocationsKey[Site Name], LocationsKey[Waterway])</f>
        <v>Carrant</v>
      </c>
      <c r="K767" t="s">
        <v>600</v>
      </c>
      <c r="L767">
        <f>_xlfn.XLOOKUP(AllDataCorrected[[#This Row],[Site Name]],Tables!$B$12:$B$78, Tables!C$12:C$78)</f>
        <v>51.996416567567572</v>
      </c>
      <c r="M767">
        <f>_xlfn.XLOOKUP(AllDataCorrected[[#This Row],[Site Name]],Tables!$B$12:$B$78, Tables!D$12:D$78)</f>
        <v>-2.1556626756756749</v>
      </c>
      <c r="N767" t="s">
        <v>23</v>
      </c>
      <c r="O767">
        <v>714</v>
      </c>
      <c r="P767">
        <v>13.7</v>
      </c>
      <c r="Q767">
        <v>7</v>
      </c>
      <c r="R767" t="str">
        <f>IF(AllDataCorrected[[#This Row],[Nitrate (PPM)]]&gt;2, "4. Very high (&gt;2ppm)", IF(AllDataCorrected[[#This Row],[Nitrate (PPM)]]&gt;1, "3. High (1-2ppm)", IF(AllDataCorrected[[#This Row],[Nitrate (PPM)]]&gt;0.5, "2. Some evidence (0.5-1ppm)", IF(AllDataCorrected[[#This Row],[Nitrate (PPM)]]&gt;=0, "1. No evidence (&lt;0.5ppm)"))))</f>
        <v>4. Very high (&gt;2ppm)</v>
      </c>
      <c r="S767">
        <v>0.22</v>
      </c>
      <c r="T7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7">
        <v>0.1</v>
      </c>
      <c r="V767" t="s">
        <v>1076</v>
      </c>
    </row>
    <row r="768" spans="1:22" x14ac:dyDescent="0.25">
      <c r="A768" t="s">
        <v>1084</v>
      </c>
      <c r="B768" s="2">
        <v>45417</v>
      </c>
      <c r="C768" t="str" cm="1">
        <f t="array" ref="C7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8">
        <f>YEAR(AllDataCorrected[[#This Row],[Date]])</f>
        <v>2024</v>
      </c>
      <c r="E768" s="1">
        <v>0.48958333333333331</v>
      </c>
      <c r="F7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8" t="str">
        <f>_xlfn.XLOOKUP(AllDataCorrected[[#This Row],[Location Name]], Locations[Location Name],Locations[Group As])</f>
        <v>Lucy's Mill Bridge</v>
      </c>
      <c r="H768" t="e" vm="2">
        <f>_xlfn.XLOOKUP(AllDataCorrected[[#This Row],[Site Name]],LocationsKey[Site Name],LocationsKey[District])</f>
        <v>#VALUE!</v>
      </c>
      <c r="I768" t="e" vm="7">
        <f>_xlfn.XLOOKUP(AllDataCorrected[[#This Row],[Site Name]],LocationsKey[Site Name],LocationsKey[Town])</f>
        <v>#VALUE!</v>
      </c>
      <c r="J768" t="str">
        <f>_xlfn.XLOOKUP(AllDataCorrected[[#This Row],[Site Name]],LocationsKey[Site Name], LocationsKey[Waterway])</f>
        <v>Avon</v>
      </c>
      <c r="K768" t="s">
        <v>216</v>
      </c>
      <c r="L768">
        <f>_xlfn.XLOOKUP(AllDataCorrected[[#This Row],[Site Name]],Tables!$B$12:$B$78, Tables!C$12:C$78)</f>
        <v>52.183699000000011</v>
      </c>
      <c r="M768">
        <f>_xlfn.XLOOKUP(AllDataCorrected[[#This Row],[Site Name]],Tables!$B$12:$B$78, Tables!D$12:D$78)</f>
        <v>-1.7078160000000004</v>
      </c>
      <c r="N768" t="s">
        <v>29</v>
      </c>
      <c r="P768">
        <v>12</v>
      </c>
      <c r="Q768">
        <v>10</v>
      </c>
      <c r="R768" t="str">
        <f>IF(AllDataCorrected[[#This Row],[Nitrate (PPM)]]&gt;2, "4. Very high (&gt;2ppm)", IF(AllDataCorrected[[#This Row],[Nitrate (PPM)]]&gt;1, "3. High (1-2ppm)", IF(AllDataCorrected[[#This Row],[Nitrate (PPM)]]&gt;0.5, "2. Some evidence (0.5-1ppm)", IF(AllDataCorrected[[#This Row],[Nitrate (PPM)]]&gt;=0, "1. No evidence (&lt;0.5ppm)"))))</f>
        <v>4. Very high (&gt;2ppm)</v>
      </c>
      <c r="S768">
        <v>0.28000000000000003</v>
      </c>
      <c r="T7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8">
        <v>0.7</v>
      </c>
    </row>
    <row r="769" spans="1:22" x14ac:dyDescent="0.25">
      <c r="A769" t="s">
        <v>1077</v>
      </c>
      <c r="B769" s="2">
        <v>45417</v>
      </c>
      <c r="C769" t="str" cm="1">
        <f t="array" ref="C7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9">
        <f>YEAR(AllDataCorrected[[#This Row],[Date]])</f>
        <v>2024</v>
      </c>
      <c r="E769" s="1">
        <v>0.54166666666666663</v>
      </c>
      <c r="F7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9" t="str">
        <f>_xlfn.XLOOKUP(AllDataCorrected[[#This Row],[Location Name]], Locations[Location Name],Locations[Group As])</f>
        <v>Avonbank Drive</v>
      </c>
      <c r="H769" t="e" vm="2">
        <f>_xlfn.XLOOKUP(AllDataCorrected[[#This Row],[Site Name]],LocationsKey[Site Name],LocationsKey[District])</f>
        <v>#VALUE!</v>
      </c>
      <c r="I769" t="e" vm="7">
        <f>_xlfn.XLOOKUP(AllDataCorrected[[#This Row],[Site Name]],LocationsKey[Site Name],LocationsKey[Town])</f>
        <v>#VALUE!</v>
      </c>
      <c r="J769" t="str">
        <f>_xlfn.XLOOKUP(AllDataCorrected[[#This Row],[Site Name]],LocationsKey[Site Name], LocationsKey[Waterway])</f>
        <v>Avon</v>
      </c>
      <c r="K769" t="s">
        <v>103</v>
      </c>
      <c r="L769">
        <f>_xlfn.XLOOKUP(AllDataCorrected[[#This Row],[Site Name]],Tables!$B$12:$B$78, Tables!C$12:C$78)</f>
        <v>52.177054657142854</v>
      </c>
      <c r="M769">
        <f>_xlfn.XLOOKUP(AllDataCorrected[[#This Row],[Site Name]],Tables!$B$12:$B$78, Tables!D$12:D$78)</f>
        <v>-1.7358669999999996</v>
      </c>
      <c r="N769" t="s">
        <v>66</v>
      </c>
      <c r="O769">
        <v>873</v>
      </c>
      <c r="P769">
        <v>20.5</v>
      </c>
      <c r="Q769">
        <v>10</v>
      </c>
      <c r="R769" t="str">
        <f>IF(AllDataCorrected[[#This Row],[Nitrate (PPM)]]&gt;2, "4. Very high (&gt;2ppm)", IF(AllDataCorrected[[#This Row],[Nitrate (PPM)]]&gt;1, "3. High (1-2ppm)", IF(AllDataCorrected[[#This Row],[Nitrate (PPM)]]&gt;0.5, "2. Some evidence (0.5-1ppm)", IF(AllDataCorrected[[#This Row],[Nitrate (PPM)]]&gt;=0, "1. No evidence (&lt;0.5ppm)"))))</f>
        <v>4. Very high (&gt;2ppm)</v>
      </c>
      <c r="S769">
        <v>0.32</v>
      </c>
      <c r="T7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9">
        <v>0.76</v>
      </c>
    </row>
    <row r="770" spans="1:22" x14ac:dyDescent="0.25">
      <c r="A770" t="s">
        <v>1078</v>
      </c>
      <c r="B770" s="2">
        <v>45417</v>
      </c>
      <c r="C770" t="str" cm="1">
        <f t="array" ref="C7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0">
        <f>YEAR(AllDataCorrected[[#This Row],[Date]])</f>
        <v>2024</v>
      </c>
      <c r="E770" s="1">
        <v>0.54166666666666663</v>
      </c>
      <c r="F7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0" t="str">
        <f>_xlfn.XLOOKUP(AllDataCorrected[[#This Row],[Location Name]], Locations[Location Name],Locations[Group As])</f>
        <v>Pitch 16</v>
      </c>
      <c r="H770" t="e" vm="2">
        <f>_xlfn.XLOOKUP(AllDataCorrected[[#This Row],[Site Name]],LocationsKey[Site Name],LocationsKey[District])</f>
        <v>#VALUE!</v>
      </c>
      <c r="I770" t="e" vm="7">
        <f>_xlfn.XLOOKUP(AllDataCorrected[[#This Row],[Site Name]],LocationsKey[Site Name],LocationsKey[Town])</f>
        <v>#VALUE!</v>
      </c>
      <c r="J770" t="str">
        <f>_xlfn.XLOOKUP(AllDataCorrected[[#This Row],[Site Name]],LocationsKey[Site Name], LocationsKey[Waterway])</f>
        <v>Avon</v>
      </c>
      <c r="K770" t="s">
        <v>69</v>
      </c>
      <c r="L770">
        <f>_xlfn.XLOOKUP(AllDataCorrected[[#This Row],[Site Name]],Tables!$B$12:$B$78, Tables!C$12:C$78)</f>
        <v>52.17355294117646</v>
      </c>
      <c r="M770">
        <f>_xlfn.XLOOKUP(AllDataCorrected[[#This Row],[Site Name]],Tables!$B$12:$B$78, Tables!D$12:D$78)</f>
        <v>-1.7433199411764708</v>
      </c>
      <c r="N770" t="s">
        <v>29</v>
      </c>
      <c r="O770">
        <v>863</v>
      </c>
      <c r="P770">
        <v>20.6</v>
      </c>
      <c r="Q770">
        <v>10</v>
      </c>
      <c r="R770" t="str">
        <f>IF(AllDataCorrected[[#This Row],[Nitrate (PPM)]]&gt;2, "4. Very high (&gt;2ppm)", IF(AllDataCorrected[[#This Row],[Nitrate (PPM)]]&gt;1, "3. High (1-2ppm)", IF(AllDataCorrected[[#This Row],[Nitrate (PPM)]]&gt;0.5, "2. Some evidence (0.5-1ppm)", IF(AllDataCorrected[[#This Row],[Nitrate (PPM)]]&gt;=0, "1. No evidence (&lt;0.5ppm)"))))</f>
        <v>4. Very high (&gt;2ppm)</v>
      </c>
      <c r="S770">
        <v>0.17</v>
      </c>
      <c r="T7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0">
        <v>0.76</v>
      </c>
    </row>
    <row r="771" spans="1:22" x14ac:dyDescent="0.25">
      <c r="A771" t="s">
        <v>1079</v>
      </c>
      <c r="B771" s="2">
        <v>45417</v>
      </c>
      <c r="C771" t="str" cm="1">
        <f t="array" ref="C7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1">
        <f>YEAR(AllDataCorrected[[#This Row],[Date]])</f>
        <v>2024</v>
      </c>
      <c r="E771" s="1">
        <v>0.58333333333333337</v>
      </c>
      <c r="F7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1" t="str">
        <f>_xlfn.XLOOKUP(AllDataCorrected[[#This Row],[Location Name]], Locations[Location Name],Locations[Group As])</f>
        <v>Clifford Chambers Mill Bridge</v>
      </c>
      <c r="H771" t="e" vm="2">
        <f>_xlfn.XLOOKUP(AllDataCorrected[[#This Row],[Site Name]],LocationsKey[Site Name],LocationsKey[District])</f>
        <v>#VALUE!</v>
      </c>
      <c r="I771" t="e" vm="12">
        <f>_xlfn.XLOOKUP(AllDataCorrected[[#This Row],[Site Name]],LocationsKey[Site Name],LocationsKey[Town])</f>
        <v>#VALUE!</v>
      </c>
      <c r="J771" t="str">
        <f>_xlfn.XLOOKUP(AllDataCorrected[[#This Row],[Site Name]],LocationsKey[Site Name], LocationsKey[Waterway])</f>
        <v>Stour</v>
      </c>
      <c r="K771" t="s">
        <v>263</v>
      </c>
      <c r="L771">
        <f>_xlfn.XLOOKUP(AllDataCorrected[[#This Row],[Site Name]],Tables!$B$12:$B$78, Tables!C$12:C$78)</f>
        <v>52.166358517241363</v>
      </c>
      <c r="M771">
        <f>_xlfn.XLOOKUP(AllDataCorrected[[#This Row],[Site Name]],Tables!$B$12:$B$78, Tables!D$12:D$78)</f>
        <v>-1.7080419310344837</v>
      </c>
      <c r="N771" t="s">
        <v>66</v>
      </c>
      <c r="O771">
        <v>616</v>
      </c>
      <c r="P771">
        <v>16</v>
      </c>
      <c r="Q771">
        <v>9</v>
      </c>
      <c r="R771" t="str">
        <f>IF(AllDataCorrected[[#This Row],[Nitrate (PPM)]]&gt;2, "4. Very high (&gt;2ppm)", IF(AllDataCorrected[[#This Row],[Nitrate (PPM)]]&gt;1, "3. High (1-2ppm)", IF(AllDataCorrected[[#This Row],[Nitrate (PPM)]]&gt;0.5, "2. Some evidence (0.5-1ppm)", IF(AllDataCorrected[[#This Row],[Nitrate (PPM)]]&gt;=0, "1. No evidence (&lt;0.5ppm)"))))</f>
        <v>4. Very high (&gt;2ppm)</v>
      </c>
      <c r="S771">
        <v>0.2</v>
      </c>
      <c r="T7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1">
        <v>0.8</v>
      </c>
    </row>
    <row r="772" spans="1:22" x14ac:dyDescent="0.25">
      <c r="A772" t="s">
        <v>1080</v>
      </c>
      <c r="B772" s="2">
        <v>45417</v>
      </c>
      <c r="C772" t="str" cm="1">
        <f t="array" ref="C7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2">
        <f>YEAR(AllDataCorrected[[#This Row],[Date]])</f>
        <v>2024</v>
      </c>
      <c r="E772" s="1">
        <v>0.63541666666666663</v>
      </c>
      <c r="F7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2" t="str">
        <f>_xlfn.XLOOKUP(AllDataCorrected[[#This Row],[Location Name]], Locations[Location Name],Locations[Group As])</f>
        <v>Bell Brook 1</v>
      </c>
      <c r="H772" t="e" vm="2">
        <f>_xlfn.XLOOKUP(AllDataCorrected[[#This Row],[Site Name]],LocationsKey[Site Name],LocationsKey[District])</f>
        <v>#VALUE!</v>
      </c>
      <c r="I772" t="e" vm="15">
        <f>_xlfn.XLOOKUP(AllDataCorrected[[#This Row],[Site Name]],LocationsKey[Site Name],LocationsKey[Town])</f>
        <v>#VALUE!</v>
      </c>
      <c r="J772" t="str">
        <f>_xlfn.XLOOKUP(AllDataCorrected[[#This Row],[Site Name]],LocationsKey[Site Name], LocationsKey[Waterway])</f>
        <v>Bell Brook</v>
      </c>
      <c r="K772" t="s">
        <v>534</v>
      </c>
      <c r="L772">
        <f>_xlfn.XLOOKUP(AllDataCorrected[[#This Row],[Site Name]],Tables!$B$12:$B$78, Tables!C$12:C$78)</f>
        <v>52.24489999999998</v>
      </c>
      <c r="M772">
        <f>_xlfn.XLOOKUP(AllDataCorrected[[#This Row],[Site Name]],Tables!$B$12:$B$78, Tables!D$12:D$78)</f>
        <v>-1.6617000000000013</v>
      </c>
      <c r="N772" t="s">
        <v>23</v>
      </c>
      <c r="O772">
        <v>702</v>
      </c>
      <c r="P772">
        <v>14.6</v>
      </c>
      <c r="Q772">
        <v>6</v>
      </c>
      <c r="R772" t="str">
        <f>IF(AllDataCorrected[[#This Row],[Nitrate (PPM)]]&gt;2, "4. Very high (&gt;2ppm)", IF(AllDataCorrected[[#This Row],[Nitrate (PPM)]]&gt;1, "3. High (1-2ppm)", IF(AllDataCorrected[[#This Row],[Nitrate (PPM)]]&gt;0.5, "2. Some evidence (0.5-1ppm)", IF(AllDataCorrected[[#This Row],[Nitrate (PPM)]]&gt;=0, "1. No evidence (&lt;0.5ppm)"))))</f>
        <v>4. Very high (&gt;2ppm)</v>
      </c>
      <c r="S772">
        <v>0.79</v>
      </c>
      <c r="T7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2">
        <v>0.1</v>
      </c>
    </row>
    <row r="773" spans="1:22" x14ac:dyDescent="0.25">
      <c r="A773" t="s">
        <v>1081</v>
      </c>
      <c r="B773" s="2">
        <v>45417</v>
      </c>
      <c r="C773" t="str" cm="1">
        <f t="array" ref="C7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3">
        <f>YEAR(AllDataCorrected[[#This Row],[Date]])</f>
        <v>2024</v>
      </c>
      <c r="E773" s="1">
        <v>0.66388888888888886</v>
      </c>
      <c r="F7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3" t="str">
        <f>_xlfn.XLOOKUP(AllDataCorrected[[#This Row],[Location Name]], Locations[Location Name],Locations[Group As])</f>
        <v>Sherbourne Brook 1</v>
      </c>
      <c r="H773" t="e" vm="2">
        <f>_xlfn.XLOOKUP(AllDataCorrected[[#This Row],[Site Name]],LocationsKey[Site Name],LocationsKey[District])</f>
        <v>#VALUE!</v>
      </c>
      <c r="I773" t="e" vm="16">
        <f>_xlfn.XLOOKUP(AllDataCorrected[[#This Row],[Site Name]],LocationsKey[Site Name],LocationsKey[Town])</f>
        <v>#VALUE!</v>
      </c>
      <c r="J773" t="str">
        <f>_xlfn.XLOOKUP(AllDataCorrected[[#This Row],[Site Name]],LocationsKey[Site Name], LocationsKey[Waterway])</f>
        <v>Sherbourne Brook</v>
      </c>
      <c r="K773" t="s">
        <v>570</v>
      </c>
      <c r="L773">
        <f>_xlfn.XLOOKUP(AllDataCorrected[[#This Row],[Site Name]],Tables!$B$12:$B$78, Tables!C$12:C$78)</f>
        <v>52.252500000000033</v>
      </c>
      <c r="M773">
        <f>_xlfn.XLOOKUP(AllDataCorrected[[#This Row],[Site Name]],Tables!$B$12:$B$78, Tables!D$12:D$78)</f>
        <v>-1.6685000000000012</v>
      </c>
      <c r="N773" t="s">
        <v>23</v>
      </c>
      <c r="O773">
        <v>1060</v>
      </c>
      <c r="P773">
        <v>14</v>
      </c>
      <c r="Q773">
        <v>8</v>
      </c>
      <c r="R773" t="str">
        <f>IF(AllDataCorrected[[#This Row],[Nitrate (PPM)]]&gt;2, "4. Very high (&gt;2ppm)", IF(AllDataCorrected[[#This Row],[Nitrate (PPM)]]&gt;1, "3. High (1-2ppm)", IF(AllDataCorrected[[#This Row],[Nitrate (PPM)]]&gt;0.5, "2. Some evidence (0.5-1ppm)", IF(AllDataCorrected[[#This Row],[Nitrate (PPM)]]&gt;=0, "1. No evidence (&lt;0.5ppm)"))))</f>
        <v>4. Very high (&gt;2ppm)</v>
      </c>
      <c r="S773">
        <v>0.39</v>
      </c>
      <c r="T7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3">
        <v>0.1</v>
      </c>
    </row>
    <row r="774" spans="1:22" x14ac:dyDescent="0.25">
      <c r="A774" t="s">
        <v>1082</v>
      </c>
      <c r="B774" s="2">
        <v>45417</v>
      </c>
      <c r="C774" t="str" cm="1">
        <f t="array" ref="C7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4">
        <f>YEAR(AllDataCorrected[[#This Row],[Date]])</f>
        <v>2024</v>
      </c>
      <c r="E774" s="1">
        <v>0.70138888888888884</v>
      </c>
      <c r="F7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4" t="str">
        <f>_xlfn.XLOOKUP(AllDataCorrected[[#This Row],[Location Name]], Locations[Location Name],Locations[Group As])</f>
        <v>Fell Mill Footbridge</v>
      </c>
      <c r="H774" t="e" vm="2">
        <f>_xlfn.XLOOKUP(AllDataCorrected[[#This Row],[Site Name]],LocationsKey[Site Name],LocationsKey[District])</f>
        <v>#VALUE!</v>
      </c>
      <c r="I774" t="e" vm="10">
        <f>_xlfn.XLOOKUP(AllDataCorrected[[#This Row],[Site Name]],LocationsKey[Site Name],LocationsKey[Town])</f>
        <v>#VALUE!</v>
      </c>
      <c r="J774" t="str">
        <f>_xlfn.XLOOKUP(AllDataCorrected[[#This Row],[Site Name]],LocationsKey[Site Name], LocationsKey[Waterway])</f>
        <v>Stour</v>
      </c>
      <c r="K774" t="s">
        <v>818</v>
      </c>
      <c r="L774">
        <f>_xlfn.XLOOKUP(AllDataCorrected[[#This Row],[Site Name]],Tables!$B$12:$B$78, Tables!C$12:C$78)</f>
        <v>52.067966827586183</v>
      </c>
      <c r="M774">
        <f>_xlfn.XLOOKUP(AllDataCorrected[[#This Row],[Site Name]],Tables!$B$12:$B$78, Tables!D$12:D$78)</f>
        <v>-1.6118101379310343</v>
      </c>
      <c r="N774" t="s">
        <v>29</v>
      </c>
      <c r="O774">
        <v>632</v>
      </c>
      <c r="P774">
        <v>13.3</v>
      </c>
      <c r="Q774">
        <v>5</v>
      </c>
      <c r="R774" t="str">
        <f>IF(AllDataCorrected[[#This Row],[Nitrate (PPM)]]&gt;2, "4. Very high (&gt;2ppm)", IF(AllDataCorrected[[#This Row],[Nitrate (PPM)]]&gt;1, "3. High (1-2ppm)", IF(AllDataCorrected[[#This Row],[Nitrate (PPM)]]&gt;0.5, "2. Some evidence (0.5-1ppm)", IF(AllDataCorrected[[#This Row],[Nitrate (PPM)]]&gt;=0, "1. No evidence (&lt;0.5ppm)"))))</f>
        <v>4. Very high (&gt;2ppm)</v>
      </c>
      <c r="S774">
        <v>0.31</v>
      </c>
      <c r="T7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4">
        <v>1.49</v>
      </c>
      <c r="V774" t="s">
        <v>1083</v>
      </c>
    </row>
    <row r="775" spans="1:22" x14ac:dyDescent="0.25">
      <c r="A775" t="s">
        <v>1803</v>
      </c>
      <c r="B775" s="2">
        <v>45417</v>
      </c>
      <c r="C775" t="str" cm="1">
        <f t="array" ref="C7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5">
        <f>YEAR(AllDataCorrected[[#This Row],[Date]])</f>
        <v>2024</v>
      </c>
      <c r="F77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5" t="str">
        <f>_xlfn.XLOOKUP(AllDataCorrected[[#This Row],[Location Name]], Locations[Location Name],Locations[Group As])</f>
        <v>Site 1  :  Middle Street</v>
      </c>
      <c r="H775" t="e" vm="2">
        <f>_xlfn.XLOOKUP(AllDataCorrected[[#This Row],[Site Name]],LocationsKey[Site Name],LocationsKey[District])</f>
        <v>#VALUE!</v>
      </c>
      <c r="I775" t="e" vm="11">
        <f>_xlfn.XLOOKUP(AllDataCorrected[[#This Row],[Site Name]],LocationsKey[Site Name],LocationsKey[Town])</f>
        <v>#VALUE!</v>
      </c>
      <c r="J775" t="str">
        <f>_xlfn.XLOOKUP(AllDataCorrected[[#This Row],[Site Name]],LocationsKey[Site Name], LocationsKey[Waterway])</f>
        <v>Fosseway Brook</v>
      </c>
      <c r="K775" t="s">
        <v>1859</v>
      </c>
      <c r="L775">
        <f>_xlfn.XLOOKUP(AllDataCorrected[[#This Row],[Site Name]],Tables!$B$12:$B$78, Tables!C$12:C$78)</f>
        <v>52.090077380952394</v>
      </c>
      <c r="M775">
        <f>_xlfn.XLOOKUP(AllDataCorrected[[#This Row],[Site Name]],Tables!$B$12:$B$78, Tables!D$12:D$78)</f>
        <v>-1.6926051666666673</v>
      </c>
      <c r="N775" t="s">
        <v>66</v>
      </c>
      <c r="O775">
        <v>603</v>
      </c>
      <c r="P775">
        <v>15.8</v>
      </c>
      <c r="Q775">
        <v>5</v>
      </c>
      <c r="R775" t="str">
        <f>IF(AllDataCorrected[[#This Row],[Nitrate (PPM)]]&gt;2, "4. Very high (&gt;2ppm)", IF(AllDataCorrected[[#This Row],[Nitrate (PPM)]]&gt;1, "3. High (1-2ppm)", IF(AllDataCorrected[[#This Row],[Nitrate (PPM)]]&gt;0.5, "2. Some evidence (0.5-1ppm)", IF(AllDataCorrected[[#This Row],[Nitrate (PPM)]]&gt;=0, "1. No evidence (&lt;0.5ppm)"))))</f>
        <v>4. Very high (&gt;2ppm)</v>
      </c>
      <c r="S775">
        <v>0.21</v>
      </c>
      <c r="T7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5">
        <v>0</v>
      </c>
      <c r="V775" t="s">
        <v>1909</v>
      </c>
    </row>
    <row r="776" spans="1:22" x14ac:dyDescent="0.25">
      <c r="A776" t="s">
        <v>1381</v>
      </c>
      <c r="B776" s="2">
        <v>45417</v>
      </c>
      <c r="C776" t="str" cm="1">
        <f t="array" ref="C7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6">
        <f>YEAR(AllDataCorrected[[#This Row],[Date]])</f>
        <v>2024</v>
      </c>
      <c r="F77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6" t="str">
        <f>_xlfn.XLOOKUP(AllDataCorrected[[#This Row],[Location Name]], Locations[Location Name],Locations[Group As])</f>
        <v>Site 1  :  Middle Street</v>
      </c>
      <c r="H776" t="e" vm="2">
        <f>_xlfn.XLOOKUP(AllDataCorrected[[#This Row],[Site Name]],LocationsKey[Site Name],LocationsKey[District])</f>
        <v>#VALUE!</v>
      </c>
      <c r="I776" t="e" vm="11">
        <f>_xlfn.XLOOKUP(AllDataCorrected[[#This Row],[Site Name]],LocationsKey[Site Name],LocationsKey[Town])</f>
        <v>#VALUE!</v>
      </c>
      <c r="J776" t="str">
        <f>_xlfn.XLOOKUP(AllDataCorrected[[#This Row],[Site Name]],LocationsKey[Site Name], LocationsKey[Waterway])</f>
        <v>Fosseway Brook</v>
      </c>
      <c r="K776" t="s">
        <v>1373</v>
      </c>
      <c r="L776">
        <f>_xlfn.XLOOKUP(AllDataCorrected[[#This Row],[Site Name]],Tables!$B$12:$B$78, Tables!C$12:C$78)</f>
        <v>52.090077380952394</v>
      </c>
      <c r="M776">
        <f>_xlfn.XLOOKUP(AllDataCorrected[[#This Row],[Site Name]],Tables!$B$12:$B$78, Tables!D$12:D$78)</f>
        <v>-1.6926051666666673</v>
      </c>
      <c r="N776" t="s">
        <v>66</v>
      </c>
      <c r="O776">
        <v>603</v>
      </c>
      <c r="P776">
        <v>15.8</v>
      </c>
      <c r="Q776">
        <v>5</v>
      </c>
      <c r="R776" t="str">
        <f>IF(AllDataCorrected[[#This Row],[Nitrate (PPM)]]&gt;2, "4. Very high (&gt;2ppm)", IF(AllDataCorrected[[#This Row],[Nitrate (PPM)]]&gt;1, "3. High (1-2ppm)", IF(AllDataCorrected[[#This Row],[Nitrate (PPM)]]&gt;0.5, "2. Some evidence (0.5-1ppm)", IF(AllDataCorrected[[#This Row],[Nitrate (PPM)]]&gt;=0, "1. No evidence (&lt;0.5ppm)"))))</f>
        <v>4. Very high (&gt;2ppm)</v>
      </c>
      <c r="S776">
        <v>0.21</v>
      </c>
      <c r="T7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77" spans="1:22" x14ac:dyDescent="0.25">
      <c r="A777" t="s">
        <v>1804</v>
      </c>
      <c r="B777" s="2">
        <v>45417</v>
      </c>
      <c r="C777" t="str" cm="1">
        <f t="array" ref="C7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7">
        <f>YEAR(AllDataCorrected[[#This Row],[Date]])</f>
        <v>2024</v>
      </c>
      <c r="F77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7" t="str">
        <f>_xlfn.XLOOKUP(AllDataCorrected[[#This Row],[Location Name]], Locations[Location Name],Locations[Group As])</f>
        <v>Site 2  :  Cross Leys culvert</v>
      </c>
      <c r="H777" t="e" vm="2">
        <f>_xlfn.XLOOKUP(AllDataCorrected[[#This Row],[Site Name]],LocationsKey[Site Name],LocationsKey[District])</f>
        <v>#VALUE!</v>
      </c>
      <c r="I777" t="e" vm="11">
        <f>_xlfn.XLOOKUP(AllDataCorrected[[#This Row],[Site Name]],LocationsKey[Site Name],LocationsKey[Town])</f>
        <v>#VALUE!</v>
      </c>
      <c r="J777" t="str">
        <f>_xlfn.XLOOKUP(AllDataCorrected[[#This Row],[Site Name]],LocationsKey[Site Name], LocationsKey[Waterway])</f>
        <v>Fosseway Brook</v>
      </c>
      <c r="K777" t="s">
        <v>1860</v>
      </c>
      <c r="L777">
        <f>_xlfn.XLOOKUP(AllDataCorrected[[#This Row],[Site Name]],Tables!$B$12:$B$78, Tables!C$12:C$78)</f>
        <v>52.092990199999988</v>
      </c>
      <c r="M777">
        <f>_xlfn.XLOOKUP(AllDataCorrected[[#This Row],[Site Name]],Tables!$B$12:$B$78, Tables!D$12:D$78)</f>
        <v>-1.6862810999999998</v>
      </c>
      <c r="N777" t="s">
        <v>66</v>
      </c>
      <c r="O777">
        <v>662</v>
      </c>
      <c r="P777">
        <v>17.3</v>
      </c>
      <c r="Q777">
        <v>5</v>
      </c>
      <c r="R777" t="str">
        <f>IF(AllDataCorrected[[#This Row],[Nitrate (PPM)]]&gt;2, "4. Very high (&gt;2ppm)", IF(AllDataCorrected[[#This Row],[Nitrate (PPM)]]&gt;1, "3. High (1-2ppm)", IF(AllDataCorrected[[#This Row],[Nitrate (PPM)]]&gt;0.5, "2. Some evidence (0.5-1ppm)", IF(AllDataCorrected[[#This Row],[Nitrate (PPM)]]&gt;=0, "1. No evidence (&lt;0.5ppm)"))))</f>
        <v>4. Very high (&gt;2ppm)</v>
      </c>
      <c r="S777">
        <v>0.46</v>
      </c>
      <c r="T7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7">
        <v>0</v>
      </c>
      <c r="V777" t="s">
        <v>1909</v>
      </c>
    </row>
    <row r="778" spans="1:22" x14ac:dyDescent="0.25">
      <c r="A778" t="s">
        <v>1380</v>
      </c>
      <c r="B778" s="2">
        <v>45417</v>
      </c>
      <c r="C778" t="str" cm="1">
        <f t="array" ref="C7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8">
        <f>YEAR(AllDataCorrected[[#This Row],[Date]])</f>
        <v>2024</v>
      </c>
      <c r="F7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8" t="str">
        <f>_xlfn.XLOOKUP(AllDataCorrected[[#This Row],[Location Name]], Locations[Location Name],Locations[Group As])</f>
        <v>Site 2  :  Cross Leys culvert</v>
      </c>
      <c r="H778" t="e" vm="2">
        <f>_xlfn.XLOOKUP(AllDataCorrected[[#This Row],[Site Name]],LocationsKey[Site Name],LocationsKey[District])</f>
        <v>#VALUE!</v>
      </c>
      <c r="I778" t="e" vm="11">
        <f>_xlfn.XLOOKUP(AllDataCorrected[[#This Row],[Site Name]],LocationsKey[Site Name],LocationsKey[Town])</f>
        <v>#VALUE!</v>
      </c>
      <c r="J778" t="str">
        <f>_xlfn.XLOOKUP(AllDataCorrected[[#This Row],[Site Name]],LocationsKey[Site Name], LocationsKey[Waterway])</f>
        <v>Fosseway Brook</v>
      </c>
      <c r="K778" t="s">
        <v>1371</v>
      </c>
      <c r="L778">
        <f>_xlfn.XLOOKUP(AllDataCorrected[[#This Row],[Site Name]],Tables!$B$12:$B$78, Tables!C$12:C$78)</f>
        <v>52.092990199999988</v>
      </c>
      <c r="M778">
        <f>_xlfn.XLOOKUP(AllDataCorrected[[#This Row],[Site Name]],Tables!$B$12:$B$78, Tables!D$12:D$78)</f>
        <v>-1.6862810999999998</v>
      </c>
      <c r="N778" t="s">
        <v>66</v>
      </c>
      <c r="O778">
        <v>662</v>
      </c>
      <c r="P778">
        <v>17.3</v>
      </c>
      <c r="Q778">
        <v>5</v>
      </c>
      <c r="R778" t="str">
        <f>IF(AllDataCorrected[[#This Row],[Nitrate (PPM)]]&gt;2, "4. Very high (&gt;2ppm)", IF(AllDataCorrected[[#This Row],[Nitrate (PPM)]]&gt;1, "3. High (1-2ppm)", IF(AllDataCorrected[[#This Row],[Nitrate (PPM)]]&gt;0.5, "2. Some evidence (0.5-1ppm)", IF(AllDataCorrected[[#This Row],[Nitrate (PPM)]]&gt;=0, "1. No evidence (&lt;0.5ppm)"))))</f>
        <v>4. Very high (&gt;2ppm)</v>
      </c>
      <c r="S778">
        <v>0.46</v>
      </c>
      <c r="T7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79" spans="1:22" x14ac:dyDescent="0.25">
      <c r="A779" t="s">
        <v>1805</v>
      </c>
      <c r="B779" s="2">
        <v>45417</v>
      </c>
      <c r="C779" t="str" cm="1">
        <f t="array" ref="C7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9">
        <f>YEAR(AllDataCorrected[[#This Row],[Date]])</f>
        <v>2024</v>
      </c>
      <c r="F7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9" t="str">
        <f>_xlfn.XLOOKUP(AllDataCorrected[[#This Row],[Location Name]], Locations[Location Name],Locations[Group As])</f>
        <v>Site 3  :  Severn Trent Water processing plant outflow</v>
      </c>
      <c r="H779" t="e" vm="2">
        <f>_xlfn.XLOOKUP(AllDataCorrected[[#This Row],[Site Name]],LocationsKey[Site Name],LocationsKey[District])</f>
        <v>#VALUE!</v>
      </c>
      <c r="I779" t="e" vm="11">
        <f>_xlfn.XLOOKUP(AllDataCorrected[[#This Row],[Site Name]],LocationsKey[Site Name],LocationsKey[Town])</f>
        <v>#VALUE!</v>
      </c>
      <c r="J779" t="str">
        <f>_xlfn.XLOOKUP(AllDataCorrected[[#This Row],[Site Name]],LocationsKey[Site Name], LocationsKey[Waterway])</f>
        <v>Fosseway Brook</v>
      </c>
      <c r="K779" t="s">
        <v>1861</v>
      </c>
      <c r="L779">
        <f>_xlfn.XLOOKUP(AllDataCorrected[[#This Row],[Site Name]],Tables!$B$12:$B$78, Tables!C$12:C$78)</f>
        <v>52.094341024390218</v>
      </c>
      <c r="M779">
        <f>_xlfn.XLOOKUP(AllDataCorrected[[#This Row],[Site Name]],Tables!$B$12:$B$78, Tables!D$12:D$78)</f>
        <v>-1.6731015853658531</v>
      </c>
      <c r="N779" t="s">
        <v>29</v>
      </c>
      <c r="O779">
        <v>830</v>
      </c>
      <c r="P779">
        <v>16.3</v>
      </c>
      <c r="Q779">
        <v>10</v>
      </c>
      <c r="R779" t="str">
        <f>IF(AllDataCorrected[[#This Row],[Nitrate (PPM)]]&gt;2, "4. Very high (&gt;2ppm)", IF(AllDataCorrected[[#This Row],[Nitrate (PPM)]]&gt;1, "3. High (1-2ppm)", IF(AllDataCorrected[[#This Row],[Nitrate (PPM)]]&gt;0.5, "2. Some evidence (0.5-1ppm)", IF(AllDataCorrected[[#This Row],[Nitrate (PPM)]]&gt;=0, "1. No evidence (&lt;0.5ppm)"))))</f>
        <v>4. Very high (&gt;2ppm)</v>
      </c>
      <c r="S779">
        <v>2.5</v>
      </c>
      <c r="T7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9">
        <v>0</v>
      </c>
      <c r="V779" t="s">
        <v>1910</v>
      </c>
    </row>
    <row r="780" spans="1:22" x14ac:dyDescent="0.25">
      <c r="A780" t="s">
        <v>1379</v>
      </c>
      <c r="B780" s="2">
        <v>45417</v>
      </c>
      <c r="C780" t="str" cm="1">
        <f t="array" ref="C7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0">
        <f>YEAR(AllDataCorrected[[#This Row],[Date]])</f>
        <v>2024</v>
      </c>
      <c r="F7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80" t="str">
        <f>_xlfn.XLOOKUP(AllDataCorrected[[#This Row],[Location Name]], Locations[Location Name],Locations[Group As])</f>
        <v>Site 3  :  Severn Trent Water processing plant outflow</v>
      </c>
      <c r="H780" t="e" vm="2">
        <f>_xlfn.XLOOKUP(AllDataCorrected[[#This Row],[Site Name]],LocationsKey[Site Name],LocationsKey[District])</f>
        <v>#VALUE!</v>
      </c>
      <c r="I780" t="e" vm="11">
        <f>_xlfn.XLOOKUP(AllDataCorrected[[#This Row],[Site Name]],LocationsKey[Site Name],LocationsKey[Town])</f>
        <v>#VALUE!</v>
      </c>
      <c r="J780" t="str">
        <f>_xlfn.XLOOKUP(AllDataCorrected[[#This Row],[Site Name]],LocationsKey[Site Name], LocationsKey[Waterway])</f>
        <v>Fosseway Brook</v>
      </c>
      <c r="K780" t="s">
        <v>1368</v>
      </c>
      <c r="L780">
        <f>_xlfn.XLOOKUP(AllDataCorrected[[#This Row],[Site Name]],Tables!$B$12:$B$78, Tables!C$12:C$78)</f>
        <v>52.094341024390218</v>
      </c>
      <c r="M780">
        <f>_xlfn.XLOOKUP(AllDataCorrected[[#This Row],[Site Name]],Tables!$B$12:$B$78, Tables!D$12:D$78)</f>
        <v>-1.6731015853658531</v>
      </c>
      <c r="N780" t="s">
        <v>29</v>
      </c>
      <c r="O780">
        <v>830</v>
      </c>
      <c r="P780">
        <v>16.3</v>
      </c>
      <c r="Q780">
        <v>10</v>
      </c>
      <c r="R780" t="str">
        <f>IF(AllDataCorrected[[#This Row],[Nitrate (PPM)]]&gt;2, "4. Very high (&gt;2ppm)", IF(AllDataCorrected[[#This Row],[Nitrate (PPM)]]&gt;1, "3. High (1-2ppm)", IF(AllDataCorrected[[#This Row],[Nitrate (PPM)]]&gt;0.5, "2. Some evidence (0.5-1ppm)", IF(AllDataCorrected[[#This Row],[Nitrate (PPM)]]&gt;=0, "1. No evidence (&lt;0.5ppm)"))))</f>
        <v>4. Very high (&gt;2ppm)</v>
      </c>
      <c r="S780">
        <v>2.5</v>
      </c>
      <c r="T7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81" spans="1:22" x14ac:dyDescent="0.25">
      <c r="A781" t="s">
        <v>1091</v>
      </c>
      <c r="B781" s="2">
        <v>45418</v>
      </c>
      <c r="C781" t="str" cm="1">
        <f t="array" ref="C7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1">
        <f>YEAR(AllDataCorrected[[#This Row],[Date]])</f>
        <v>2024</v>
      </c>
      <c r="E781" s="1">
        <v>6.3194444444444442E-2</v>
      </c>
      <c r="F7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81" t="str">
        <f>_xlfn.XLOOKUP(AllDataCorrected[[#This Row],[Location Name]], Locations[Location Name],Locations[Group As])</f>
        <v>The Ford, Langley</v>
      </c>
      <c r="H781" t="e" vm="2">
        <f>_xlfn.XLOOKUP(AllDataCorrected[[#This Row],[Site Name]],LocationsKey[Site Name],LocationsKey[District])</f>
        <v>#VALUE!</v>
      </c>
      <c r="I781" t="str">
        <f>_xlfn.XLOOKUP(AllDataCorrected[[#This Row],[Site Name]],LocationsKey[Site Name],LocationsKey[Town])</f>
        <v>Langley</v>
      </c>
      <c r="J781" t="str">
        <f>_xlfn.XLOOKUP(AllDataCorrected[[#This Row],[Site Name]],LocationsKey[Site Name], LocationsKey[Waterway])</f>
        <v>Langley Ford</v>
      </c>
      <c r="K781" t="s">
        <v>526</v>
      </c>
      <c r="L781">
        <f>_xlfn.XLOOKUP(AllDataCorrected[[#This Row],[Site Name]],Tables!$B$12:$B$78, Tables!C$12:C$78)</f>
        <v>52.261724821428579</v>
      </c>
      <c r="M781">
        <f>_xlfn.XLOOKUP(AllDataCorrected[[#This Row],[Site Name]],Tables!$B$12:$B$78, Tables!D$12:D$78)</f>
        <v>-1.719408857142857</v>
      </c>
      <c r="N781" t="s">
        <v>29</v>
      </c>
      <c r="O781">
        <v>737</v>
      </c>
      <c r="P781">
        <v>13.3</v>
      </c>
      <c r="Q781">
        <v>5</v>
      </c>
      <c r="R781" t="str">
        <f>IF(AllDataCorrected[[#This Row],[Nitrate (PPM)]]&gt;2, "4. Very high (&gt;2ppm)", IF(AllDataCorrected[[#This Row],[Nitrate (PPM)]]&gt;1, "3. High (1-2ppm)", IF(AllDataCorrected[[#This Row],[Nitrate (PPM)]]&gt;0.5, "2. Some evidence (0.5-1ppm)", IF(AllDataCorrected[[#This Row],[Nitrate (PPM)]]&gt;=0, "1. No evidence (&lt;0.5ppm)"))))</f>
        <v>4. Very high (&gt;2ppm)</v>
      </c>
      <c r="S781">
        <v>0.62</v>
      </c>
      <c r="T7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1">
        <v>0.2</v>
      </c>
    </row>
    <row r="782" spans="1:22" x14ac:dyDescent="0.25">
      <c r="A782" t="s">
        <v>1085</v>
      </c>
      <c r="B782" s="2">
        <v>45418</v>
      </c>
      <c r="C782" t="str" cm="1">
        <f t="array" ref="C7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2">
        <f>YEAR(AllDataCorrected[[#This Row],[Date]])</f>
        <v>2024</v>
      </c>
      <c r="E782" s="1">
        <v>0.44583333333333336</v>
      </c>
      <c r="F7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2" t="str">
        <f>_xlfn.XLOOKUP(AllDataCorrected[[#This Row],[Location Name]], Locations[Location Name],Locations[Group As])</f>
        <v>Stour Stretton-on-Fosse Village</v>
      </c>
      <c r="H782" t="e" vm="2">
        <f>_xlfn.XLOOKUP(AllDataCorrected[[#This Row],[Site Name]],LocationsKey[Site Name],LocationsKey[District])</f>
        <v>#VALUE!</v>
      </c>
      <c r="I782" t="e" vm="14">
        <f>_xlfn.XLOOKUP(AllDataCorrected[[#This Row],[Site Name]],LocationsKey[Site Name],LocationsKey[Town])</f>
        <v>#VALUE!</v>
      </c>
      <c r="J782" t="str">
        <f>_xlfn.XLOOKUP(AllDataCorrected[[#This Row],[Site Name]],LocationsKey[Site Name], LocationsKey[Waterway])</f>
        <v>Stour</v>
      </c>
      <c r="K782" t="s">
        <v>544</v>
      </c>
      <c r="L782">
        <f>_xlfn.XLOOKUP(AllDataCorrected[[#This Row],[Site Name]],Tables!$B$12:$B$78, Tables!C$12:C$78)</f>
        <v>52.046517558823524</v>
      </c>
      <c r="M782">
        <f>_xlfn.XLOOKUP(AllDataCorrected[[#This Row],[Site Name]],Tables!$B$12:$B$78, Tables!D$12:D$78)</f>
        <v>-1.6734143529411767</v>
      </c>
      <c r="N782" t="s">
        <v>66</v>
      </c>
      <c r="O782">
        <v>744</v>
      </c>
      <c r="P782">
        <v>12.7</v>
      </c>
      <c r="Q782">
        <v>2</v>
      </c>
      <c r="R782" t="str">
        <f>IF(AllDataCorrected[[#This Row],[Nitrate (PPM)]]&gt;2, "4. Very high (&gt;2ppm)", IF(AllDataCorrected[[#This Row],[Nitrate (PPM)]]&gt;1, "3. High (1-2ppm)", IF(AllDataCorrected[[#This Row],[Nitrate (PPM)]]&gt;0.5, "2. Some evidence (0.5-1ppm)", IF(AllDataCorrected[[#This Row],[Nitrate (PPM)]]&gt;=0, "1. No evidence (&lt;0.5ppm)"))))</f>
        <v>3. High (1-2ppm)</v>
      </c>
      <c r="S782">
        <v>1.72</v>
      </c>
      <c r="T7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2">
        <v>0.2</v>
      </c>
    </row>
    <row r="783" spans="1:22" x14ac:dyDescent="0.25">
      <c r="A783" t="s">
        <v>1086</v>
      </c>
      <c r="B783" s="2">
        <v>45418</v>
      </c>
      <c r="C783" t="str" cm="1">
        <f t="array" ref="C7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3">
        <f>YEAR(AllDataCorrected[[#This Row],[Date]])</f>
        <v>2024</v>
      </c>
      <c r="E783" s="1">
        <v>0.45555555555555555</v>
      </c>
      <c r="F7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3" t="str">
        <f>_xlfn.XLOOKUP(AllDataCorrected[[#This Row],[Location Name]], Locations[Location Name],Locations[Group As])</f>
        <v>Stour Stretton-on-Fosse Sewage Works</v>
      </c>
      <c r="H783" t="e" vm="2">
        <f>_xlfn.XLOOKUP(AllDataCorrected[[#This Row],[Site Name]],LocationsKey[Site Name],LocationsKey[District])</f>
        <v>#VALUE!</v>
      </c>
      <c r="I783" t="e" vm="14">
        <f>_xlfn.XLOOKUP(AllDataCorrected[[#This Row],[Site Name]],LocationsKey[Site Name],LocationsKey[Town])</f>
        <v>#VALUE!</v>
      </c>
      <c r="J783" t="str">
        <f>_xlfn.XLOOKUP(AllDataCorrected[[#This Row],[Site Name]],LocationsKey[Site Name], LocationsKey[Waterway])</f>
        <v>Stour</v>
      </c>
      <c r="K783" t="s">
        <v>335</v>
      </c>
      <c r="L783">
        <f>_xlfn.XLOOKUP(AllDataCorrected[[#This Row],[Site Name]],Tables!$B$12:$B$78, Tables!C$12:C$78)</f>
        <v>52.045653647058806</v>
      </c>
      <c r="M783">
        <f>_xlfn.XLOOKUP(AllDataCorrected[[#This Row],[Site Name]],Tables!$B$12:$B$78, Tables!D$12:D$78)</f>
        <v>-1.6719221470588235</v>
      </c>
      <c r="N783" t="s">
        <v>29</v>
      </c>
      <c r="O783">
        <v>778</v>
      </c>
      <c r="P783">
        <v>12.6</v>
      </c>
      <c r="Q783">
        <v>5</v>
      </c>
      <c r="R783" t="str">
        <f>IF(AllDataCorrected[[#This Row],[Nitrate (PPM)]]&gt;2, "4. Very high (&gt;2ppm)", IF(AllDataCorrected[[#This Row],[Nitrate (PPM)]]&gt;1, "3. High (1-2ppm)", IF(AllDataCorrected[[#This Row],[Nitrate (PPM)]]&gt;0.5, "2. Some evidence (0.5-1ppm)", IF(AllDataCorrected[[#This Row],[Nitrate (PPM)]]&gt;=0, "1. No evidence (&lt;0.5ppm)"))))</f>
        <v>4. Very high (&gt;2ppm)</v>
      </c>
      <c r="S783">
        <v>2.5</v>
      </c>
      <c r="T7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3">
        <v>0.25</v>
      </c>
      <c r="V783" t="s">
        <v>1087</v>
      </c>
    </row>
    <row r="784" spans="1:22" x14ac:dyDescent="0.25">
      <c r="A784" t="s">
        <v>1088</v>
      </c>
      <c r="B784" s="2">
        <v>45418</v>
      </c>
      <c r="C784" t="str" cm="1">
        <f t="array" ref="C7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4">
        <f>YEAR(AllDataCorrected[[#This Row],[Date]])</f>
        <v>2024</v>
      </c>
      <c r="E784" s="1">
        <v>0.53125</v>
      </c>
      <c r="F7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4" t="str">
        <f>_xlfn.XLOOKUP(AllDataCorrected[[#This Row],[Location Name]], Locations[Location Name],Locations[Group As])</f>
        <v>Mill Bridge Peopleton</v>
      </c>
      <c r="H784" t="e" vm="17">
        <f>_xlfn.XLOOKUP(AllDataCorrected[[#This Row],[Site Name]],LocationsKey[Site Name],LocationsKey[District])</f>
        <v>#VALUE!</v>
      </c>
      <c r="I784" t="str">
        <f>_xlfn.XLOOKUP(AllDataCorrected[[#This Row],[Site Name]],LocationsKey[Site Name],LocationsKey[Town])</f>
        <v>Peopleton</v>
      </c>
      <c r="J784" t="str">
        <f>_xlfn.XLOOKUP(AllDataCorrected[[#This Row],[Site Name]],LocationsKey[Site Name], LocationsKey[Waterway])</f>
        <v>Bow Brook</v>
      </c>
      <c r="K784" t="s">
        <v>921</v>
      </c>
      <c r="L784">
        <f>_xlfn.XLOOKUP(AllDataCorrected[[#This Row],[Site Name]],Tables!$B$12:$B$78, Tables!C$12:C$78)</f>
        <v>52.15202992857143</v>
      </c>
      <c r="M784">
        <f>_xlfn.XLOOKUP(AllDataCorrected[[#This Row],[Site Name]],Tables!$B$12:$B$78, Tables!D$12:D$78)</f>
        <v>-2.0954780000000004</v>
      </c>
      <c r="N784" t="s">
        <v>29</v>
      </c>
      <c r="O784">
        <v>940</v>
      </c>
      <c r="P784">
        <v>14.8</v>
      </c>
      <c r="Q784">
        <v>5</v>
      </c>
      <c r="R784" t="str">
        <f>IF(AllDataCorrected[[#This Row],[Nitrate (PPM)]]&gt;2, "4. Very high (&gt;2ppm)", IF(AllDataCorrected[[#This Row],[Nitrate (PPM)]]&gt;1, "3. High (1-2ppm)", IF(AllDataCorrected[[#This Row],[Nitrate (PPM)]]&gt;0.5, "2. Some evidence (0.5-1ppm)", IF(AllDataCorrected[[#This Row],[Nitrate (PPM)]]&gt;=0, "1. No evidence (&lt;0.5ppm)"))))</f>
        <v>4. Very high (&gt;2ppm)</v>
      </c>
      <c r="S784">
        <v>1.0900000000000001</v>
      </c>
      <c r="T7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4">
        <v>0.45</v>
      </c>
    </row>
    <row r="785" spans="1:22" x14ac:dyDescent="0.25">
      <c r="A785" t="s">
        <v>1089</v>
      </c>
      <c r="B785" s="2">
        <v>45418</v>
      </c>
      <c r="C785" t="str" cm="1">
        <f t="array" ref="C7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5">
        <f>YEAR(AllDataCorrected[[#This Row],[Date]])</f>
        <v>2024</v>
      </c>
      <c r="E785" s="1">
        <v>0.59722222222222221</v>
      </c>
      <c r="F7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5" t="str">
        <f>_xlfn.XLOOKUP(AllDataCorrected[[#This Row],[Location Name]], Locations[Location Name],Locations[Group As])</f>
        <v>Swiffen Bank</v>
      </c>
      <c r="H785" t="e" vm="2">
        <f>_xlfn.XLOOKUP(AllDataCorrected[[#This Row],[Site Name]],LocationsKey[Site Name],LocationsKey[District])</f>
        <v>#VALUE!</v>
      </c>
      <c r="I785" t="e" vm="13">
        <f>_xlfn.XLOOKUP(AllDataCorrected[[#This Row],[Site Name]],LocationsKey[Site Name],LocationsKey[Town])</f>
        <v>#VALUE!</v>
      </c>
      <c r="J785" t="str">
        <f>_xlfn.XLOOKUP(AllDataCorrected[[#This Row],[Site Name]],LocationsKey[Site Name], LocationsKey[Waterway])</f>
        <v>Avon</v>
      </c>
      <c r="K785" t="s">
        <v>284</v>
      </c>
      <c r="L785">
        <f>_xlfn.XLOOKUP(AllDataCorrected[[#This Row],[Site Name]],Tables!$B$12:$B$78, Tables!C$12:C$78)</f>
        <v>52.206446825000015</v>
      </c>
      <c r="M785">
        <f>_xlfn.XLOOKUP(AllDataCorrected[[#This Row],[Site Name]],Tables!$B$12:$B$78, Tables!D$12:D$78)</f>
        <v>-1.6541684000000003</v>
      </c>
      <c r="N785" t="s">
        <v>29</v>
      </c>
      <c r="O785">
        <v>656</v>
      </c>
      <c r="P785">
        <v>15.1</v>
      </c>
      <c r="Q785">
        <v>10</v>
      </c>
      <c r="R785" t="str">
        <f>IF(AllDataCorrected[[#This Row],[Nitrate (PPM)]]&gt;2, "4. Very high (&gt;2ppm)", IF(AllDataCorrected[[#This Row],[Nitrate (PPM)]]&gt;1, "3. High (1-2ppm)", IF(AllDataCorrected[[#This Row],[Nitrate (PPM)]]&gt;0.5, "2. Some evidence (0.5-1ppm)", IF(AllDataCorrected[[#This Row],[Nitrate (PPM)]]&gt;=0, "1. No evidence (&lt;0.5ppm)"))))</f>
        <v>4. Very high (&gt;2ppm)</v>
      </c>
      <c r="S785">
        <v>0.36</v>
      </c>
      <c r="T7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5">
        <v>0</v>
      </c>
      <c r="V785" t="s">
        <v>1090</v>
      </c>
    </row>
    <row r="786" spans="1:22" x14ac:dyDescent="0.25">
      <c r="A786" t="s">
        <v>1092</v>
      </c>
      <c r="B786" s="2">
        <v>45419</v>
      </c>
      <c r="C786" t="str" cm="1">
        <f t="array" ref="C7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6">
        <f>YEAR(AllDataCorrected[[#This Row],[Date]])</f>
        <v>2024</v>
      </c>
      <c r="E786" s="1">
        <v>0.61458333333333337</v>
      </c>
      <c r="F7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6" t="str">
        <f>_xlfn.XLOOKUP(AllDataCorrected[[#This Row],[Location Name]], Locations[Location Name],Locations[Group As])</f>
        <v>Abbey Mill</v>
      </c>
      <c r="H786" t="e" vm="1">
        <f>_xlfn.XLOOKUP(AllDataCorrected[[#This Row],[Site Name]],LocationsKey[Site Name],LocationsKey[District])</f>
        <v>#VALUE!</v>
      </c>
      <c r="I786" t="e" vm="1">
        <f>_xlfn.XLOOKUP(AllDataCorrected[[#This Row],[Site Name]],LocationsKey[Site Name],LocationsKey[Town])</f>
        <v>#VALUE!</v>
      </c>
      <c r="J786" t="str">
        <f>_xlfn.XLOOKUP(AllDataCorrected[[#This Row],[Site Name]],LocationsKey[Site Name], LocationsKey[Waterway])</f>
        <v>Avon</v>
      </c>
      <c r="K786" t="s">
        <v>25</v>
      </c>
      <c r="L786">
        <f>_xlfn.XLOOKUP(AllDataCorrected[[#This Row],[Site Name]],Tables!$B$12:$B$78, Tables!C$12:C$78)</f>
        <v>51.991389555555564</v>
      </c>
      <c r="M786">
        <f>_xlfn.XLOOKUP(AllDataCorrected[[#This Row],[Site Name]],Tables!$B$12:$B$78, Tables!D$12:D$78)</f>
        <v>-2.1620794000000005</v>
      </c>
      <c r="N786" t="s">
        <v>23</v>
      </c>
      <c r="O786">
        <v>742</v>
      </c>
      <c r="P786">
        <v>15.7</v>
      </c>
      <c r="Q786">
        <v>9</v>
      </c>
      <c r="R786" t="str">
        <f>IF(AllDataCorrected[[#This Row],[Nitrate (PPM)]]&gt;2, "4. Very high (&gt;2ppm)", IF(AllDataCorrected[[#This Row],[Nitrate (PPM)]]&gt;1, "3. High (1-2ppm)", IF(AllDataCorrected[[#This Row],[Nitrate (PPM)]]&gt;0.5, "2. Some evidence (0.5-1ppm)", IF(AllDataCorrected[[#This Row],[Nitrate (PPM)]]&gt;=0, "1. No evidence (&lt;0.5ppm)"))))</f>
        <v>4. Very high (&gt;2ppm)</v>
      </c>
      <c r="S786">
        <v>0.52</v>
      </c>
      <c r="T7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6">
        <v>0.8</v>
      </c>
      <c r="V786" t="s">
        <v>1093</v>
      </c>
    </row>
    <row r="787" spans="1:22" x14ac:dyDescent="0.25">
      <c r="A787" t="s">
        <v>1094</v>
      </c>
      <c r="B787" s="2">
        <v>45419</v>
      </c>
      <c r="C787" t="str" cm="1">
        <f t="array" ref="C7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7">
        <f>YEAR(AllDataCorrected[[#This Row],[Date]])</f>
        <v>2024</v>
      </c>
      <c r="E787" s="1">
        <v>0.62152777777777779</v>
      </c>
      <c r="F7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7" t="str">
        <f>_xlfn.XLOOKUP(AllDataCorrected[[#This Row],[Location Name]], Locations[Location Name],Locations[Group As])</f>
        <v>Alveston Weir</v>
      </c>
      <c r="H787" t="e" vm="2">
        <f>_xlfn.XLOOKUP(AllDataCorrected[[#This Row],[Site Name]],LocationsKey[Site Name],LocationsKey[District])</f>
        <v>#VALUE!</v>
      </c>
      <c r="I787" t="e" vm="13">
        <f>_xlfn.XLOOKUP(AllDataCorrected[[#This Row],[Site Name]],LocationsKey[Site Name],LocationsKey[Town])</f>
        <v>#VALUE!</v>
      </c>
      <c r="J787" t="str">
        <f>_xlfn.XLOOKUP(AllDataCorrected[[#This Row],[Site Name]],LocationsKey[Site Name], LocationsKey[Waterway])</f>
        <v>Avon</v>
      </c>
      <c r="K787" t="s">
        <v>286</v>
      </c>
      <c r="L787">
        <f>_xlfn.XLOOKUP(AllDataCorrected[[#This Row],[Site Name]],Tables!$B$12:$B$78, Tables!C$12:C$78)</f>
        <v>52.212366690476216</v>
      </c>
      <c r="M787">
        <f>_xlfn.XLOOKUP(AllDataCorrected[[#This Row],[Site Name]],Tables!$B$12:$B$78, Tables!D$12:D$78)</f>
        <v>-1.6602567619047619</v>
      </c>
      <c r="N787" t="s">
        <v>29</v>
      </c>
      <c r="O787">
        <v>630</v>
      </c>
      <c r="P787">
        <v>18.399999999999999</v>
      </c>
      <c r="Q787">
        <v>5</v>
      </c>
      <c r="R787" t="str">
        <f>IF(AllDataCorrected[[#This Row],[Nitrate (PPM)]]&gt;2, "4. Very high (&gt;2ppm)", IF(AllDataCorrected[[#This Row],[Nitrate (PPM)]]&gt;1, "3. High (1-2ppm)", IF(AllDataCorrected[[#This Row],[Nitrate (PPM)]]&gt;0.5, "2. Some evidence (0.5-1ppm)", IF(AllDataCorrected[[#This Row],[Nitrate (PPM)]]&gt;=0, "1. No evidence (&lt;0.5ppm)"))))</f>
        <v>4. Very high (&gt;2ppm)</v>
      </c>
      <c r="S787">
        <v>0.35</v>
      </c>
      <c r="T7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7">
        <v>0</v>
      </c>
      <c r="V787" t="s">
        <v>1095</v>
      </c>
    </row>
    <row r="788" spans="1:22" x14ac:dyDescent="0.25">
      <c r="A788" t="s">
        <v>1096</v>
      </c>
      <c r="B788" s="2">
        <v>45420</v>
      </c>
      <c r="C788" t="str" cm="1">
        <f t="array" ref="C7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8">
        <f>YEAR(AllDataCorrected[[#This Row],[Date]])</f>
        <v>2024</v>
      </c>
      <c r="E788" s="1">
        <v>0.37638888888888888</v>
      </c>
      <c r="F7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8" t="str">
        <f>_xlfn.XLOOKUP(AllDataCorrected[[#This Row],[Location Name]], Locations[Location Name],Locations[Group As])</f>
        <v>Carrant Mitton Path</v>
      </c>
      <c r="H788" t="e" vm="1">
        <f>_xlfn.XLOOKUP(AllDataCorrected[[#This Row],[Site Name]],LocationsKey[Site Name],LocationsKey[District])</f>
        <v>#VALUE!</v>
      </c>
      <c r="I788" t="e" vm="1">
        <f>_xlfn.XLOOKUP(AllDataCorrected[[#This Row],[Site Name]],LocationsKey[Site Name],LocationsKey[Town])</f>
        <v>#VALUE!</v>
      </c>
      <c r="J788" t="str">
        <f>_xlfn.XLOOKUP(AllDataCorrected[[#This Row],[Site Name]],LocationsKey[Site Name], LocationsKey[Waterway])</f>
        <v>Carrant</v>
      </c>
      <c r="K788" t="s">
        <v>1097</v>
      </c>
      <c r="L788">
        <f>_xlfn.XLOOKUP(AllDataCorrected[[#This Row],[Site Name]],Tables!$B$12:$B$78, Tables!C$12:C$78)</f>
        <v>51.999946066666674</v>
      </c>
      <c r="M788">
        <f>_xlfn.XLOOKUP(AllDataCorrected[[#This Row],[Site Name]],Tables!$B$12:$B$78, Tables!D$12:D$78)</f>
        <v>-2.1414862000000006</v>
      </c>
      <c r="N788" t="s">
        <v>23</v>
      </c>
      <c r="O788">
        <v>580</v>
      </c>
      <c r="P788">
        <v>15.8</v>
      </c>
      <c r="Q788">
        <v>8</v>
      </c>
      <c r="R788" t="str">
        <f>IF(AllDataCorrected[[#This Row],[Nitrate (PPM)]]&gt;2, "4. Very high (&gt;2ppm)", IF(AllDataCorrected[[#This Row],[Nitrate (PPM)]]&gt;1, "3. High (1-2ppm)", IF(AllDataCorrected[[#This Row],[Nitrate (PPM)]]&gt;0.5, "2. Some evidence (0.5-1ppm)", IF(AllDataCorrected[[#This Row],[Nitrate (PPM)]]&gt;=0, "1. No evidence (&lt;0.5ppm)"))))</f>
        <v>4. Very high (&gt;2ppm)</v>
      </c>
      <c r="S788">
        <v>0.73</v>
      </c>
      <c r="T7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8">
        <v>1.5</v>
      </c>
    </row>
    <row r="789" spans="1:22" x14ac:dyDescent="0.25">
      <c r="A789" t="s">
        <v>1098</v>
      </c>
      <c r="B789" s="2">
        <v>45420</v>
      </c>
      <c r="C789" t="str" cm="1">
        <f t="array" ref="C7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9">
        <f>YEAR(AllDataCorrected[[#This Row],[Date]])</f>
        <v>2024</v>
      </c>
      <c r="E789" s="1">
        <v>0.39166666666666666</v>
      </c>
      <c r="F7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9" t="str">
        <f>_xlfn.XLOOKUP(AllDataCorrected[[#This Row],[Location Name]], Locations[Location Name],Locations[Group As])</f>
        <v>Carrant M5 Bridge</v>
      </c>
      <c r="H789" t="e" vm="1">
        <f>_xlfn.XLOOKUP(AllDataCorrected[[#This Row],[Site Name]],LocationsKey[Site Name],LocationsKey[District])</f>
        <v>#VALUE!</v>
      </c>
      <c r="I789" t="e" vm="1">
        <f>_xlfn.XLOOKUP(AllDataCorrected[[#This Row],[Site Name]],LocationsKey[Site Name],LocationsKey[Town])</f>
        <v>#VALUE!</v>
      </c>
      <c r="J789" t="str">
        <f>_xlfn.XLOOKUP(AllDataCorrected[[#This Row],[Site Name]],LocationsKey[Site Name], LocationsKey[Waterway])</f>
        <v>Carrant</v>
      </c>
      <c r="K789" t="s">
        <v>960</v>
      </c>
      <c r="L789">
        <f>_xlfn.XLOOKUP(AllDataCorrected[[#This Row],[Site Name]],Tables!$B$12:$B$78, Tables!C$12:C$78)</f>
        <v>52.011600000000001</v>
      </c>
      <c r="M789">
        <f>_xlfn.XLOOKUP(AllDataCorrected[[#This Row],[Site Name]],Tables!$B$12:$B$78, Tables!D$12:D$78)</f>
        <v>-2.1206</v>
      </c>
      <c r="N789" t="s">
        <v>23</v>
      </c>
      <c r="O789">
        <v>648</v>
      </c>
      <c r="P789">
        <v>15</v>
      </c>
      <c r="Q789">
        <v>10</v>
      </c>
      <c r="R789" t="str">
        <f>IF(AllDataCorrected[[#This Row],[Nitrate (PPM)]]&gt;2, "4. Very high (&gt;2ppm)", IF(AllDataCorrected[[#This Row],[Nitrate (PPM)]]&gt;1, "3. High (1-2ppm)", IF(AllDataCorrected[[#This Row],[Nitrate (PPM)]]&gt;0.5, "2. Some evidence (0.5-1ppm)", IF(AllDataCorrected[[#This Row],[Nitrate (PPM)]]&gt;=0, "1. No evidence (&lt;0.5ppm)"))))</f>
        <v>4. Very high (&gt;2ppm)</v>
      </c>
      <c r="S789">
        <v>0.32</v>
      </c>
      <c r="T7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9">
        <v>1.5</v>
      </c>
    </row>
    <row r="790" spans="1:22" x14ac:dyDescent="0.25">
      <c r="A790" t="s">
        <v>1099</v>
      </c>
      <c r="B790" s="2">
        <v>45420</v>
      </c>
      <c r="C790" t="str" cm="1">
        <f t="array" ref="C7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0">
        <f>YEAR(AllDataCorrected[[#This Row],[Date]])</f>
        <v>2024</v>
      </c>
      <c r="E790" s="1">
        <v>0.51111111111111107</v>
      </c>
      <c r="F7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0" t="str">
        <f>_xlfn.XLOOKUP(AllDataCorrected[[#This Row],[Location Name]], Locations[Location Name],Locations[Group As])</f>
        <v>Twyning Fleet</v>
      </c>
      <c r="H790" t="e" vm="1">
        <f>_xlfn.XLOOKUP(AllDataCorrected[[#This Row],[Site Name]],LocationsKey[Site Name],LocationsKey[District])</f>
        <v>#VALUE!</v>
      </c>
      <c r="I790" t="str">
        <f>_xlfn.XLOOKUP(AllDataCorrected[[#This Row],[Site Name]],LocationsKey[Site Name],LocationsKey[Town])</f>
        <v>Twyning Green</v>
      </c>
      <c r="J790" t="str">
        <f>_xlfn.XLOOKUP(AllDataCorrected[[#This Row],[Site Name]],LocationsKey[Site Name], LocationsKey[Waterway])</f>
        <v>Avon</v>
      </c>
      <c r="K790" t="s">
        <v>54</v>
      </c>
      <c r="L790">
        <f>_xlfn.XLOOKUP(AllDataCorrected[[#This Row],[Site Name]],Tables!$B$12:$B$78, Tables!C$12:C$78)</f>
        <v>52.027190153846163</v>
      </c>
      <c r="M790">
        <f>_xlfn.XLOOKUP(AllDataCorrected[[#This Row],[Site Name]],Tables!$B$12:$B$78, Tables!D$12:D$78)</f>
        <v>-2.1406086923076924</v>
      </c>
      <c r="N790" t="s">
        <v>29</v>
      </c>
      <c r="O790">
        <v>8270</v>
      </c>
      <c r="P790">
        <v>18.3</v>
      </c>
      <c r="Q790">
        <v>5</v>
      </c>
      <c r="R790" t="str">
        <f>IF(AllDataCorrected[[#This Row],[Nitrate (PPM)]]&gt;2, "4. Very high (&gt;2ppm)", IF(AllDataCorrected[[#This Row],[Nitrate (PPM)]]&gt;1, "3. High (1-2ppm)", IF(AllDataCorrected[[#This Row],[Nitrate (PPM)]]&gt;0.5, "2. Some evidence (0.5-1ppm)", IF(AllDataCorrected[[#This Row],[Nitrate (PPM)]]&gt;=0, "1. No evidence (&lt;0.5ppm)"))))</f>
        <v>4. Very high (&gt;2ppm)</v>
      </c>
      <c r="S790">
        <v>0.76</v>
      </c>
      <c r="T7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0">
        <v>0</v>
      </c>
    </row>
    <row r="791" spans="1:22" x14ac:dyDescent="0.25">
      <c r="A791" t="s">
        <v>1100</v>
      </c>
      <c r="B791" s="2">
        <v>45420</v>
      </c>
      <c r="C791" t="str" cm="1">
        <f t="array" ref="C7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1">
        <f>YEAR(AllDataCorrected[[#This Row],[Date]])</f>
        <v>2024</v>
      </c>
      <c r="E791" s="1">
        <v>0.66666666666666663</v>
      </c>
      <c r="F7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1" t="str">
        <f>_xlfn.XLOOKUP(AllDataCorrected[[#This Row],[Location Name]], Locations[Location Name],Locations[Group As])</f>
        <v>Stour Newbold Mill</v>
      </c>
      <c r="H791" t="e" vm="2">
        <f>_xlfn.XLOOKUP(AllDataCorrected[[#This Row],[Site Name]],LocationsKey[Site Name],LocationsKey[District])</f>
        <v>#VALUE!</v>
      </c>
      <c r="I791" t="e" vm="8">
        <f>_xlfn.XLOOKUP(AllDataCorrected[[#This Row],[Site Name]],LocationsKey[Site Name],LocationsKey[Town])</f>
        <v>#VALUE!</v>
      </c>
      <c r="J791" t="str">
        <f>_xlfn.XLOOKUP(AllDataCorrected[[#This Row],[Site Name]],LocationsKey[Site Name], LocationsKey[Waterway])</f>
        <v>Stour</v>
      </c>
      <c r="K791" t="s">
        <v>140</v>
      </c>
      <c r="L791">
        <f>_xlfn.XLOOKUP(AllDataCorrected[[#This Row],[Site Name]],Tables!$B$12:$B$78, Tables!C$12:C$78)</f>
        <v>52.113052370370362</v>
      </c>
      <c r="M791">
        <f>_xlfn.XLOOKUP(AllDataCorrected[[#This Row],[Site Name]],Tables!$B$12:$B$78, Tables!D$12:D$78)</f>
        <v>-1.6333685185185185</v>
      </c>
      <c r="N791" t="s">
        <v>29</v>
      </c>
      <c r="O791">
        <v>672</v>
      </c>
      <c r="P791">
        <v>16.5</v>
      </c>
      <c r="Q791">
        <v>2</v>
      </c>
      <c r="R791" t="str">
        <f>IF(AllDataCorrected[[#This Row],[Nitrate (PPM)]]&gt;2, "4. Very high (&gt;2ppm)", IF(AllDataCorrected[[#This Row],[Nitrate (PPM)]]&gt;1, "3. High (1-2ppm)", IF(AllDataCorrected[[#This Row],[Nitrate (PPM)]]&gt;0.5, "2. Some evidence (0.5-1ppm)", IF(AllDataCorrected[[#This Row],[Nitrate (PPM)]]&gt;=0, "1. No evidence (&lt;0.5ppm)"))))</f>
        <v>3. High (1-2ppm)</v>
      </c>
      <c r="S791">
        <v>0.25</v>
      </c>
      <c r="T7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1">
        <v>2</v>
      </c>
      <c r="V791" t="s">
        <v>1101</v>
      </c>
    </row>
    <row r="792" spans="1:22" x14ac:dyDescent="0.25">
      <c r="A792" t="s">
        <v>1102</v>
      </c>
      <c r="B792" s="2">
        <v>45421</v>
      </c>
      <c r="C792" t="str" cm="1">
        <f t="array" ref="C7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2">
        <f>YEAR(AllDataCorrected[[#This Row],[Date]])</f>
        <v>2024</v>
      </c>
      <c r="E792" s="1">
        <v>0.3923611111111111</v>
      </c>
      <c r="F7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2" t="str">
        <f>_xlfn.XLOOKUP(AllDataCorrected[[#This Row],[Location Name]], Locations[Location Name],Locations[Group As])</f>
        <v>Swilgate</v>
      </c>
      <c r="H792" t="e" vm="1">
        <f>_xlfn.XLOOKUP(AllDataCorrected[[#This Row],[Site Name]],LocationsKey[Site Name],LocationsKey[District])</f>
        <v>#VALUE!</v>
      </c>
      <c r="I792" t="e" vm="1">
        <f>_xlfn.XLOOKUP(AllDataCorrected[[#This Row],[Site Name]],LocationsKey[Site Name],LocationsKey[Town])</f>
        <v>#VALUE!</v>
      </c>
      <c r="J792" t="str">
        <f>_xlfn.XLOOKUP(AllDataCorrected[[#This Row],[Site Name]],LocationsKey[Site Name], LocationsKey[Waterway])</f>
        <v>Swilgate</v>
      </c>
      <c r="K792" t="s">
        <v>84</v>
      </c>
      <c r="L792">
        <f>_xlfn.XLOOKUP(AllDataCorrected[[#This Row],[Site Name]],Tables!$B$12:$B$78, Tables!C$12:C$78)</f>
        <v>51.9885442</v>
      </c>
      <c r="M792">
        <f>_xlfn.XLOOKUP(AllDataCorrected[[#This Row],[Site Name]],Tables!$B$12:$B$78, Tables!D$12:D$78)</f>
        <v>-2.1639010000000001</v>
      </c>
      <c r="N792" t="s">
        <v>23</v>
      </c>
      <c r="O792">
        <v>831</v>
      </c>
      <c r="P792">
        <v>15.6</v>
      </c>
      <c r="Q792">
        <v>3</v>
      </c>
      <c r="R792" t="str">
        <f>IF(AllDataCorrected[[#This Row],[Nitrate (PPM)]]&gt;2, "4. Very high (&gt;2ppm)", IF(AllDataCorrected[[#This Row],[Nitrate (PPM)]]&gt;1, "3. High (1-2ppm)", IF(AllDataCorrected[[#This Row],[Nitrate (PPM)]]&gt;0.5, "2. Some evidence (0.5-1ppm)", IF(AllDataCorrected[[#This Row],[Nitrate (PPM)]]&gt;=0, "1. No evidence (&lt;0.5ppm)"))))</f>
        <v>4. Very high (&gt;2ppm)</v>
      </c>
      <c r="S792">
        <v>0.45</v>
      </c>
      <c r="T7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2">
        <v>0</v>
      </c>
    </row>
    <row r="793" spans="1:22" x14ac:dyDescent="0.25">
      <c r="A793" t="s">
        <v>1103</v>
      </c>
      <c r="B793" s="2">
        <v>45421</v>
      </c>
      <c r="C793" t="str" cm="1">
        <f t="array" ref="C7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3">
        <f>YEAR(AllDataCorrected[[#This Row],[Date]])</f>
        <v>2024</v>
      </c>
      <c r="E793" s="1">
        <v>0.45833333333333331</v>
      </c>
      <c r="F7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3" t="str">
        <f>_xlfn.XLOOKUP(AllDataCorrected[[#This Row],[Location Name]], Locations[Location Name],Locations[Group As])</f>
        <v>Stour Willington</v>
      </c>
      <c r="H793" t="e" vm="2">
        <f>_xlfn.XLOOKUP(AllDataCorrected[[#This Row],[Site Name]],LocationsKey[Site Name],LocationsKey[District])</f>
        <v>#VALUE!</v>
      </c>
      <c r="I793" t="str">
        <f>_xlfn.XLOOKUP(AllDataCorrected[[#This Row],[Site Name]],LocationsKey[Site Name],LocationsKey[Town])</f>
        <v>Willington</v>
      </c>
      <c r="J793" t="str">
        <f>_xlfn.XLOOKUP(AllDataCorrected[[#This Row],[Site Name]],LocationsKey[Site Name], LocationsKey[Waterway])</f>
        <v>Stour</v>
      </c>
      <c r="K793" t="s">
        <v>517</v>
      </c>
      <c r="L793">
        <f>_xlfn.XLOOKUP(AllDataCorrected[[#This Row],[Site Name]],Tables!$B$12:$B$78, Tables!C$12:C$78)</f>
        <v>52.053154375000005</v>
      </c>
      <c r="M793">
        <f>_xlfn.XLOOKUP(AllDataCorrected[[#This Row],[Site Name]],Tables!$B$12:$B$78, Tables!D$12:D$78)</f>
        <v>-1.6191991562500001</v>
      </c>
      <c r="N793" t="s">
        <v>23</v>
      </c>
      <c r="O793">
        <v>646</v>
      </c>
      <c r="P793">
        <v>16.100000000000001</v>
      </c>
      <c r="Q793">
        <v>5</v>
      </c>
      <c r="R793" t="str">
        <f>IF(AllDataCorrected[[#This Row],[Nitrate (PPM)]]&gt;2, "4. Very high (&gt;2ppm)", IF(AllDataCorrected[[#This Row],[Nitrate (PPM)]]&gt;1, "3. High (1-2ppm)", IF(AllDataCorrected[[#This Row],[Nitrate (PPM)]]&gt;0.5, "2. Some evidence (0.5-1ppm)", IF(AllDataCorrected[[#This Row],[Nitrate (PPM)]]&gt;=0, "1. No evidence (&lt;0.5ppm)"))))</f>
        <v>4. Very high (&gt;2ppm)</v>
      </c>
      <c r="S793">
        <v>0.22</v>
      </c>
      <c r="T7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3">
        <v>0.5</v>
      </c>
    </row>
    <row r="794" spans="1:22" x14ac:dyDescent="0.25">
      <c r="A794" t="s">
        <v>1104</v>
      </c>
      <c r="B794" s="2">
        <v>45421</v>
      </c>
      <c r="C794" t="str" cm="1">
        <f t="array" ref="C7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4">
        <f>YEAR(AllDataCorrected[[#This Row],[Date]])</f>
        <v>2024</v>
      </c>
      <c r="E794" s="1">
        <v>0.74652777777777779</v>
      </c>
      <c r="F7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4" t="str">
        <f>_xlfn.XLOOKUP(AllDataCorrected[[#This Row],[Location Name]], Locations[Location Name],Locations[Group As])</f>
        <v>Preston-on-Stour River Bridge</v>
      </c>
      <c r="H794" t="e" vm="2">
        <f>_xlfn.XLOOKUP(AllDataCorrected[[#This Row],[Site Name]],LocationsKey[Site Name],LocationsKey[District])</f>
        <v>#VALUE!</v>
      </c>
      <c r="I794" t="e" vm="9">
        <f>_xlfn.XLOOKUP(AllDataCorrected[[#This Row],[Site Name]],LocationsKey[Site Name],LocationsKey[Town])</f>
        <v>#VALUE!</v>
      </c>
      <c r="J794" t="str">
        <f>_xlfn.XLOOKUP(AllDataCorrected[[#This Row],[Site Name]],LocationsKey[Site Name], LocationsKey[Waterway])</f>
        <v>Stour</v>
      </c>
      <c r="K794" t="s">
        <v>163</v>
      </c>
      <c r="L794">
        <f>_xlfn.XLOOKUP(AllDataCorrected[[#This Row],[Site Name]],Tables!$B$12:$B$78, Tables!C$12:C$78)</f>
        <v>52.146529500000007</v>
      </c>
      <c r="M794">
        <f>_xlfn.XLOOKUP(AllDataCorrected[[#This Row],[Site Name]],Tables!$B$12:$B$78, Tables!D$12:D$78)</f>
        <v>-1.6996899999999999</v>
      </c>
      <c r="N794" t="s">
        <v>29</v>
      </c>
      <c r="O794">
        <v>706</v>
      </c>
      <c r="P794">
        <v>15.6</v>
      </c>
      <c r="Q794">
        <v>4</v>
      </c>
      <c r="R794" t="str">
        <f>IF(AllDataCorrected[[#This Row],[Nitrate (PPM)]]&gt;2, "4. Very high (&gt;2ppm)", IF(AllDataCorrected[[#This Row],[Nitrate (PPM)]]&gt;1, "3. High (1-2ppm)", IF(AllDataCorrected[[#This Row],[Nitrate (PPM)]]&gt;0.5, "2. Some evidence (0.5-1ppm)", IF(AllDataCorrected[[#This Row],[Nitrate (PPM)]]&gt;=0, "1. No evidence (&lt;0.5ppm)"))))</f>
        <v>4. Very high (&gt;2ppm)</v>
      </c>
      <c r="S794">
        <v>0.34</v>
      </c>
      <c r="T7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4">
        <v>1.5</v>
      </c>
      <c r="V794" t="s">
        <v>1105</v>
      </c>
    </row>
    <row r="795" spans="1:22" x14ac:dyDescent="0.25">
      <c r="A795" t="s">
        <v>1106</v>
      </c>
      <c r="B795" s="2">
        <v>45422</v>
      </c>
      <c r="C795" t="str" cm="1">
        <f t="array" ref="C7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5">
        <f>YEAR(AllDataCorrected[[#This Row],[Date]])</f>
        <v>2024</v>
      </c>
      <c r="E795" s="1">
        <v>0.34930555555555554</v>
      </c>
      <c r="F7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5" t="str">
        <f>_xlfn.XLOOKUP(AllDataCorrected[[#This Row],[Location Name]], Locations[Location Name],Locations[Group As])</f>
        <v>Lower Lode</v>
      </c>
      <c r="H795" t="e" vm="1">
        <f>_xlfn.XLOOKUP(AllDataCorrected[[#This Row],[Site Name]],LocationsKey[Site Name],LocationsKey[District])</f>
        <v>#VALUE!</v>
      </c>
      <c r="I795" t="e" vm="1">
        <f>_xlfn.XLOOKUP(AllDataCorrected[[#This Row],[Site Name]],LocationsKey[Site Name],LocationsKey[Town])</f>
        <v>#VALUE!</v>
      </c>
      <c r="J795" t="str">
        <f>_xlfn.XLOOKUP(AllDataCorrected[[#This Row],[Site Name]],LocationsKey[Site Name], LocationsKey[Waterway])</f>
        <v>Avon</v>
      </c>
      <c r="K795" t="s">
        <v>592</v>
      </c>
      <c r="L795">
        <f>_xlfn.XLOOKUP(AllDataCorrected[[#This Row],[Site Name]],Tables!$B$12:$B$78, Tables!C$12:C$78)</f>
        <v>51.984954782608689</v>
      </c>
      <c r="M795">
        <f>_xlfn.XLOOKUP(AllDataCorrected[[#This Row],[Site Name]],Tables!$B$12:$B$78, Tables!D$12:D$78)</f>
        <v>-2.1744283478260868</v>
      </c>
      <c r="N795" t="s">
        <v>29</v>
      </c>
      <c r="O795">
        <v>8750</v>
      </c>
      <c r="P795">
        <v>17.7</v>
      </c>
      <c r="Q795">
        <v>10</v>
      </c>
      <c r="R795" t="str">
        <f>IF(AllDataCorrected[[#This Row],[Nitrate (PPM)]]&gt;2, "4. Very high (&gt;2ppm)", IF(AllDataCorrected[[#This Row],[Nitrate (PPM)]]&gt;1, "3. High (1-2ppm)", IF(AllDataCorrected[[#This Row],[Nitrate (PPM)]]&gt;0.5, "2. Some evidence (0.5-1ppm)", IF(AllDataCorrected[[#This Row],[Nitrate (PPM)]]&gt;=0, "1. No evidence (&lt;0.5ppm)"))))</f>
        <v>4. Very high (&gt;2ppm)</v>
      </c>
      <c r="S795">
        <v>0.32</v>
      </c>
      <c r="T7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5">
        <v>1</v>
      </c>
    </row>
    <row r="796" spans="1:22" x14ac:dyDescent="0.25">
      <c r="A796" t="s">
        <v>1773</v>
      </c>
      <c r="B796" s="2">
        <v>45422</v>
      </c>
      <c r="C796" t="str" cm="1">
        <f t="array" ref="C7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6">
        <f>YEAR(AllDataCorrected[[#This Row],[Date]])</f>
        <v>2024</v>
      </c>
      <c r="F7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6" t="str">
        <f>_xlfn.XLOOKUP(AllDataCorrected[[#This Row],[Location Name]], Locations[Location Name],Locations[Group As])</f>
        <v>Site 1  :  Middle Street</v>
      </c>
      <c r="H796" t="e" vm="2">
        <f>_xlfn.XLOOKUP(AllDataCorrected[[#This Row],[Site Name]],LocationsKey[Site Name],LocationsKey[District])</f>
        <v>#VALUE!</v>
      </c>
      <c r="I796" t="e" vm="11">
        <f>_xlfn.XLOOKUP(AllDataCorrected[[#This Row],[Site Name]],LocationsKey[Site Name],LocationsKey[Town])</f>
        <v>#VALUE!</v>
      </c>
      <c r="J796" t="str">
        <f>_xlfn.XLOOKUP(AllDataCorrected[[#This Row],[Site Name]],LocationsKey[Site Name], LocationsKey[Waterway])</f>
        <v>Fosseway Brook</v>
      </c>
      <c r="K796" t="s">
        <v>1859</v>
      </c>
      <c r="L796">
        <f>_xlfn.XLOOKUP(AllDataCorrected[[#This Row],[Site Name]],Tables!$B$12:$B$78, Tables!C$12:C$78)</f>
        <v>52.090077380952394</v>
      </c>
      <c r="M796">
        <f>_xlfn.XLOOKUP(AllDataCorrected[[#This Row],[Site Name]],Tables!$B$12:$B$78, Tables!D$12:D$78)</f>
        <v>-1.6926051666666673</v>
      </c>
      <c r="N796" t="s">
        <v>66</v>
      </c>
      <c r="O796">
        <v>576</v>
      </c>
      <c r="P796">
        <v>20.399999999999999</v>
      </c>
      <c r="Q796">
        <v>3.5</v>
      </c>
      <c r="R796" t="str">
        <f>IF(AllDataCorrected[[#This Row],[Nitrate (PPM)]]&gt;2, "4. Very high (&gt;2ppm)", IF(AllDataCorrected[[#This Row],[Nitrate (PPM)]]&gt;1, "3. High (1-2ppm)", IF(AllDataCorrected[[#This Row],[Nitrate (PPM)]]&gt;0.5, "2. Some evidence (0.5-1ppm)", IF(AllDataCorrected[[#This Row],[Nitrate (PPM)]]&gt;=0, "1. No evidence (&lt;0.5ppm)"))))</f>
        <v>4. Very high (&gt;2ppm)</v>
      </c>
      <c r="S796">
        <v>0.09</v>
      </c>
      <c r="T796"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796">
        <v>0</v>
      </c>
      <c r="V796" t="s">
        <v>1909</v>
      </c>
    </row>
    <row r="797" spans="1:22" x14ac:dyDescent="0.25">
      <c r="A797" t="s">
        <v>1421</v>
      </c>
      <c r="B797" s="2">
        <v>45422</v>
      </c>
      <c r="C797" t="str" cm="1">
        <f t="array" ref="C7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7">
        <f>YEAR(AllDataCorrected[[#This Row],[Date]])</f>
        <v>2024</v>
      </c>
      <c r="F7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7" t="str">
        <f>_xlfn.XLOOKUP(AllDataCorrected[[#This Row],[Location Name]], Locations[Location Name],Locations[Group As])</f>
        <v>Site 1  :  Middle Street</v>
      </c>
      <c r="H797" t="e" vm="2">
        <f>_xlfn.XLOOKUP(AllDataCorrected[[#This Row],[Site Name]],LocationsKey[Site Name],LocationsKey[District])</f>
        <v>#VALUE!</v>
      </c>
      <c r="I797" t="e" vm="11">
        <f>_xlfn.XLOOKUP(AllDataCorrected[[#This Row],[Site Name]],LocationsKey[Site Name],LocationsKey[Town])</f>
        <v>#VALUE!</v>
      </c>
      <c r="J797" t="str">
        <f>_xlfn.XLOOKUP(AllDataCorrected[[#This Row],[Site Name]],LocationsKey[Site Name], LocationsKey[Waterway])</f>
        <v>Fosseway Brook</v>
      </c>
      <c r="K797" t="s">
        <v>1373</v>
      </c>
      <c r="L797">
        <f>_xlfn.XLOOKUP(AllDataCorrected[[#This Row],[Site Name]],Tables!$B$12:$B$78, Tables!C$12:C$78)</f>
        <v>52.090077380952394</v>
      </c>
      <c r="M797">
        <f>_xlfn.XLOOKUP(AllDataCorrected[[#This Row],[Site Name]],Tables!$B$12:$B$78, Tables!D$12:D$78)</f>
        <v>-1.6926051666666673</v>
      </c>
      <c r="N797" t="s">
        <v>66</v>
      </c>
      <c r="O797">
        <v>576</v>
      </c>
      <c r="P797">
        <v>20.399999999999999</v>
      </c>
      <c r="Q797">
        <v>3.5</v>
      </c>
      <c r="R797" t="str">
        <f>IF(AllDataCorrected[[#This Row],[Nitrate (PPM)]]&gt;2, "4. Very high (&gt;2ppm)", IF(AllDataCorrected[[#This Row],[Nitrate (PPM)]]&gt;1, "3. High (1-2ppm)", IF(AllDataCorrected[[#This Row],[Nitrate (PPM)]]&gt;0.5, "2. Some evidence (0.5-1ppm)", IF(AllDataCorrected[[#This Row],[Nitrate (PPM)]]&gt;=0, "1. No evidence (&lt;0.5ppm)"))))</f>
        <v>4. Very high (&gt;2ppm)</v>
      </c>
      <c r="S797">
        <v>0.09</v>
      </c>
      <c r="T797"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798" spans="1:22" x14ac:dyDescent="0.25">
      <c r="A798" t="s">
        <v>1774</v>
      </c>
      <c r="B798" s="2">
        <v>45422</v>
      </c>
      <c r="C798" t="str" cm="1">
        <f t="array" ref="C7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8">
        <f>YEAR(AllDataCorrected[[#This Row],[Date]])</f>
        <v>2024</v>
      </c>
      <c r="F7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8" t="str">
        <f>_xlfn.XLOOKUP(AllDataCorrected[[#This Row],[Location Name]], Locations[Location Name],Locations[Group As])</f>
        <v>Site 2  :  Cross Leys culvert</v>
      </c>
      <c r="H798" t="e" vm="2">
        <f>_xlfn.XLOOKUP(AllDataCorrected[[#This Row],[Site Name]],LocationsKey[Site Name],LocationsKey[District])</f>
        <v>#VALUE!</v>
      </c>
      <c r="I798" t="e" vm="11">
        <f>_xlfn.XLOOKUP(AllDataCorrected[[#This Row],[Site Name]],LocationsKey[Site Name],LocationsKey[Town])</f>
        <v>#VALUE!</v>
      </c>
      <c r="J798" t="str">
        <f>_xlfn.XLOOKUP(AllDataCorrected[[#This Row],[Site Name]],LocationsKey[Site Name], LocationsKey[Waterway])</f>
        <v>Fosseway Brook</v>
      </c>
      <c r="K798" t="s">
        <v>1860</v>
      </c>
      <c r="L798">
        <f>_xlfn.XLOOKUP(AllDataCorrected[[#This Row],[Site Name]],Tables!$B$12:$B$78, Tables!C$12:C$78)</f>
        <v>52.092990199999988</v>
      </c>
      <c r="M798">
        <f>_xlfn.XLOOKUP(AllDataCorrected[[#This Row],[Site Name]],Tables!$B$12:$B$78, Tables!D$12:D$78)</f>
        <v>-1.6862810999999998</v>
      </c>
      <c r="N798" t="s">
        <v>66</v>
      </c>
      <c r="O798">
        <v>616</v>
      </c>
      <c r="P798">
        <v>19.600000000000001</v>
      </c>
      <c r="Q798">
        <v>3.5</v>
      </c>
      <c r="R798" t="str">
        <f>IF(AllDataCorrected[[#This Row],[Nitrate (PPM)]]&gt;2, "4. Very high (&gt;2ppm)", IF(AllDataCorrected[[#This Row],[Nitrate (PPM)]]&gt;1, "3. High (1-2ppm)", IF(AllDataCorrected[[#This Row],[Nitrate (PPM)]]&gt;0.5, "2. Some evidence (0.5-1ppm)", IF(AllDataCorrected[[#This Row],[Nitrate (PPM)]]&gt;=0, "1. No evidence (&lt;0.5ppm)"))))</f>
        <v>4. Very high (&gt;2ppm)</v>
      </c>
      <c r="S798">
        <v>0.7</v>
      </c>
      <c r="T7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8">
        <v>0</v>
      </c>
      <c r="V798" t="s">
        <v>1910</v>
      </c>
    </row>
    <row r="799" spans="1:22" x14ac:dyDescent="0.25">
      <c r="A799" t="s">
        <v>1420</v>
      </c>
      <c r="B799" s="2">
        <v>45422</v>
      </c>
      <c r="C799" t="str" cm="1">
        <f t="array" ref="C7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9">
        <f>YEAR(AllDataCorrected[[#This Row],[Date]])</f>
        <v>2024</v>
      </c>
      <c r="F7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9" t="str">
        <f>_xlfn.XLOOKUP(AllDataCorrected[[#This Row],[Location Name]], Locations[Location Name],Locations[Group As])</f>
        <v>Site 2  :  Cross Leys culvert</v>
      </c>
      <c r="H799" t="e" vm="2">
        <f>_xlfn.XLOOKUP(AllDataCorrected[[#This Row],[Site Name]],LocationsKey[Site Name],LocationsKey[District])</f>
        <v>#VALUE!</v>
      </c>
      <c r="I799" t="e" vm="11">
        <f>_xlfn.XLOOKUP(AllDataCorrected[[#This Row],[Site Name]],LocationsKey[Site Name],LocationsKey[Town])</f>
        <v>#VALUE!</v>
      </c>
      <c r="J799" t="str">
        <f>_xlfn.XLOOKUP(AllDataCorrected[[#This Row],[Site Name]],LocationsKey[Site Name], LocationsKey[Waterway])</f>
        <v>Fosseway Brook</v>
      </c>
      <c r="K799" t="s">
        <v>1371</v>
      </c>
      <c r="L799">
        <f>_xlfn.XLOOKUP(AllDataCorrected[[#This Row],[Site Name]],Tables!$B$12:$B$78, Tables!C$12:C$78)</f>
        <v>52.092990199999988</v>
      </c>
      <c r="M799">
        <f>_xlfn.XLOOKUP(AllDataCorrected[[#This Row],[Site Name]],Tables!$B$12:$B$78, Tables!D$12:D$78)</f>
        <v>-1.6862810999999998</v>
      </c>
      <c r="N799" t="s">
        <v>66</v>
      </c>
      <c r="O799">
        <v>616</v>
      </c>
      <c r="P799">
        <v>19.600000000000001</v>
      </c>
      <c r="Q799">
        <v>3.5</v>
      </c>
      <c r="R799" t="str">
        <f>IF(AllDataCorrected[[#This Row],[Nitrate (PPM)]]&gt;2, "4. Very high (&gt;2ppm)", IF(AllDataCorrected[[#This Row],[Nitrate (PPM)]]&gt;1, "3. High (1-2ppm)", IF(AllDataCorrected[[#This Row],[Nitrate (PPM)]]&gt;0.5, "2. Some evidence (0.5-1ppm)", IF(AllDataCorrected[[#This Row],[Nitrate (PPM)]]&gt;=0, "1. No evidence (&lt;0.5ppm)"))))</f>
        <v>4. Very high (&gt;2ppm)</v>
      </c>
      <c r="S799">
        <v>0.7</v>
      </c>
      <c r="T7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00" spans="1:22" x14ac:dyDescent="0.25">
      <c r="A800" t="s">
        <v>1775</v>
      </c>
      <c r="B800" s="2">
        <v>45422</v>
      </c>
      <c r="C800" t="str" cm="1">
        <f t="array" ref="C8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0">
        <f>YEAR(AllDataCorrected[[#This Row],[Date]])</f>
        <v>2024</v>
      </c>
      <c r="F8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00" t="str">
        <f>_xlfn.XLOOKUP(AllDataCorrected[[#This Row],[Location Name]], Locations[Location Name],Locations[Group As])</f>
        <v>Site 3  :  Severn Trent Water processing plant outflow</v>
      </c>
      <c r="H800" t="e" vm="2">
        <f>_xlfn.XLOOKUP(AllDataCorrected[[#This Row],[Site Name]],LocationsKey[Site Name],LocationsKey[District])</f>
        <v>#VALUE!</v>
      </c>
      <c r="I800" t="e" vm="11">
        <f>_xlfn.XLOOKUP(AllDataCorrected[[#This Row],[Site Name]],LocationsKey[Site Name],LocationsKey[Town])</f>
        <v>#VALUE!</v>
      </c>
      <c r="J800" t="str">
        <f>_xlfn.XLOOKUP(AllDataCorrected[[#This Row],[Site Name]],LocationsKey[Site Name], LocationsKey[Waterway])</f>
        <v>Fosseway Brook</v>
      </c>
      <c r="K800" t="s">
        <v>1861</v>
      </c>
      <c r="L800">
        <f>_xlfn.XLOOKUP(AllDataCorrected[[#This Row],[Site Name]],Tables!$B$12:$B$78, Tables!C$12:C$78)</f>
        <v>52.094341024390218</v>
      </c>
      <c r="M800">
        <f>_xlfn.XLOOKUP(AllDataCorrected[[#This Row],[Site Name]],Tables!$B$12:$B$78, Tables!D$12:D$78)</f>
        <v>-1.6731015853658531</v>
      </c>
      <c r="N800" t="s">
        <v>29</v>
      </c>
      <c r="O800">
        <v>829</v>
      </c>
      <c r="P800">
        <v>18.2</v>
      </c>
      <c r="Q800">
        <v>10</v>
      </c>
      <c r="R800" t="str">
        <f>IF(AllDataCorrected[[#This Row],[Nitrate (PPM)]]&gt;2, "4. Very high (&gt;2ppm)", IF(AllDataCorrected[[#This Row],[Nitrate (PPM)]]&gt;1, "3. High (1-2ppm)", IF(AllDataCorrected[[#This Row],[Nitrate (PPM)]]&gt;0.5, "2. Some evidence (0.5-1ppm)", IF(AllDataCorrected[[#This Row],[Nitrate (PPM)]]&gt;=0, "1. No evidence (&lt;0.5ppm)"))))</f>
        <v>4. Very high (&gt;2ppm)</v>
      </c>
      <c r="S800">
        <v>2.2999999999999998</v>
      </c>
      <c r="T8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0">
        <v>0</v>
      </c>
      <c r="V800" t="s">
        <v>1912</v>
      </c>
    </row>
    <row r="801" spans="1:22" x14ac:dyDescent="0.25">
      <c r="A801" t="s">
        <v>1419</v>
      </c>
      <c r="B801" s="2">
        <v>45422</v>
      </c>
      <c r="C801" t="str" cm="1">
        <f t="array" ref="C8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1">
        <f>YEAR(AllDataCorrected[[#This Row],[Date]])</f>
        <v>2024</v>
      </c>
      <c r="F8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01" t="str">
        <f>_xlfn.XLOOKUP(AllDataCorrected[[#This Row],[Location Name]], Locations[Location Name],Locations[Group As])</f>
        <v>Site 3  :  Severn Trent Water processing plant outflow</v>
      </c>
      <c r="H801" t="e" vm="2">
        <f>_xlfn.XLOOKUP(AllDataCorrected[[#This Row],[Site Name]],LocationsKey[Site Name],LocationsKey[District])</f>
        <v>#VALUE!</v>
      </c>
      <c r="I801" t="e" vm="11">
        <f>_xlfn.XLOOKUP(AllDataCorrected[[#This Row],[Site Name]],LocationsKey[Site Name],LocationsKey[Town])</f>
        <v>#VALUE!</v>
      </c>
      <c r="J801" t="str">
        <f>_xlfn.XLOOKUP(AllDataCorrected[[#This Row],[Site Name]],LocationsKey[Site Name], LocationsKey[Waterway])</f>
        <v>Fosseway Brook</v>
      </c>
      <c r="K801" t="s">
        <v>1368</v>
      </c>
      <c r="L801">
        <f>_xlfn.XLOOKUP(AllDataCorrected[[#This Row],[Site Name]],Tables!$B$12:$B$78, Tables!C$12:C$78)</f>
        <v>52.094341024390218</v>
      </c>
      <c r="M801">
        <f>_xlfn.XLOOKUP(AllDataCorrected[[#This Row],[Site Name]],Tables!$B$12:$B$78, Tables!D$12:D$78)</f>
        <v>-1.6731015853658531</v>
      </c>
      <c r="N801" t="s">
        <v>29</v>
      </c>
      <c r="O801">
        <v>829</v>
      </c>
      <c r="P801">
        <v>18.2</v>
      </c>
      <c r="Q801">
        <v>10</v>
      </c>
      <c r="R801" t="str">
        <f>IF(AllDataCorrected[[#This Row],[Nitrate (PPM)]]&gt;2, "4. Very high (&gt;2ppm)", IF(AllDataCorrected[[#This Row],[Nitrate (PPM)]]&gt;1, "3. High (1-2ppm)", IF(AllDataCorrected[[#This Row],[Nitrate (PPM)]]&gt;0.5, "2. Some evidence (0.5-1ppm)", IF(AllDataCorrected[[#This Row],[Nitrate (PPM)]]&gt;=0, "1. No evidence (&lt;0.5ppm)"))))</f>
        <v>4. Very high (&gt;2ppm)</v>
      </c>
      <c r="S801">
        <v>2.2999999999999998</v>
      </c>
      <c r="T8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02" spans="1:22" x14ac:dyDescent="0.25">
      <c r="A802" t="s">
        <v>1107</v>
      </c>
      <c r="B802" s="2">
        <v>45423</v>
      </c>
      <c r="C802" t="str" cm="1">
        <f t="array" ref="C8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2">
        <f>YEAR(AllDataCorrected[[#This Row],[Date]])</f>
        <v>2024</v>
      </c>
      <c r="E802" s="1">
        <v>0.4513888888888889</v>
      </c>
      <c r="F8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2" t="str">
        <f>_xlfn.XLOOKUP(AllDataCorrected[[#This Row],[Location Name]], Locations[Location Name],Locations[Group As])</f>
        <v>Avon Smiths Meadow Wyre Piddle</v>
      </c>
      <c r="H802" t="e" vm="17">
        <f>_xlfn.XLOOKUP(AllDataCorrected[[#This Row],[Site Name]],LocationsKey[Site Name],LocationsKey[District])</f>
        <v>#VALUE!</v>
      </c>
      <c r="I802" t="e" vm="20">
        <f>_xlfn.XLOOKUP(AllDataCorrected[[#This Row],[Site Name]],LocationsKey[Site Name],LocationsKey[Town])</f>
        <v>#VALUE!</v>
      </c>
      <c r="J802" t="str">
        <f>_xlfn.XLOOKUP(AllDataCorrected[[#This Row],[Site Name]],LocationsKey[Site Name], LocationsKey[Waterway])</f>
        <v>Avon</v>
      </c>
      <c r="K802" t="s">
        <v>741</v>
      </c>
      <c r="L802">
        <f>_xlfn.XLOOKUP(AllDataCorrected[[#This Row],[Site Name]],Tables!$B$12:$B$78, Tables!C$12:C$78)</f>
        <v>52.123045961538452</v>
      </c>
      <c r="M802">
        <f>_xlfn.XLOOKUP(AllDataCorrected[[#This Row],[Site Name]],Tables!$B$12:$B$78, Tables!D$12:D$78)</f>
        <v>-2.0572161923076919</v>
      </c>
      <c r="N802" t="s">
        <v>23</v>
      </c>
      <c r="O802">
        <v>886</v>
      </c>
      <c r="P802">
        <v>17.899999999999999</v>
      </c>
      <c r="Q802">
        <v>10</v>
      </c>
      <c r="R802" t="str">
        <f>IF(AllDataCorrected[[#This Row],[Nitrate (PPM)]]&gt;2, "4. Very high (&gt;2ppm)", IF(AllDataCorrected[[#This Row],[Nitrate (PPM)]]&gt;1, "3. High (1-2ppm)", IF(AllDataCorrected[[#This Row],[Nitrate (PPM)]]&gt;0.5, "2. Some evidence (0.5-1ppm)", IF(AllDataCorrected[[#This Row],[Nitrate (PPM)]]&gt;=0, "1. No evidence (&lt;0.5ppm)"))))</f>
        <v>4. Very high (&gt;2ppm)</v>
      </c>
      <c r="S802">
        <v>0.68</v>
      </c>
      <c r="T8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2">
        <v>0.63</v>
      </c>
      <c r="V802" t="s">
        <v>1108</v>
      </c>
    </row>
    <row r="803" spans="1:22" x14ac:dyDescent="0.25">
      <c r="A803" t="s">
        <v>1109</v>
      </c>
      <c r="B803" s="2">
        <v>45423</v>
      </c>
      <c r="C803" t="str" cm="1">
        <f t="array" ref="C8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3">
        <f>YEAR(AllDataCorrected[[#This Row],[Date]])</f>
        <v>2024</v>
      </c>
      <c r="E803" s="1">
        <v>0.47916666666666669</v>
      </c>
      <c r="F8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3" t="str">
        <f>_xlfn.XLOOKUP(AllDataCorrected[[#This Row],[Location Name]], Locations[Location Name],Locations[Group As])</f>
        <v>Piddle Brook Wyre Piddle Bridge</v>
      </c>
      <c r="H803" t="e" vm="17">
        <f>_xlfn.XLOOKUP(AllDataCorrected[[#This Row],[Site Name]],LocationsKey[Site Name],LocationsKey[District])</f>
        <v>#VALUE!</v>
      </c>
      <c r="I803" t="e" vm="20">
        <f>_xlfn.XLOOKUP(AllDataCorrected[[#This Row],[Site Name]],LocationsKey[Site Name],LocationsKey[Town])</f>
        <v>#VALUE!</v>
      </c>
      <c r="J803" t="str">
        <f>_xlfn.XLOOKUP(AllDataCorrected[[#This Row],[Site Name]],LocationsKey[Site Name], LocationsKey[Waterway])</f>
        <v>Piddle Brook</v>
      </c>
      <c r="K803" t="s">
        <v>744</v>
      </c>
      <c r="L803">
        <f>_xlfn.XLOOKUP(AllDataCorrected[[#This Row],[Site Name]],Tables!$B$12:$B$78, Tables!C$12:C$78)</f>
        <v>52.126401720000004</v>
      </c>
      <c r="M803">
        <f>_xlfn.XLOOKUP(AllDataCorrected[[#This Row],[Site Name]],Tables!$B$12:$B$78, Tables!D$12:D$78)</f>
        <v>-2.0565162000000003</v>
      </c>
      <c r="N803" t="s">
        <v>23</v>
      </c>
      <c r="O803">
        <v>1290</v>
      </c>
      <c r="P803">
        <v>15.8</v>
      </c>
      <c r="Q803">
        <v>7</v>
      </c>
      <c r="R803" t="str">
        <f>IF(AllDataCorrected[[#This Row],[Nitrate (PPM)]]&gt;2, "4. Very high (&gt;2ppm)", IF(AllDataCorrected[[#This Row],[Nitrate (PPM)]]&gt;1, "3. High (1-2ppm)", IF(AllDataCorrected[[#This Row],[Nitrate (PPM)]]&gt;0.5, "2. Some evidence (0.5-1ppm)", IF(AllDataCorrected[[#This Row],[Nitrate (PPM)]]&gt;=0, "1. No evidence (&lt;0.5ppm)"))))</f>
        <v>4. Very high (&gt;2ppm)</v>
      </c>
      <c r="S803">
        <v>0.8</v>
      </c>
      <c r="T8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3">
        <v>0.22</v>
      </c>
      <c r="V803" t="s">
        <v>1110</v>
      </c>
    </row>
    <row r="804" spans="1:22" x14ac:dyDescent="0.25">
      <c r="A804" t="s">
        <v>1111</v>
      </c>
      <c r="B804" s="2">
        <v>45423</v>
      </c>
      <c r="C804" t="str" cm="1">
        <f t="array" ref="C8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4">
        <f>YEAR(AllDataCorrected[[#This Row],[Date]])</f>
        <v>2024</v>
      </c>
      <c r="E804" s="1">
        <v>0.86458333333333337</v>
      </c>
      <c r="F80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04" t="str">
        <f>_xlfn.XLOOKUP(AllDataCorrected[[#This Row],[Location Name]], Locations[Location Name],Locations[Group As])</f>
        <v>Fell Mill Footbridge</v>
      </c>
      <c r="H804" t="e" vm="2">
        <f>_xlfn.XLOOKUP(AllDataCorrected[[#This Row],[Site Name]],LocationsKey[Site Name],LocationsKey[District])</f>
        <v>#VALUE!</v>
      </c>
      <c r="I804" t="e" vm="10">
        <f>_xlfn.XLOOKUP(AllDataCorrected[[#This Row],[Site Name]],LocationsKey[Site Name],LocationsKey[Town])</f>
        <v>#VALUE!</v>
      </c>
      <c r="J804" t="str">
        <f>_xlfn.XLOOKUP(AllDataCorrected[[#This Row],[Site Name]],LocationsKey[Site Name], LocationsKey[Waterway])</f>
        <v>Stour</v>
      </c>
      <c r="K804" t="s">
        <v>818</v>
      </c>
      <c r="L804">
        <f>_xlfn.XLOOKUP(AllDataCorrected[[#This Row],[Site Name]],Tables!$B$12:$B$78, Tables!C$12:C$78)</f>
        <v>52.067966827586183</v>
      </c>
      <c r="M804">
        <f>_xlfn.XLOOKUP(AllDataCorrected[[#This Row],[Site Name]],Tables!$B$12:$B$78, Tables!D$12:D$78)</f>
        <v>-1.6118101379310343</v>
      </c>
      <c r="N804" t="s">
        <v>29</v>
      </c>
      <c r="O804">
        <v>675</v>
      </c>
      <c r="P804">
        <v>16</v>
      </c>
      <c r="Q804">
        <v>5</v>
      </c>
      <c r="R804" t="str">
        <f>IF(AllDataCorrected[[#This Row],[Nitrate (PPM)]]&gt;2, "4. Very high (&gt;2ppm)", IF(AllDataCorrected[[#This Row],[Nitrate (PPM)]]&gt;1, "3. High (1-2ppm)", IF(AllDataCorrected[[#This Row],[Nitrate (PPM)]]&gt;0.5, "2. Some evidence (0.5-1ppm)", IF(AllDataCorrected[[#This Row],[Nitrate (PPM)]]&gt;=0, "1. No evidence (&lt;0.5ppm)"))))</f>
        <v>4. Very high (&gt;2ppm)</v>
      </c>
      <c r="S804">
        <v>0.24</v>
      </c>
      <c r="T8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4">
        <v>1.3</v>
      </c>
      <c r="V804" t="s">
        <v>1112</v>
      </c>
    </row>
    <row r="805" spans="1:22" x14ac:dyDescent="0.25">
      <c r="A805" t="s">
        <v>1113</v>
      </c>
      <c r="B805" s="2">
        <v>45424</v>
      </c>
      <c r="C805" t="str" cm="1">
        <f t="array" ref="C8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5">
        <f>YEAR(AllDataCorrected[[#This Row],[Date]])</f>
        <v>2024</v>
      </c>
      <c r="E805" s="1">
        <v>0.47916666666666669</v>
      </c>
      <c r="F8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5" t="str">
        <f>_xlfn.XLOOKUP(AllDataCorrected[[#This Row],[Location Name]], Locations[Location Name],Locations[Group As])</f>
        <v>Carrant Bredon Rd</v>
      </c>
      <c r="H805" t="e" vm="1">
        <f>_xlfn.XLOOKUP(AllDataCorrected[[#This Row],[Site Name]],LocationsKey[Site Name],LocationsKey[District])</f>
        <v>#VALUE!</v>
      </c>
      <c r="I805" t="e" vm="1">
        <f>_xlfn.XLOOKUP(AllDataCorrected[[#This Row],[Site Name]],LocationsKey[Site Name],LocationsKey[Town])</f>
        <v>#VALUE!</v>
      </c>
      <c r="J805" t="str">
        <f>_xlfn.XLOOKUP(AllDataCorrected[[#This Row],[Site Name]],LocationsKey[Site Name], LocationsKey[Waterway])</f>
        <v>Carrant</v>
      </c>
      <c r="K805" t="s">
        <v>600</v>
      </c>
      <c r="L805">
        <f>_xlfn.XLOOKUP(AllDataCorrected[[#This Row],[Site Name]],Tables!$B$12:$B$78, Tables!C$12:C$78)</f>
        <v>51.996416567567572</v>
      </c>
      <c r="M805">
        <f>_xlfn.XLOOKUP(AllDataCorrected[[#This Row],[Site Name]],Tables!$B$12:$B$78, Tables!D$12:D$78)</f>
        <v>-2.1556626756756749</v>
      </c>
      <c r="N805" t="s">
        <v>23</v>
      </c>
      <c r="O805">
        <v>772</v>
      </c>
      <c r="P805">
        <v>16.600000000000001</v>
      </c>
      <c r="Q805">
        <v>8</v>
      </c>
      <c r="R805" t="str">
        <f>IF(AllDataCorrected[[#This Row],[Nitrate (PPM)]]&gt;2, "4. Very high (&gt;2ppm)", IF(AllDataCorrected[[#This Row],[Nitrate (PPM)]]&gt;1, "3. High (1-2ppm)", IF(AllDataCorrected[[#This Row],[Nitrate (PPM)]]&gt;0.5, "2. Some evidence (0.5-1ppm)", IF(AllDataCorrected[[#This Row],[Nitrate (PPM)]]&gt;=0, "1. No evidence (&lt;0.5ppm)"))))</f>
        <v>4. Very high (&gt;2ppm)</v>
      </c>
      <c r="S805">
        <v>0.32</v>
      </c>
      <c r="T8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5">
        <v>0.1</v>
      </c>
    </row>
    <row r="806" spans="1:22" x14ac:dyDescent="0.25">
      <c r="A806" t="s">
        <v>1116</v>
      </c>
      <c r="B806" s="2">
        <v>45424</v>
      </c>
      <c r="C806" t="str" cm="1">
        <f t="array" ref="C8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6">
        <f>YEAR(AllDataCorrected[[#This Row],[Date]])</f>
        <v>2024</v>
      </c>
      <c r="E806" s="1">
        <v>0.47916666666666669</v>
      </c>
      <c r="F8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6" t="str">
        <f>_xlfn.XLOOKUP(AllDataCorrected[[#This Row],[Location Name]], Locations[Location Name],Locations[Group As])</f>
        <v>The Ford, Langley</v>
      </c>
      <c r="H806" t="e" vm="2">
        <f>_xlfn.XLOOKUP(AllDataCorrected[[#This Row],[Site Name]],LocationsKey[Site Name],LocationsKey[District])</f>
        <v>#VALUE!</v>
      </c>
      <c r="I806" t="str">
        <f>_xlfn.XLOOKUP(AllDataCorrected[[#This Row],[Site Name]],LocationsKey[Site Name],LocationsKey[Town])</f>
        <v>Langley</v>
      </c>
      <c r="J806" t="str">
        <f>_xlfn.XLOOKUP(AllDataCorrected[[#This Row],[Site Name]],LocationsKey[Site Name], LocationsKey[Waterway])</f>
        <v>Langley Ford</v>
      </c>
      <c r="K806" t="s">
        <v>526</v>
      </c>
      <c r="L806">
        <f>_xlfn.XLOOKUP(AllDataCorrected[[#This Row],[Site Name]],Tables!$B$12:$B$78, Tables!C$12:C$78)</f>
        <v>52.261724821428579</v>
      </c>
      <c r="M806">
        <f>_xlfn.XLOOKUP(AllDataCorrected[[#This Row],[Site Name]],Tables!$B$12:$B$78, Tables!D$12:D$78)</f>
        <v>-1.719408857142857</v>
      </c>
      <c r="N806" t="s">
        <v>29</v>
      </c>
      <c r="O806">
        <v>789</v>
      </c>
      <c r="P806">
        <v>14.5</v>
      </c>
      <c r="Q806">
        <v>5</v>
      </c>
      <c r="R806" t="str">
        <f>IF(AllDataCorrected[[#This Row],[Nitrate (PPM)]]&gt;2, "4. Very high (&gt;2ppm)", IF(AllDataCorrected[[#This Row],[Nitrate (PPM)]]&gt;1, "3. High (1-2ppm)", IF(AllDataCorrected[[#This Row],[Nitrate (PPM)]]&gt;0.5, "2. Some evidence (0.5-1ppm)", IF(AllDataCorrected[[#This Row],[Nitrate (PPM)]]&gt;=0, "1. No evidence (&lt;0.5ppm)"))))</f>
        <v>4. Very high (&gt;2ppm)</v>
      </c>
      <c r="S806">
        <v>0.83</v>
      </c>
      <c r="T8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6">
        <v>35</v>
      </c>
    </row>
    <row r="807" spans="1:22" x14ac:dyDescent="0.25">
      <c r="A807" t="s">
        <v>1114</v>
      </c>
      <c r="B807" s="2">
        <v>45424</v>
      </c>
      <c r="C807" t="str" cm="1">
        <f t="array" ref="C8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7">
        <f>YEAR(AllDataCorrected[[#This Row],[Date]])</f>
        <v>2024</v>
      </c>
      <c r="E807" s="1">
        <v>0.58333333333333337</v>
      </c>
      <c r="F8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7" t="str">
        <f>_xlfn.XLOOKUP(AllDataCorrected[[#This Row],[Location Name]], Locations[Location Name],Locations[Group As])</f>
        <v>Clifford Chambers Mill Bridge</v>
      </c>
      <c r="H807" t="e" vm="2">
        <f>_xlfn.XLOOKUP(AllDataCorrected[[#This Row],[Site Name]],LocationsKey[Site Name],LocationsKey[District])</f>
        <v>#VALUE!</v>
      </c>
      <c r="I807" t="e" vm="12">
        <f>_xlfn.XLOOKUP(AllDataCorrected[[#This Row],[Site Name]],LocationsKey[Site Name],LocationsKey[Town])</f>
        <v>#VALUE!</v>
      </c>
      <c r="J807" t="str">
        <f>_xlfn.XLOOKUP(AllDataCorrected[[#This Row],[Site Name]],LocationsKey[Site Name], LocationsKey[Waterway])</f>
        <v>Stour</v>
      </c>
      <c r="K807" t="s">
        <v>263</v>
      </c>
      <c r="L807">
        <f>_xlfn.XLOOKUP(AllDataCorrected[[#This Row],[Site Name]],Tables!$B$12:$B$78, Tables!C$12:C$78)</f>
        <v>52.166358517241363</v>
      </c>
      <c r="M807">
        <f>_xlfn.XLOOKUP(AllDataCorrected[[#This Row],[Site Name]],Tables!$B$12:$B$78, Tables!D$12:D$78)</f>
        <v>-1.7080419310344837</v>
      </c>
      <c r="N807" t="s">
        <v>66</v>
      </c>
      <c r="O807">
        <v>699</v>
      </c>
      <c r="P807">
        <v>20.3</v>
      </c>
      <c r="Q807">
        <v>8</v>
      </c>
      <c r="R807" t="str">
        <f>IF(AllDataCorrected[[#This Row],[Nitrate (PPM)]]&gt;2, "4. Very high (&gt;2ppm)", IF(AllDataCorrected[[#This Row],[Nitrate (PPM)]]&gt;1, "3. High (1-2ppm)", IF(AllDataCorrected[[#This Row],[Nitrate (PPM)]]&gt;0.5, "2. Some evidence (0.5-1ppm)", IF(AllDataCorrected[[#This Row],[Nitrate (PPM)]]&gt;=0, "1. No evidence (&lt;0.5ppm)"))))</f>
        <v>4. Very high (&gt;2ppm)</v>
      </c>
      <c r="S807">
        <v>0.24</v>
      </c>
      <c r="T8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7">
        <v>0.6</v>
      </c>
    </row>
    <row r="808" spans="1:22" x14ac:dyDescent="0.25">
      <c r="A808" t="s">
        <v>1115</v>
      </c>
      <c r="B808" s="2">
        <v>45424</v>
      </c>
      <c r="C808" t="str" cm="1">
        <f t="array" ref="C8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8">
        <f>YEAR(AllDataCorrected[[#This Row],[Date]])</f>
        <v>2024</v>
      </c>
      <c r="E808" s="1">
        <v>0.69027777777777777</v>
      </c>
      <c r="F8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8" t="str">
        <f>_xlfn.XLOOKUP(AllDataCorrected[[#This Row],[Location Name]], Locations[Location Name],Locations[Group As])</f>
        <v>Black Bear</v>
      </c>
      <c r="H808" t="e" vm="1">
        <f>_xlfn.XLOOKUP(AllDataCorrected[[#This Row],[Site Name]],LocationsKey[Site Name],LocationsKey[District])</f>
        <v>#VALUE!</v>
      </c>
      <c r="I808" t="e" vm="1">
        <f>_xlfn.XLOOKUP(AllDataCorrected[[#This Row],[Site Name]],LocationsKey[Site Name],LocationsKey[Town])</f>
        <v>#VALUE!</v>
      </c>
      <c r="J808" t="str">
        <f>_xlfn.XLOOKUP(AllDataCorrected[[#This Row],[Site Name]],LocationsKey[Site Name], LocationsKey[Waterway])</f>
        <v>Avon</v>
      </c>
      <c r="K808" t="s">
        <v>567</v>
      </c>
      <c r="L808">
        <f>_xlfn.XLOOKUP(AllDataCorrected[[#This Row],[Site Name]],Tables!$B$12:$B$78, Tables!C$12:C$78)</f>
        <v>51.997435214285723</v>
      </c>
      <c r="M808">
        <f>_xlfn.XLOOKUP(AllDataCorrected[[#This Row],[Site Name]],Tables!$B$12:$B$78, Tables!D$12:D$78)</f>
        <v>-2.1562056785714288</v>
      </c>
      <c r="N808" t="s">
        <v>23</v>
      </c>
      <c r="O808">
        <v>844</v>
      </c>
      <c r="P808">
        <v>20.7</v>
      </c>
      <c r="Q808">
        <v>10</v>
      </c>
      <c r="R808" t="str">
        <f>IF(AllDataCorrected[[#This Row],[Nitrate (PPM)]]&gt;2, "4. Very high (&gt;2ppm)", IF(AllDataCorrected[[#This Row],[Nitrate (PPM)]]&gt;1, "3. High (1-2ppm)", IF(AllDataCorrected[[#This Row],[Nitrate (PPM)]]&gt;0.5, "2. Some evidence (0.5-1ppm)", IF(AllDataCorrected[[#This Row],[Nitrate (PPM)]]&gt;=0, "1. No evidence (&lt;0.5ppm)"))))</f>
        <v>4. Very high (&gt;2ppm)</v>
      </c>
      <c r="S808">
        <v>0.32</v>
      </c>
      <c r="T8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8">
        <v>0</v>
      </c>
    </row>
    <row r="809" spans="1:22" x14ac:dyDescent="0.25">
      <c r="A809" t="s">
        <v>1117</v>
      </c>
      <c r="B809" s="2">
        <v>45425</v>
      </c>
      <c r="C809" t="str" cm="1">
        <f t="array" ref="C8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9">
        <f>YEAR(AllDataCorrected[[#This Row],[Date]])</f>
        <v>2024</v>
      </c>
      <c r="E809" s="1">
        <v>0.39791666666666664</v>
      </c>
      <c r="F8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9" t="str">
        <f>_xlfn.XLOOKUP(AllDataCorrected[[#This Row],[Location Name]], Locations[Location Name],Locations[Group As])</f>
        <v>Stour Stretton-on-Fosse Village</v>
      </c>
      <c r="H809" t="e" vm="2">
        <f>_xlfn.XLOOKUP(AllDataCorrected[[#This Row],[Site Name]],LocationsKey[Site Name],LocationsKey[District])</f>
        <v>#VALUE!</v>
      </c>
      <c r="I809" t="e" vm="14">
        <f>_xlfn.XLOOKUP(AllDataCorrected[[#This Row],[Site Name]],LocationsKey[Site Name],LocationsKey[Town])</f>
        <v>#VALUE!</v>
      </c>
      <c r="J809" t="str">
        <f>_xlfn.XLOOKUP(AllDataCorrected[[#This Row],[Site Name]],LocationsKey[Site Name], LocationsKey[Waterway])</f>
        <v>Stour</v>
      </c>
      <c r="K809" t="s">
        <v>544</v>
      </c>
      <c r="L809">
        <f>_xlfn.XLOOKUP(AllDataCorrected[[#This Row],[Site Name]],Tables!$B$12:$B$78, Tables!C$12:C$78)</f>
        <v>52.046517558823524</v>
      </c>
      <c r="M809">
        <f>_xlfn.XLOOKUP(AllDataCorrected[[#This Row],[Site Name]],Tables!$B$12:$B$78, Tables!D$12:D$78)</f>
        <v>-1.6734143529411767</v>
      </c>
      <c r="N809" t="s">
        <v>66</v>
      </c>
      <c r="O809">
        <v>760</v>
      </c>
      <c r="P809">
        <v>14.5</v>
      </c>
      <c r="Q809">
        <v>2</v>
      </c>
      <c r="R809" t="str">
        <f>IF(AllDataCorrected[[#This Row],[Nitrate (PPM)]]&gt;2, "4. Very high (&gt;2ppm)", IF(AllDataCorrected[[#This Row],[Nitrate (PPM)]]&gt;1, "3. High (1-2ppm)", IF(AllDataCorrected[[#This Row],[Nitrate (PPM)]]&gt;0.5, "2. Some evidence (0.5-1ppm)", IF(AllDataCorrected[[#This Row],[Nitrate (PPM)]]&gt;=0, "1. No evidence (&lt;0.5ppm)"))))</f>
        <v>3. High (1-2ppm)</v>
      </c>
      <c r="S809">
        <v>2.5</v>
      </c>
      <c r="T8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9">
        <v>0.2</v>
      </c>
    </row>
    <row r="810" spans="1:22" x14ac:dyDescent="0.25">
      <c r="A810" t="s">
        <v>1118</v>
      </c>
      <c r="B810" s="2">
        <v>45425</v>
      </c>
      <c r="C810" t="str" cm="1">
        <f t="array" ref="C8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0">
        <f>YEAR(AllDataCorrected[[#This Row],[Date]])</f>
        <v>2024</v>
      </c>
      <c r="E810" s="1">
        <v>0.40416666666666667</v>
      </c>
      <c r="F8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0" t="str">
        <f>_xlfn.XLOOKUP(AllDataCorrected[[#This Row],[Location Name]], Locations[Location Name],Locations[Group As])</f>
        <v>Stour Stretton-on-Fosse Sewage Works</v>
      </c>
      <c r="H810" t="e" vm="2">
        <f>_xlfn.XLOOKUP(AllDataCorrected[[#This Row],[Site Name]],LocationsKey[Site Name],LocationsKey[District])</f>
        <v>#VALUE!</v>
      </c>
      <c r="I810" t="e" vm="14">
        <f>_xlfn.XLOOKUP(AllDataCorrected[[#This Row],[Site Name]],LocationsKey[Site Name],LocationsKey[Town])</f>
        <v>#VALUE!</v>
      </c>
      <c r="J810" t="str">
        <f>_xlfn.XLOOKUP(AllDataCorrected[[#This Row],[Site Name]],LocationsKey[Site Name], LocationsKey[Waterway])</f>
        <v>Stour</v>
      </c>
      <c r="K810" t="s">
        <v>335</v>
      </c>
      <c r="L810">
        <f>_xlfn.XLOOKUP(AllDataCorrected[[#This Row],[Site Name]],Tables!$B$12:$B$78, Tables!C$12:C$78)</f>
        <v>52.045653647058806</v>
      </c>
      <c r="M810">
        <f>_xlfn.XLOOKUP(AllDataCorrected[[#This Row],[Site Name]],Tables!$B$12:$B$78, Tables!D$12:D$78)</f>
        <v>-1.6719221470588235</v>
      </c>
      <c r="N810" t="s">
        <v>29</v>
      </c>
      <c r="O810">
        <v>850</v>
      </c>
      <c r="P810">
        <v>14.3</v>
      </c>
      <c r="Q810">
        <v>3</v>
      </c>
      <c r="R810" t="str">
        <f>IF(AllDataCorrected[[#This Row],[Nitrate (PPM)]]&gt;2, "4. Very high (&gt;2ppm)", IF(AllDataCorrected[[#This Row],[Nitrate (PPM)]]&gt;1, "3. High (1-2ppm)", IF(AllDataCorrected[[#This Row],[Nitrate (PPM)]]&gt;0.5, "2. Some evidence (0.5-1ppm)", IF(AllDataCorrected[[#This Row],[Nitrate (PPM)]]&gt;=0, "1. No evidence (&lt;0.5ppm)"))))</f>
        <v>4. Very high (&gt;2ppm)</v>
      </c>
      <c r="S810">
        <v>2.5</v>
      </c>
      <c r="T8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10">
        <v>0.25</v>
      </c>
      <c r="V810" t="s">
        <v>1119</v>
      </c>
    </row>
    <row r="811" spans="1:22" x14ac:dyDescent="0.25">
      <c r="A811" t="s">
        <v>1120</v>
      </c>
      <c r="B811" s="2">
        <v>45425</v>
      </c>
      <c r="C811" t="str" cm="1">
        <f t="array" ref="C8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1">
        <f>YEAR(AllDataCorrected[[#This Row],[Date]])</f>
        <v>2024</v>
      </c>
      <c r="E811" s="1">
        <v>0.41666666666666669</v>
      </c>
      <c r="F8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1" t="str">
        <f>_xlfn.XLOOKUP(AllDataCorrected[[#This Row],[Location Name]], Locations[Location Name],Locations[Group As])</f>
        <v>Sherbourne Brook 1</v>
      </c>
      <c r="H811" t="e" vm="2">
        <f>_xlfn.XLOOKUP(AllDataCorrected[[#This Row],[Site Name]],LocationsKey[Site Name],LocationsKey[District])</f>
        <v>#VALUE!</v>
      </c>
      <c r="I811" t="e" vm="16">
        <f>_xlfn.XLOOKUP(AllDataCorrected[[#This Row],[Site Name]],LocationsKey[Site Name],LocationsKey[Town])</f>
        <v>#VALUE!</v>
      </c>
      <c r="J811" t="str">
        <f>_xlfn.XLOOKUP(AllDataCorrected[[#This Row],[Site Name]],LocationsKey[Site Name], LocationsKey[Waterway])</f>
        <v>Sherbourne Brook</v>
      </c>
      <c r="K811" t="s">
        <v>570</v>
      </c>
      <c r="L811">
        <f>_xlfn.XLOOKUP(AllDataCorrected[[#This Row],[Site Name]],Tables!$B$12:$B$78, Tables!C$12:C$78)</f>
        <v>52.252500000000033</v>
      </c>
      <c r="M811">
        <f>_xlfn.XLOOKUP(AllDataCorrected[[#This Row],[Site Name]],Tables!$B$12:$B$78, Tables!D$12:D$78)</f>
        <v>-1.6685000000000012</v>
      </c>
      <c r="N811" t="s">
        <v>23</v>
      </c>
      <c r="O811">
        <v>1070</v>
      </c>
      <c r="P811">
        <v>14.5</v>
      </c>
      <c r="Q811">
        <v>10</v>
      </c>
      <c r="R811" t="str">
        <f>IF(AllDataCorrected[[#This Row],[Nitrate (PPM)]]&gt;2, "4. Very high (&gt;2ppm)", IF(AllDataCorrected[[#This Row],[Nitrate (PPM)]]&gt;1, "3. High (1-2ppm)", IF(AllDataCorrected[[#This Row],[Nitrate (PPM)]]&gt;0.5, "2. Some evidence (0.5-1ppm)", IF(AllDataCorrected[[#This Row],[Nitrate (PPM)]]&gt;=0, "1. No evidence (&lt;0.5ppm)"))))</f>
        <v>4. Very high (&gt;2ppm)</v>
      </c>
      <c r="S811">
        <v>0.37</v>
      </c>
      <c r="T8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1">
        <v>0.15</v>
      </c>
    </row>
    <row r="812" spans="1:22" x14ac:dyDescent="0.25">
      <c r="A812" t="s">
        <v>1121</v>
      </c>
      <c r="B812" s="2">
        <v>45425</v>
      </c>
      <c r="C812" t="str" cm="1">
        <f t="array" ref="C8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2">
        <f>YEAR(AllDataCorrected[[#This Row],[Date]])</f>
        <v>2024</v>
      </c>
      <c r="E812" s="1">
        <v>0.42708333333333331</v>
      </c>
      <c r="F8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2" t="str">
        <f>_xlfn.XLOOKUP(AllDataCorrected[[#This Row],[Location Name]], Locations[Location Name],Locations[Group As])</f>
        <v>Bell Brook 1</v>
      </c>
      <c r="H812" t="e" vm="2">
        <f>_xlfn.XLOOKUP(AllDataCorrected[[#This Row],[Site Name]],LocationsKey[Site Name],LocationsKey[District])</f>
        <v>#VALUE!</v>
      </c>
      <c r="I812" t="e" vm="15">
        <f>_xlfn.XLOOKUP(AllDataCorrected[[#This Row],[Site Name]],LocationsKey[Site Name],LocationsKey[Town])</f>
        <v>#VALUE!</v>
      </c>
      <c r="J812" t="str">
        <f>_xlfn.XLOOKUP(AllDataCorrected[[#This Row],[Site Name]],LocationsKey[Site Name], LocationsKey[Waterway])</f>
        <v>Bell Brook</v>
      </c>
      <c r="K812" t="s">
        <v>534</v>
      </c>
      <c r="L812">
        <f>_xlfn.XLOOKUP(AllDataCorrected[[#This Row],[Site Name]],Tables!$B$12:$B$78, Tables!C$12:C$78)</f>
        <v>52.24489999999998</v>
      </c>
      <c r="M812">
        <f>_xlfn.XLOOKUP(AllDataCorrected[[#This Row],[Site Name]],Tables!$B$12:$B$78, Tables!D$12:D$78)</f>
        <v>-1.6617000000000013</v>
      </c>
      <c r="N812" t="s">
        <v>23</v>
      </c>
      <c r="O812">
        <v>813</v>
      </c>
      <c r="P812">
        <v>15.6</v>
      </c>
      <c r="Q812">
        <v>6</v>
      </c>
      <c r="R812" t="str">
        <f>IF(AllDataCorrected[[#This Row],[Nitrate (PPM)]]&gt;2, "4. Very high (&gt;2ppm)", IF(AllDataCorrected[[#This Row],[Nitrate (PPM)]]&gt;1, "3. High (1-2ppm)", IF(AllDataCorrected[[#This Row],[Nitrate (PPM)]]&gt;0.5, "2. Some evidence (0.5-1ppm)", IF(AllDataCorrected[[#This Row],[Nitrate (PPM)]]&gt;=0, "1. No evidence (&lt;0.5ppm)"))))</f>
        <v>4. Very high (&gt;2ppm)</v>
      </c>
      <c r="S812">
        <v>0.36</v>
      </c>
      <c r="T8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2">
        <v>0.1</v>
      </c>
    </row>
    <row r="813" spans="1:22" x14ac:dyDescent="0.25">
      <c r="A813" t="s">
        <v>1122</v>
      </c>
      <c r="B813" s="2">
        <v>45426</v>
      </c>
      <c r="C813" t="str" cm="1">
        <f t="array" ref="C8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3">
        <f>YEAR(AllDataCorrected[[#This Row],[Date]])</f>
        <v>2024</v>
      </c>
      <c r="E813" s="1">
        <v>0.43958333333333333</v>
      </c>
      <c r="F8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3" t="str">
        <f>_xlfn.XLOOKUP(AllDataCorrected[[#This Row],[Location Name]], Locations[Location Name],Locations[Group As])</f>
        <v>Carrant Mitton Path</v>
      </c>
      <c r="H813" t="e" vm="1">
        <f>_xlfn.XLOOKUP(AllDataCorrected[[#This Row],[Site Name]],LocationsKey[Site Name],LocationsKey[District])</f>
        <v>#VALUE!</v>
      </c>
      <c r="I813" t="e" vm="1">
        <f>_xlfn.XLOOKUP(AllDataCorrected[[#This Row],[Site Name]],LocationsKey[Site Name],LocationsKey[Town])</f>
        <v>#VALUE!</v>
      </c>
      <c r="J813" t="str">
        <f>_xlfn.XLOOKUP(AllDataCorrected[[#This Row],[Site Name]],LocationsKey[Site Name], LocationsKey[Waterway])</f>
        <v>Carrant</v>
      </c>
      <c r="K813" t="s">
        <v>1061</v>
      </c>
      <c r="L813">
        <f>_xlfn.XLOOKUP(AllDataCorrected[[#This Row],[Site Name]],Tables!$B$12:$B$78, Tables!C$12:C$78)</f>
        <v>51.999946066666674</v>
      </c>
      <c r="M813">
        <f>_xlfn.XLOOKUP(AllDataCorrected[[#This Row],[Site Name]],Tables!$B$12:$B$78, Tables!D$12:D$78)</f>
        <v>-2.1414862000000006</v>
      </c>
      <c r="N813" t="s">
        <v>23</v>
      </c>
      <c r="O813">
        <v>692</v>
      </c>
      <c r="P813">
        <v>16</v>
      </c>
      <c r="Q813">
        <v>6</v>
      </c>
      <c r="R813" t="str">
        <f>IF(AllDataCorrected[[#This Row],[Nitrate (PPM)]]&gt;2, "4. Very high (&gt;2ppm)", IF(AllDataCorrected[[#This Row],[Nitrate (PPM)]]&gt;1, "3. High (1-2ppm)", IF(AllDataCorrected[[#This Row],[Nitrate (PPM)]]&gt;0.5, "2. Some evidence (0.5-1ppm)", IF(AllDataCorrected[[#This Row],[Nitrate (PPM)]]&gt;=0, "1. No evidence (&lt;0.5ppm)"))))</f>
        <v>4. Very high (&gt;2ppm)</v>
      </c>
      <c r="S813">
        <v>0.12</v>
      </c>
      <c r="T8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3">
        <v>0</v>
      </c>
    </row>
    <row r="814" spans="1:22" x14ac:dyDescent="0.25">
      <c r="A814" t="s">
        <v>1123</v>
      </c>
      <c r="B814" s="2">
        <v>45426</v>
      </c>
      <c r="C814" t="str" cm="1">
        <f t="array" ref="C8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4">
        <f>YEAR(AllDataCorrected[[#This Row],[Date]])</f>
        <v>2024</v>
      </c>
      <c r="E814" s="1">
        <v>0.45347222222222222</v>
      </c>
      <c r="F8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4" t="str">
        <f>_xlfn.XLOOKUP(AllDataCorrected[[#This Row],[Location Name]], Locations[Location Name],Locations[Group As])</f>
        <v>Carrant M5 Bridge</v>
      </c>
      <c r="H814" t="e" vm="1">
        <f>_xlfn.XLOOKUP(AllDataCorrected[[#This Row],[Site Name]],LocationsKey[Site Name],LocationsKey[District])</f>
        <v>#VALUE!</v>
      </c>
      <c r="I814" t="e" vm="1">
        <f>_xlfn.XLOOKUP(AllDataCorrected[[#This Row],[Site Name]],LocationsKey[Site Name],LocationsKey[Town])</f>
        <v>#VALUE!</v>
      </c>
      <c r="J814" t="str">
        <f>_xlfn.XLOOKUP(AllDataCorrected[[#This Row],[Site Name]],LocationsKey[Site Name], LocationsKey[Waterway])</f>
        <v>Carrant</v>
      </c>
      <c r="K814" t="s">
        <v>960</v>
      </c>
      <c r="L814">
        <f>_xlfn.XLOOKUP(AllDataCorrected[[#This Row],[Site Name]],Tables!$B$12:$B$78, Tables!C$12:C$78)</f>
        <v>52.011600000000001</v>
      </c>
      <c r="M814">
        <f>_xlfn.XLOOKUP(AllDataCorrected[[#This Row],[Site Name]],Tables!$B$12:$B$78, Tables!D$12:D$78)</f>
        <v>-2.1206</v>
      </c>
      <c r="N814" t="s">
        <v>23</v>
      </c>
      <c r="O814">
        <v>758</v>
      </c>
      <c r="P814">
        <v>16.2</v>
      </c>
      <c r="Q814">
        <v>7</v>
      </c>
      <c r="R814" t="str">
        <f>IF(AllDataCorrected[[#This Row],[Nitrate (PPM)]]&gt;2, "4. Very high (&gt;2ppm)", IF(AllDataCorrected[[#This Row],[Nitrate (PPM)]]&gt;1, "3. High (1-2ppm)", IF(AllDataCorrected[[#This Row],[Nitrate (PPM)]]&gt;0.5, "2. Some evidence (0.5-1ppm)", IF(AllDataCorrected[[#This Row],[Nitrate (PPM)]]&gt;=0, "1. No evidence (&lt;0.5ppm)"))))</f>
        <v>4. Very high (&gt;2ppm)</v>
      </c>
      <c r="S814">
        <v>0.31</v>
      </c>
      <c r="T8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4">
        <v>0</v>
      </c>
    </row>
    <row r="815" spans="1:22" x14ac:dyDescent="0.25">
      <c r="A815" t="s">
        <v>1124</v>
      </c>
      <c r="B815" s="2">
        <v>45427</v>
      </c>
      <c r="C815" t="str" cm="1">
        <f t="array" ref="C8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5">
        <f>YEAR(AllDataCorrected[[#This Row],[Date]])</f>
        <v>2024</v>
      </c>
      <c r="E815" s="1">
        <v>0.57986111111111116</v>
      </c>
      <c r="F8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5" t="str">
        <f>_xlfn.XLOOKUP(AllDataCorrected[[#This Row],[Location Name]], Locations[Location Name],Locations[Group As])</f>
        <v>Alveston Weir</v>
      </c>
      <c r="H815" t="e" vm="2">
        <f>_xlfn.XLOOKUP(AllDataCorrected[[#This Row],[Site Name]],LocationsKey[Site Name],LocationsKey[District])</f>
        <v>#VALUE!</v>
      </c>
      <c r="I815" t="e" vm="13">
        <f>_xlfn.XLOOKUP(AllDataCorrected[[#This Row],[Site Name]],LocationsKey[Site Name],LocationsKey[Town])</f>
        <v>#VALUE!</v>
      </c>
      <c r="J815" t="str">
        <f>_xlfn.XLOOKUP(AllDataCorrected[[#This Row],[Site Name]],LocationsKey[Site Name], LocationsKey[Waterway])</f>
        <v>Avon</v>
      </c>
      <c r="K815" t="s">
        <v>286</v>
      </c>
      <c r="L815">
        <f>_xlfn.XLOOKUP(AllDataCorrected[[#This Row],[Site Name]],Tables!$B$12:$B$78, Tables!C$12:C$78)</f>
        <v>52.212366690476216</v>
      </c>
      <c r="M815">
        <f>_xlfn.XLOOKUP(AllDataCorrected[[#This Row],[Site Name]],Tables!$B$12:$B$78, Tables!D$12:D$78)</f>
        <v>-1.6602567619047619</v>
      </c>
      <c r="N815" t="s">
        <v>29</v>
      </c>
      <c r="O815">
        <v>901</v>
      </c>
      <c r="P815">
        <v>18.8</v>
      </c>
      <c r="Q815">
        <v>5</v>
      </c>
      <c r="R815" t="str">
        <f>IF(AllDataCorrected[[#This Row],[Nitrate (PPM)]]&gt;2, "4. Very high (&gt;2ppm)", IF(AllDataCorrected[[#This Row],[Nitrate (PPM)]]&gt;1, "3. High (1-2ppm)", IF(AllDataCorrected[[#This Row],[Nitrate (PPM)]]&gt;0.5, "2. Some evidence (0.5-1ppm)", IF(AllDataCorrected[[#This Row],[Nitrate (PPM)]]&gt;=0, "1. No evidence (&lt;0.5ppm)"))))</f>
        <v>4. Very high (&gt;2ppm)</v>
      </c>
      <c r="S815">
        <v>0.38</v>
      </c>
      <c r="T8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5">
        <v>0</v>
      </c>
      <c r="V815" t="s">
        <v>1125</v>
      </c>
    </row>
    <row r="816" spans="1:22" x14ac:dyDescent="0.25">
      <c r="A816" t="s">
        <v>1126</v>
      </c>
      <c r="B816" s="2">
        <v>45427</v>
      </c>
      <c r="C816" t="str" cm="1">
        <f t="array" ref="C8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6">
        <f>YEAR(AllDataCorrected[[#This Row],[Date]])</f>
        <v>2024</v>
      </c>
      <c r="E816" s="1">
        <v>0.58333333333333337</v>
      </c>
      <c r="F8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6" t="str">
        <f>_xlfn.XLOOKUP(AllDataCorrected[[#This Row],[Location Name]], Locations[Location Name],Locations[Group As])</f>
        <v>Swiffen Bank</v>
      </c>
      <c r="H816" t="e" vm="2">
        <f>_xlfn.XLOOKUP(AllDataCorrected[[#This Row],[Site Name]],LocationsKey[Site Name],LocationsKey[District])</f>
        <v>#VALUE!</v>
      </c>
      <c r="I816" t="e" vm="13">
        <f>_xlfn.XLOOKUP(AllDataCorrected[[#This Row],[Site Name]],LocationsKey[Site Name],LocationsKey[Town])</f>
        <v>#VALUE!</v>
      </c>
      <c r="J816" t="str">
        <f>_xlfn.XLOOKUP(AllDataCorrected[[#This Row],[Site Name]],LocationsKey[Site Name], LocationsKey[Waterway])</f>
        <v>Avon</v>
      </c>
      <c r="K816" t="s">
        <v>284</v>
      </c>
      <c r="L816">
        <f>_xlfn.XLOOKUP(AllDataCorrected[[#This Row],[Site Name]],Tables!$B$12:$B$78, Tables!C$12:C$78)</f>
        <v>52.206446825000015</v>
      </c>
      <c r="M816">
        <f>_xlfn.XLOOKUP(AllDataCorrected[[#This Row],[Site Name]],Tables!$B$12:$B$78, Tables!D$12:D$78)</f>
        <v>-1.6541684000000003</v>
      </c>
      <c r="N816" t="s">
        <v>29</v>
      </c>
      <c r="O816">
        <v>699</v>
      </c>
      <c r="P816">
        <v>19.8</v>
      </c>
      <c r="Q816">
        <v>10</v>
      </c>
      <c r="R816" t="str">
        <f>IF(AllDataCorrected[[#This Row],[Nitrate (PPM)]]&gt;2, "4. Very high (&gt;2ppm)", IF(AllDataCorrected[[#This Row],[Nitrate (PPM)]]&gt;1, "3. High (1-2ppm)", IF(AllDataCorrected[[#This Row],[Nitrate (PPM)]]&gt;0.5, "2. Some evidence (0.5-1ppm)", IF(AllDataCorrected[[#This Row],[Nitrate (PPM)]]&gt;=0, "1. No evidence (&lt;0.5ppm)"))))</f>
        <v>4. Very high (&gt;2ppm)</v>
      </c>
      <c r="S816">
        <v>0.44</v>
      </c>
      <c r="T8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6">
        <v>0</v>
      </c>
      <c r="V816" t="s">
        <v>1127</v>
      </c>
    </row>
    <row r="817" spans="1:22" x14ac:dyDescent="0.25">
      <c r="A817" t="s">
        <v>1129</v>
      </c>
      <c r="B817" s="2">
        <v>45427</v>
      </c>
      <c r="C817" t="str" cm="1">
        <f t="array" ref="C8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7">
        <f>YEAR(AllDataCorrected[[#This Row],[Date]])</f>
        <v>2024</v>
      </c>
      <c r="E817" s="1">
        <v>0.66666666666666663</v>
      </c>
      <c r="F8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7" t="str">
        <f>_xlfn.XLOOKUP(AllDataCorrected[[#This Row],[Location Name]], Locations[Location Name],Locations[Group As])</f>
        <v>Stour Newbold Mill</v>
      </c>
      <c r="H817" t="e" vm="2">
        <f>_xlfn.XLOOKUP(AllDataCorrected[[#This Row],[Site Name]],LocationsKey[Site Name],LocationsKey[District])</f>
        <v>#VALUE!</v>
      </c>
      <c r="I817" t="e" vm="8">
        <f>_xlfn.XLOOKUP(AllDataCorrected[[#This Row],[Site Name]],LocationsKey[Site Name],LocationsKey[Town])</f>
        <v>#VALUE!</v>
      </c>
      <c r="J817" t="str">
        <f>_xlfn.XLOOKUP(AllDataCorrected[[#This Row],[Site Name]],LocationsKey[Site Name], LocationsKey[Waterway])</f>
        <v>Stour</v>
      </c>
      <c r="K817" t="s">
        <v>140</v>
      </c>
      <c r="L817">
        <f>_xlfn.XLOOKUP(AllDataCorrected[[#This Row],[Site Name]],Tables!$B$12:$B$78, Tables!C$12:C$78)</f>
        <v>52.113052370370362</v>
      </c>
      <c r="M817">
        <f>_xlfn.XLOOKUP(AllDataCorrected[[#This Row],[Site Name]],Tables!$B$12:$B$78, Tables!D$12:D$78)</f>
        <v>-1.6333685185185185</v>
      </c>
      <c r="N817" t="s">
        <v>29</v>
      </c>
      <c r="O817">
        <v>681</v>
      </c>
      <c r="P817">
        <v>18.399999999999999</v>
      </c>
      <c r="Q817">
        <v>2</v>
      </c>
      <c r="R817" t="str">
        <f>IF(AllDataCorrected[[#This Row],[Nitrate (PPM)]]&gt;2, "4. Very high (&gt;2ppm)", IF(AllDataCorrected[[#This Row],[Nitrate (PPM)]]&gt;1, "3. High (1-2ppm)", IF(AllDataCorrected[[#This Row],[Nitrate (PPM)]]&gt;0.5, "2. Some evidence (0.5-1ppm)", IF(AllDataCorrected[[#This Row],[Nitrate (PPM)]]&gt;=0, "1. No evidence (&lt;0.5ppm)"))))</f>
        <v>3. High (1-2ppm)</v>
      </c>
      <c r="S817">
        <v>0.3</v>
      </c>
      <c r="T8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7">
        <v>2</v>
      </c>
      <c r="V817" t="s">
        <v>1101</v>
      </c>
    </row>
    <row r="818" spans="1:22" x14ac:dyDescent="0.25">
      <c r="A818" t="s">
        <v>1128</v>
      </c>
      <c r="B818" s="2">
        <v>45427</v>
      </c>
      <c r="C818" t="str" cm="1">
        <f t="array" ref="C8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8">
        <f>YEAR(AllDataCorrected[[#This Row],[Date]])</f>
        <v>2024</v>
      </c>
      <c r="E818" s="1">
        <v>0.84583333333333333</v>
      </c>
      <c r="F818"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18" t="str">
        <f>_xlfn.XLOOKUP(AllDataCorrected[[#This Row],[Location Name]], Locations[Location Name],Locations[Group As])</f>
        <v>Abbey Mill</v>
      </c>
      <c r="H818" t="e" vm="1">
        <f>_xlfn.XLOOKUP(AllDataCorrected[[#This Row],[Site Name]],LocationsKey[Site Name],LocationsKey[District])</f>
        <v>#VALUE!</v>
      </c>
      <c r="I818" t="e" vm="1">
        <f>_xlfn.XLOOKUP(AllDataCorrected[[#This Row],[Site Name]],LocationsKey[Site Name],LocationsKey[Town])</f>
        <v>#VALUE!</v>
      </c>
      <c r="J818" t="str">
        <f>_xlfn.XLOOKUP(AllDataCorrected[[#This Row],[Site Name]],LocationsKey[Site Name], LocationsKey[Waterway])</f>
        <v>Avon</v>
      </c>
      <c r="K818" t="s">
        <v>25</v>
      </c>
      <c r="L818">
        <f>_xlfn.XLOOKUP(AllDataCorrected[[#This Row],[Site Name]],Tables!$B$12:$B$78, Tables!C$12:C$78)</f>
        <v>51.991389555555564</v>
      </c>
      <c r="M818">
        <f>_xlfn.XLOOKUP(AllDataCorrected[[#This Row],[Site Name]],Tables!$B$12:$B$78, Tables!D$12:D$78)</f>
        <v>-2.1620794000000005</v>
      </c>
      <c r="N818" t="s">
        <v>23</v>
      </c>
      <c r="O818">
        <v>956</v>
      </c>
      <c r="P818">
        <v>18.5</v>
      </c>
      <c r="Q818">
        <v>10</v>
      </c>
      <c r="R818" t="str">
        <f>IF(AllDataCorrected[[#This Row],[Nitrate (PPM)]]&gt;2, "4. Very high (&gt;2ppm)", IF(AllDataCorrected[[#This Row],[Nitrate (PPM)]]&gt;1, "3. High (1-2ppm)", IF(AllDataCorrected[[#This Row],[Nitrate (PPM)]]&gt;0.5, "2. Some evidence (0.5-1ppm)", IF(AllDataCorrected[[#This Row],[Nitrate (PPM)]]&gt;=0, "1. No evidence (&lt;0.5ppm)"))))</f>
        <v>4. Very high (&gt;2ppm)</v>
      </c>
      <c r="S818">
        <v>0.64</v>
      </c>
      <c r="T8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18">
        <v>0.6</v>
      </c>
    </row>
    <row r="819" spans="1:22" x14ac:dyDescent="0.25">
      <c r="A819" t="s">
        <v>1130</v>
      </c>
      <c r="B819" s="2">
        <v>45428</v>
      </c>
      <c r="C819" t="str" cm="1">
        <f t="array" ref="C8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9">
        <f>YEAR(AllDataCorrected[[#This Row],[Date]])</f>
        <v>2024</v>
      </c>
      <c r="E819" s="1">
        <v>0.71875</v>
      </c>
      <c r="F8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9" t="str">
        <f>_xlfn.XLOOKUP(AllDataCorrected[[#This Row],[Location Name]], Locations[Location Name],Locations[Group As])</f>
        <v>Stour Willington</v>
      </c>
      <c r="H819" t="e" vm="2">
        <f>_xlfn.XLOOKUP(AllDataCorrected[[#This Row],[Site Name]],LocationsKey[Site Name],LocationsKey[District])</f>
        <v>#VALUE!</v>
      </c>
      <c r="I819" t="str">
        <f>_xlfn.XLOOKUP(AllDataCorrected[[#This Row],[Site Name]],LocationsKey[Site Name],LocationsKey[Town])</f>
        <v>Willington</v>
      </c>
      <c r="J819" t="str">
        <f>_xlfn.XLOOKUP(AllDataCorrected[[#This Row],[Site Name]],LocationsKey[Site Name], LocationsKey[Waterway])</f>
        <v>Stour</v>
      </c>
      <c r="K819" t="s">
        <v>517</v>
      </c>
      <c r="L819">
        <f>_xlfn.XLOOKUP(AllDataCorrected[[#This Row],[Site Name]],Tables!$B$12:$B$78, Tables!C$12:C$78)</f>
        <v>52.053154375000005</v>
      </c>
      <c r="M819">
        <f>_xlfn.XLOOKUP(AllDataCorrected[[#This Row],[Site Name]],Tables!$B$12:$B$78, Tables!D$12:D$78)</f>
        <v>-1.6191991562500001</v>
      </c>
      <c r="N819" t="s">
        <v>23</v>
      </c>
      <c r="O819">
        <v>661</v>
      </c>
      <c r="P819">
        <v>16.399999999999999</v>
      </c>
      <c r="Q819">
        <v>2</v>
      </c>
      <c r="R819" t="str">
        <f>IF(AllDataCorrected[[#This Row],[Nitrate (PPM)]]&gt;2, "4. Very high (&gt;2ppm)", IF(AllDataCorrected[[#This Row],[Nitrate (PPM)]]&gt;1, "3. High (1-2ppm)", IF(AllDataCorrected[[#This Row],[Nitrate (PPM)]]&gt;0.5, "2. Some evidence (0.5-1ppm)", IF(AllDataCorrected[[#This Row],[Nitrate (PPM)]]&gt;=0, "1. No evidence (&lt;0.5ppm)"))))</f>
        <v>3. High (1-2ppm)</v>
      </c>
      <c r="S819">
        <v>0.27</v>
      </c>
      <c r="T8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9">
        <v>0.5</v>
      </c>
    </row>
    <row r="820" spans="1:22" x14ac:dyDescent="0.25">
      <c r="A820" t="s">
        <v>1131</v>
      </c>
      <c r="B820" s="2">
        <v>45429</v>
      </c>
      <c r="C820" t="str" cm="1">
        <f t="array" ref="C8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0">
        <f>YEAR(AllDataCorrected[[#This Row],[Date]])</f>
        <v>2024</v>
      </c>
      <c r="E820" s="1">
        <v>0.38263888888888886</v>
      </c>
      <c r="F8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0" t="str">
        <f>_xlfn.XLOOKUP(AllDataCorrected[[#This Row],[Location Name]], Locations[Location Name],Locations[Group As])</f>
        <v>Lower Lode</v>
      </c>
      <c r="H820" t="e" vm="1">
        <f>_xlfn.XLOOKUP(AllDataCorrected[[#This Row],[Site Name]],LocationsKey[Site Name],LocationsKey[District])</f>
        <v>#VALUE!</v>
      </c>
      <c r="I820" t="e" vm="1">
        <f>_xlfn.XLOOKUP(AllDataCorrected[[#This Row],[Site Name]],LocationsKey[Site Name],LocationsKey[Town])</f>
        <v>#VALUE!</v>
      </c>
      <c r="J820" t="str">
        <f>_xlfn.XLOOKUP(AllDataCorrected[[#This Row],[Site Name]],LocationsKey[Site Name], LocationsKey[Waterway])</f>
        <v>Avon</v>
      </c>
      <c r="K820" t="s">
        <v>592</v>
      </c>
      <c r="L820">
        <f>_xlfn.XLOOKUP(AllDataCorrected[[#This Row],[Site Name]],Tables!$B$12:$B$78, Tables!C$12:C$78)</f>
        <v>51.984954782608689</v>
      </c>
      <c r="M820">
        <f>_xlfn.XLOOKUP(AllDataCorrected[[#This Row],[Site Name]],Tables!$B$12:$B$78, Tables!D$12:D$78)</f>
        <v>-2.1744283478260868</v>
      </c>
      <c r="N820" t="s">
        <v>29</v>
      </c>
      <c r="O820">
        <v>8440</v>
      </c>
      <c r="P820">
        <v>17.399999999999999</v>
      </c>
      <c r="Q820">
        <v>10</v>
      </c>
      <c r="R820" t="str">
        <f>IF(AllDataCorrected[[#This Row],[Nitrate (PPM)]]&gt;2, "4. Very high (&gt;2ppm)", IF(AllDataCorrected[[#This Row],[Nitrate (PPM)]]&gt;1, "3. High (1-2ppm)", IF(AllDataCorrected[[#This Row],[Nitrate (PPM)]]&gt;0.5, "2. Some evidence (0.5-1ppm)", IF(AllDataCorrected[[#This Row],[Nitrate (PPM)]]&gt;=0, "1. No evidence (&lt;0.5ppm)"))))</f>
        <v>4. Very high (&gt;2ppm)</v>
      </c>
      <c r="S820">
        <v>0.56000000000000005</v>
      </c>
      <c r="T8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0">
        <v>0</v>
      </c>
    </row>
    <row r="821" spans="1:22" x14ac:dyDescent="0.25">
      <c r="A821" t="s">
        <v>1132</v>
      </c>
      <c r="B821" s="2">
        <v>45429</v>
      </c>
      <c r="C821" t="str" cm="1">
        <f t="array" ref="C8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1">
        <f>YEAR(AllDataCorrected[[#This Row],[Date]])</f>
        <v>2024</v>
      </c>
      <c r="E821" s="1">
        <v>0.5</v>
      </c>
      <c r="F8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1" t="str">
        <f>_xlfn.XLOOKUP(AllDataCorrected[[#This Row],[Location Name]], Locations[Location Name],Locations[Group As])</f>
        <v>Mill Bridge Peopleton</v>
      </c>
      <c r="H821" t="e" vm="17">
        <f>_xlfn.XLOOKUP(AllDataCorrected[[#This Row],[Site Name]],LocationsKey[Site Name],LocationsKey[District])</f>
        <v>#VALUE!</v>
      </c>
      <c r="I821" t="str">
        <f>_xlfn.XLOOKUP(AllDataCorrected[[#This Row],[Site Name]],LocationsKey[Site Name],LocationsKey[Town])</f>
        <v>Peopleton</v>
      </c>
      <c r="J821" t="str">
        <f>_xlfn.XLOOKUP(AllDataCorrected[[#This Row],[Site Name]],LocationsKey[Site Name], LocationsKey[Waterway])</f>
        <v>Bow Brook</v>
      </c>
      <c r="K821" t="s">
        <v>921</v>
      </c>
      <c r="L821">
        <f>_xlfn.XLOOKUP(AllDataCorrected[[#This Row],[Site Name]],Tables!$B$12:$B$78, Tables!C$12:C$78)</f>
        <v>52.15202992857143</v>
      </c>
      <c r="M821">
        <f>_xlfn.XLOOKUP(AllDataCorrected[[#This Row],[Site Name]],Tables!$B$12:$B$78, Tables!D$12:D$78)</f>
        <v>-2.0954780000000004</v>
      </c>
      <c r="N821" t="s">
        <v>29</v>
      </c>
      <c r="O821">
        <v>1120</v>
      </c>
      <c r="P821">
        <v>16.7</v>
      </c>
      <c r="Q821">
        <v>5</v>
      </c>
      <c r="R821" t="str">
        <f>IF(AllDataCorrected[[#This Row],[Nitrate (PPM)]]&gt;2, "4. Very high (&gt;2ppm)", IF(AllDataCorrected[[#This Row],[Nitrate (PPM)]]&gt;1, "3. High (1-2ppm)", IF(AllDataCorrected[[#This Row],[Nitrate (PPM)]]&gt;0.5, "2. Some evidence (0.5-1ppm)", IF(AllDataCorrected[[#This Row],[Nitrate (PPM)]]&gt;=0, "1. No evidence (&lt;0.5ppm)"))))</f>
        <v>4. Very high (&gt;2ppm)</v>
      </c>
      <c r="S821">
        <v>1.04</v>
      </c>
      <c r="T8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1">
        <v>0.45</v>
      </c>
    </row>
    <row r="822" spans="1:22" x14ac:dyDescent="0.25">
      <c r="A822" t="s">
        <v>1133</v>
      </c>
      <c r="B822" s="2">
        <v>45429</v>
      </c>
      <c r="C822" t="str" cm="1">
        <f t="array" ref="C8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2">
        <f>YEAR(AllDataCorrected[[#This Row],[Date]])</f>
        <v>2024</v>
      </c>
      <c r="E822" s="1">
        <v>0.54513888888888884</v>
      </c>
      <c r="F8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2" t="str">
        <f>_xlfn.XLOOKUP(AllDataCorrected[[#This Row],[Location Name]], Locations[Location Name],Locations[Group As])</f>
        <v>Swilgate</v>
      </c>
      <c r="H822" t="e" vm="1">
        <f>_xlfn.XLOOKUP(AllDataCorrected[[#This Row],[Site Name]],LocationsKey[Site Name],LocationsKey[District])</f>
        <v>#VALUE!</v>
      </c>
      <c r="I822" t="e" vm="1">
        <f>_xlfn.XLOOKUP(AllDataCorrected[[#This Row],[Site Name]],LocationsKey[Site Name],LocationsKey[Town])</f>
        <v>#VALUE!</v>
      </c>
      <c r="J822" t="str">
        <f>_xlfn.XLOOKUP(AllDataCorrected[[#This Row],[Site Name]],LocationsKey[Site Name], LocationsKey[Waterway])</f>
        <v>Swilgate</v>
      </c>
      <c r="K822" t="s">
        <v>480</v>
      </c>
      <c r="L822">
        <f>_xlfn.XLOOKUP(AllDataCorrected[[#This Row],[Site Name]],Tables!$B$12:$B$78, Tables!C$12:C$78)</f>
        <v>51.9885442</v>
      </c>
      <c r="M822">
        <f>_xlfn.XLOOKUP(AllDataCorrected[[#This Row],[Site Name]],Tables!$B$12:$B$78, Tables!D$12:D$78)</f>
        <v>-2.1639010000000001</v>
      </c>
      <c r="N822" t="s">
        <v>23</v>
      </c>
      <c r="O822">
        <v>857</v>
      </c>
      <c r="P822">
        <v>16.600000000000001</v>
      </c>
      <c r="Q822">
        <v>5</v>
      </c>
      <c r="R822" t="str">
        <f>IF(AllDataCorrected[[#This Row],[Nitrate (PPM)]]&gt;2, "4. Very high (&gt;2ppm)", IF(AllDataCorrected[[#This Row],[Nitrate (PPM)]]&gt;1, "3. High (1-2ppm)", IF(AllDataCorrected[[#This Row],[Nitrate (PPM)]]&gt;0.5, "2. Some evidence (0.5-1ppm)", IF(AllDataCorrected[[#This Row],[Nitrate (PPM)]]&gt;=0, "1. No evidence (&lt;0.5ppm)"))))</f>
        <v>4. Very high (&gt;2ppm)</v>
      </c>
      <c r="S822">
        <v>0.13</v>
      </c>
      <c r="T8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2">
        <v>0</v>
      </c>
    </row>
    <row r="823" spans="1:22" x14ac:dyDescent="0.25">
      <c r="A823" t="s">
        <v>1134</v>
      </c>
      <c r="B823" s="2">
        <v>45430</v>
      </c>
      <c r="C823" t="str" cm="1">
        <f t="array" ref="C8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3">
        <f>YEAR(AllDataCorrected[[#This Row],[Date]])</f>
        <v>2024</v>
      </c>
      <c r="E823" s="1">
        <v>0.44791666666666669</v>
      </c>
      <c r="F8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3" t="str">
        <f>_xlfn.XLOOKUP(AllDataCorrected[[#This Row],[Location Name]], Locations[Location Name],Locations[Group As])</f>
        <v>Pitch 16</v>
      </c>
      <c r="H823" t="e" vm="2">
        <f>_xlfn.XLOOKUP(AllDataCorrected[[#This Row],[Site Name]],LocationsKey[Site Name],LocationsKey[District])</f>
        <v>#VALUE!</v>
      </c>
      <c r="I823" t="e" vm="7">
        <f>_xlfn.XLOOKUP(AllDataCorrected[[#This Row],[Site Name]],LocationsKey[Site Name],LocationsKey[Town])</f>
        <v>#VALUE!</v>
      </c>
      <c r="J823" t="str">
        <f>_xlfn.XLOOKUP(AllDataCorrected[[#This Row],[Site Name]],LocationsKey[Site Name], LocationsKey[Waterway])</f>
        <v>Avon</v>
      </c>
      <c r="K823" t="s">
        <v>69</v>
      </c>
      <c r="L823">
        <f>_xlfn.XLOOKUP(AllDataCorrected[[#This Row],[Site Name]],Tables!$B$12:$B$78, Tables!C$12:C$78)</f>
        <v>52.17355294117646</v>
      </c>
      <c r="M823">
        <f>_xlfn.XLOOKUP(AllDataCorrected[[#This Row],[Site Name]],Tables!$B$12:$B$78, Tables!D$12:D$78)</f>
        <v>-1.7433199411764708</v>
      </c>
      <c r="N823" t="s">
        <v>29</v>
      </c>
      <c r="O823">
        <v>904</v>
      </c>
      <c r="P823">
        <v>20.2</v>
      </c>
      <c r="Q823">
        <v>6</v>
      </c>
      <c r="R823" t="str">
        <f>IF(AllDataCorrected[[#This Row],[Nitrate (PPM)]]&gt;2, "4. Very high (&gt;2ppm)", IF(AllDataCorrected[[#This Row],[Nitrate (PPM)]]&gt;1, "3. High (1-2ppm)", IF(AllDataCorrected[[#This Row],[Nitrate (PPM)]]&gt;0.5, "2. Some evidence (0.5-1ppm)", IF(AllDataCorrected[[#This Row],[Nitrate (PPM)]]&gt;=0, "1. No evidence (&lt;0.5ppm)"))))</f>
        <v>4. Very high (&gt;2ppm)</v>
      </c>
      <c r="S823">
        <v>0.38</v>
      </c>
      <c r="T8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3">
        <v>0.5</v>
      </c>
    </row>
    <row r="824" spans="1:22" x14ac:dyDescent="0.25">
      <c r="A824" t="s">
        <v>1135</v>
      </c>
      <c r="B824" s="2">
        <v>45430</v>
      </c>
      <c r="C824" t="str" cm="1">
        <f t="array" ref="C8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4">
        <f>YEAR(AllDataCorrected[[#This Row],[Date]])</f>
        <v>2024</v>
      </c>
      <c r="E824" s="1">
        <v>0.44861111111111113</v>
      </c>
      <c r="F8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4" t="str">
        <f>_xlfn.XLOOKUP(AllDataCorrected[[#This Row],[Location Name]], Locations[Location Name],Locations[Group As])</f>
        <v>Avon Smiths Meadow Wyre Piddle</v>
      </c>
      <c r="H824" t="e" vm="17">
        <f>_xlfn.XLOOKUP(AllDataCorrected[[#This Row],[Site Name]],LocationsKey[Site Name],LocationsKey[District])</f>
        <v>#VALUE!</v>
      </c>
      <c r="I824" t="e" vm="20">
        <f>_xlfn.XLOOKUP(AllDataCorrected[[#This Row],[Site Name]],LocationsKey[Site Name],LocationsKey[Town])</f>
        <v>#VALUE!</v>
      </c>
      <c r="J824" t="str">
        <f>_xlfn.XLOOKUP(AllDataCorrected[[#This Row],[Site Name]],LocationsKey[Site Name], LocationsKey[Waterway])</f>
        <v>Avon</v>
      </c>
      <c r="K824" t="s">
        <v>741</v>
      </c>
      <c r="L824">
        <f>_xlfn.XLOOKUP(AllDataCorrected[[#This Row],[Site Name]],Tables!$B$12:$B$78, Tables!C$12:C$78)</f>
        <v>52.123045961538452</v>
      </c>
      <c r="M824">
        <f>_xlfn.XLOOKUP(AllDataCorrected[[#This Row],[Site Name]],Tables!$B$12:$B$78, Tables!D$12:D$78)</f>
        <v>-2.0572161923076919</v>
      </c>
      <c r="N824" t="s">
        <v>23</v>
      </c>
      <c r="O824">
        <v>929</v>
      </c>
      <c r="P824">
        <v>18</v>
      </c>
      <c r="Q824">
        <v>7</v>
      </c>
      <c r="R824" t="str">
        <f>IF(AllDataCorrected[[#This Row],[Nitrate (PPM)]]&gt;2, "4. Very high (&gt;2ppm)", IF(AllDataCorrected[[#This Row],[Nitrate (PPM)]]&gt;1, "3. High (1-2ppm)", IF(AllDataCorrected[[#This Row],[Nitrate (PPM)]]&gt;0.5, "2. Some evidence (0.5-1ppm)", IF(AllDataCorrected[[#This Row],[Nitrate (PPM)]]&gt;=0, "1. No evidence (&lt;0.5ppm)"))))</f>
        <v>4. Very high (&gt;2ppm)</v>
      </c>
      <c r="S824">
        <v>0.57999999999999996</v>
      </c>
      <c r="T8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4">
        <v>0.64</v>
      </c>
      <c r="V824" t="s">
        <v>1136</v>
      </c>
    </row>
    <row r="825" spans="1:22" x14ac:dyDescent="0.25">
      <c r="A825" t="s">
        <v>1137</v>
      </c>
      <c r="B825" s="2">
        <v>45430</v>
      </c>
      <c r="C825" t="str" cm="1">
        <f t="array" ref="C8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5">
        <f>YEAR(AllDataCorrected[[#This Row],[Date]])</f>
        <v>2024</v>
      </c>
      <c r="E825" s="1">
        <v>0.46388888888888891</v>
      </c>
      <c r="F8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5" t="str">
        <f>_xlfn.XLOOKUP(AllDataCorrected[[#This Row],[Location Name]], Locations[Location Name],Locations[Group As])</f>
        <v>Avonbank Drive</v>
      </c>
      <c r="H825" t="e" vm="2">
        <f>_xlfn.XLOOKUP(AllDataCorrected[[#This Row],[Site Name]],LocationsKey[Site Name],LocationsKey[District])</f>
        <v>#VALUE!</v>
      </c>
      <c r="I825" t="e" vm="7">
        <f>_xlfn.XLOOKUP(AllDataCorrected[[#This Row],[Site Name]],LocationsKey[Site Name],LocationsKey[Town])</f>
        <v>#VALUE!</v>
      </c>
      <c r="J825" t="str">
        <f>_xlfn.XLOOKUP(AllDataCorrected[[#This Row],[Site Name]],LocationsKey[Site Name], LocationsKey[Waterway])</f>
        <v>Avon</v>
      </c>
      <c r="K825" t="s">
        <v>325</v>
      </c>
      <c r="L825">
        <f>_xlfn.XLOOKUP(AllDataCorrected[[#This Row],[Site Name]],Tables!$B$12:$B$78, Tables!C$12:C$78)</f>
        <v>52.177054657142854</v>
      </c>
      <c r="M825">
        <f>_xlfn.XLOOKUP(AllDataCorrected[[#This Row],[Site Name]],Tables!$B$12:$B$78, Tables!D$12:D$78)</f>
        <v>-1.7358669999999996</v>
      </c>
      <c r="N825" t="s">
        <v>66</v>
      </c>
      <c r="O825">
        <v>908</v>
      </c>
      <c r="P825">
        <v>20.100000000000001</v>
      </c>
      <c r="Q825">
        <v>10</v>
      </c>
      <c r="R825" t="str">
        <f>IF(AllDataCorrected[[#This Row],[Nitrate (PPM)]]&gt;2, "4. Very high (&gt;2ppm)", IF(AllDataCorrected[[#This Row],[Nitrate (PPM)]]&gt;1, "3. High (1-2ppm)", IF(AllDataCorrected[[#This Row],[Nitrate (PPM)]]&gt;0.5, "2. Some evidence (0.5-1ppm)", IF(AllDataCorrected[[#This Row],[Nitrate (PPM)]]&gt;=0, "1. No evidence (&lt;0.5ppm)"))))</f>
        <v>4. Very high (&gt;2ppm)</v>
      </c>
      <c r="S825">
        <v>0.28999999999999998</v>
      </c>
      <c r="T8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5">
        <v>0.5</v>
      </c>
    </row>
    <row r="826" spans="1:22" x14ac:dyDescent="0.25">
      <c r="A826" t="s">
        <v>1138</v>
      </c>
      <c r="B826" s="2">
        <v>45430</v>
      </c>
      <c r="C826" t="str" cm="1">
        <f t="array" ref="C8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6">
        <f>YEAR(AllDataCorrected[[#This Row],[Date]])</f>
        <v>2024</v>
      </c>
      <c r="E826" s="1">
        <v>0.48125000000000001</v>
      </c>
      <c r="F8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6" t="str">
        <f>_xlfn.XLOOKUP(AllDataCorrected[[#This Row],[Location Name]], Locations[Location Name],Locations[Group As])</f>
        <v>Piddle Brook Wyre Piddle Bridge</v>
      </c>
      <c r="H826" t="e" vm="17">
        <f>_xlfn.XLOOKUP(AllDataCorrected[[#This Row],[Site Name]],LocationsKey[Site Name],LocationsKey[District])</f>
        <v>#VALUE!</v>
      </c>
      <c r="I826" t="e" vm="20">
        <f>_xlfn.XLOOKUP(AllDataCorrected[[#This Row],[Site Name]],LocationsKey[Site Name],LocationsKey[Town])</f>
        <v>#VALUE!</v>
      </c>
      <c r="J826" t="str">
        <f>_xlfn.XLOOKUP(AllDataCorrected[[#This Row],[Site Name]],LocationsKey[Site Name], LocationsKey[Waterway])</f>
        <v>Piddle Brook</v>
      </c>
      <c r="K826" t="s">
        <v>744</v>
      </c>
      <c r="L826">
        <f>_xlfn.XLOOKUP(AllDataCorrected[[#This Row],[Site Name]],Tables!$B$12:$B$78, Tables!C$12:C$78)</f>
        <v>52.126401720000004</v>
      </c>
      <c r="M826">
        <f>_xlfn.XLOOKUP(AllDataCorrected[[#This Row],[Site Name]],Tables!$B$12:$B$78, Tables!D$12:D$78)</f>
        <v>-2.0565162000000003</v>
      </c>
      <c r="N826" t="s">
        <v>23</v>
      </c>
      <c r="O826">
        <v>1310</v>
      </c>
      <c r="P826">
        <v>16.2</v>
      </c>
      <c r="Q826">
        <v>5</v>
      </c>
      <c r="R826" t="str">
        <f>IF(AllDataCorrected[[#This Row],[Nitrate (PPM)]]&gt;2, "4. Very high (&gt;2ppm)", IF(AllDataCorrected[[#This Row],[Nitrate (PPM)]]&gt;1, "3. High (1-2ppm)", IF(AllDataCorrected[[#This Row],[Nitrate (PPM)]]&gt;0.5, "2. Some evidence (0.5-1ppm)", IF(AllDataCorrected[[#This Row],[Nitrate (PPM)]]&gt;=0, "1. No evidence (&lt;0.5ppm)"))))</f>
        <v>4. Very high (&gt;2ppm)</v>
      </c>
      <c r="S826">
        <v>0.89</v>
      </c>
      <c r="T8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6">
        <v>0.22</v>
      </c>
      <c r="V826" t="s">
        <v>1139</v>
      </c>
    </row>
    <row r="827" spans="1:22" x14ac:dyDescent="0.25">
      <c r="A827" t="s">
        <v>1144</v>
      </c>
      <c r="B827" s="2">
        <v>45430</v>
      </c>
      <c r="C827" t="str" cm="1">
        <f t="array" ref="C8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7">
        <f>YEAR(AllDataCorrected[[#This Row],[Date]])</f>
        <v>2024</v>
      </c>
      <c r="E827" s="1">
        <v>0.49652777777777779</v>
      </c>
      <c r="F8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7" t="str">
        <f>_xlfn.XLOOKUP(AllDataCorrected[[#This Row],[Location Name]], Locations[Location Name],Locations[Group As])</f>
        <v>The Ford, Langley</v>
      </c>
      <c r="H827" t="e" vm="2">
        <f>_xlfn.XLOOKUP(AllDataCorrected[[#This Row],[Site Name]],LocationsKey[Site Name],LocationsKey[District])</f>
        <v>#VALUE!</v>
      </c>
      <c r="I827" t="str">
        <f>_xlfn.XLOOKUP(AllDataCorrected[[#This Row],[Site Name]],LocationsKey[Site Name],LocationsKey[Town])</f>
        <v>Langley</v>
      </c>
      <c r="J827" t="str">
        <f>_xlfn.XLOOKUP(AllDataCorrected[[#This Row],[Site Name]],LocationsKey[Site Name], LocationsKey[Waterway])</f>
        <v>Langley Ford</v>
      </c>
      <c r="K827" t="s">
        <v>526</v>
      </c>
      <c r="L827">
        <f>_xlfn.XLOOKUP(AllDataCorrected[[#This Row],[Site Name]],Tables!$B$12:$B$78, Tables!C$12:C$78)</f>
        <v>52.261724821428579</v>
      </c>
      <c r="M827">
        <f>_xlfn.XLOOKUP(AllDataCorrected[[#This Row],[Site Name]],Tables!$B$12:$B$78, Tables!D$12:D$78)</f>
        <v>-1.719408857142857</v>
      </c>
      <c r="N827" t="s">
        <v>29</v>
      </c>
      <c r="O827">
        <v>810</v>
      </c>
      <c r="P827">
        <v>13.5</v>
      </c>
      <c r="Q827">
        <v>2</v>
      </c>
      <c r="R827" t="str">
        <f>IF(AllDataCorrected[[#This Row],[Nitrate (PPM)]]&gt;2, "4. Very high (&gt;2ppm)", IF(AllDataCorrected[[#This Row],[Nitrate (PPM)]]&gt;1, "3. High (1-2ppm)", IF(AllDataCorrected[[#This Row],[Nitrate (PPM)]]&gt;0.5, "2. Some evidence (0.5-1ppm)", IF(AllDataCorrected[[#This Row],[Nitrate (PPM)]]&gt;=0, "1. No evidence (&lt;0.5ppm)"))))</f>
        <v>3. High (1-2ppm)</v>
      </c>
      <c r="S827">
        <v>0.66</v>
      </c>
      <c r="T8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7">
        <v>25</v>
      </c>
    </row>
    <row r="828" spans="1:22" x14ac:dyDescent="0.25">
      <c r="A828" t="s">
        <v>1140</v>
      </c>
      <c r="B828" s="2">
        <v>45430</v>
      </c>
      <c r="C828" t="str" cm="1">
        <f t="array" ref="C8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8">
        <f>YEAR(AllDataCorrected[[#This Row],[Date]])</f>
        <v>2024</v>
      </c>
      <c r="E828" s="1">
        <v>0.52083333333333337</v>
      </c>
      <c r="F8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8" t="str">
        <f>_xlfn.XLOOKUP(AllDataCorrected[[#This Row],[Location Name]], Locations[Location Name],Locations[Group As])</f>
        <v>Fell Mill Footbridge</v>
      </c>
      <c r="H828" t="e" vm="2">
        <f>_xlfn.XLOOKUP(AllDataCorrected[[#This Row],[Site Name]],LocationsKey[Site Name],LocationsKey[District])</f>
        <v>#VALUE!</v>
      </c>
      <c r="I828" t="e" vm="10">
        <f>_xlfn.XLOOKUP(AllDataCorrected[[#This Row],[Site Name]],LocationsKey[Site Name],LocationsKey[Town])</f>
        <v>#VALUE!</v>
      </c>
      <c r="J828" t="str">
        <f>_xlfn.XLOOKUP(AllDataCorrected[[#This Row],[Site Name]],LocationsKey[Site Name], LocationsKey[Waterway])</f>
        <v>Stour</v>
      </c>
      <c r="K828" t="s">
        <v>818</v>
      </c>
      <c r="L828">
        <f>_xlfn.XLOOKUP(AllDataCorrected[[#This Row],[Site Name]],Tables!$B$12:$B$78, Tables!C$12:C$78)</f>
        <v>52.067966827586183</v>
      </c>
      <c r="M828">
        <f>_xlfn.XLOOKUP(AllDataCorrected[[#This Row],[Site Name]],Tables!$B$12:$B$78, Tables!D$12:D$78)</f>
        <v>-1.6118101379310343</v>
      </c>
      <c r="N828" t="s">
        <v>29</v>
      </c>
      <c r="O828">
        <v>632</v>
      </c>
      <c r="P828">
        <v>15.9</v>
      </c>
      <c r="Q828">
        <v>5</v>
      </c>
      <c r="R828" t="str">
        <f>IF(AllDataCorrected[[#This Row],[Nitrate (PPM)]]&gt;2, "4. Very high (&gt;2ppm)", IF(AllDataCorrected[[#This Row],[Nitrate (PPM)]]&gt;1, "3. High (1-2ppm)", IF(AllDataCorrected[[#This Row],[Nitrate (PPM)]]&gt;0.5, "2. Some evidence (0.5-1ppm)", IF(AllDataCorrected[[#This Row],[Nitrate (PPM)]]&gt;=0, "1. No evidence (&lt;0.5ppm)"))))</f>
        <v>4. Very high (&gt;2ppm)</v>
      </c>
      <c r="S828">
        <v>0.12</v>
      </c>
      <c r="T8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8">
        <v>1.23</v>
      </c>
      <c r="V828" t="s">
        <v>1141</v>
      </c>
    </row>
    <row r="829" spans="1:22" x14ac:dyDescent="0.25">
      <c r="A829" t="s">
        <v>1142</v>
      </c>
      <c r="B829" s="2">
        <v>45430</v>
      </c>
      <c r="C829" t="str" cm="1">
        <f t="array" ref="C8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9">
        <f>YEAR(AllDataCorrected[[#This Row],[Date]])</f>
        <v>2024</v>
      </c>
      <c r="E829" s="1">
        <v>0.63263888888888886</v>
      </c>
      <c r="F8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9" t="str">
        <f>_xlfn.XLOOKUP(AllDataCorrected[[#This Row],[Location Name]], Locations[Location Name],Locations[Group As])</f>
        <v>Preston-on-Stour River Bridge</v>
      </c>
      <c r="H829" t="e" vm="2">
        <f>_xlfn.XLOOKUP(AllDataCorrected[[#This Row],[Site Name]],LocationsKey[Site Name],LocationsKey[District])</f>
        <v>#VALUE!</v>
      </c>
      <c r="I829" t="e" vm="9">
        <f>_xlfn.XLOOKUP(AllDataCorrected[[#This Row],[Site Name]],LocationsKey[Site Name],LocationsKey[Town])</f>
        <v>#VALUE!</v>
      </c>
      <c r="J829" t="str">
        <f>_xlfn.XLOOKUP(AllDataCorrected[[#This Row],[Site Name]],LocationsKey[Site Name], LocationsKey[Waterway])</f>
        <v>Stour</v>
      </c>
      <c r="K829" t="s">
        <v>163</v>
      </c>
      <c r="L829">
        <f>_xlfn.XLOOKUP(AllDataCorrected[[#This Row],[Site Name]],Tables!$B$12:$B$78, Tables!C$12:C$78)</f>
        <v>52.146529500000007</v>
      </c>
      <c r="M829">
        <f>_xlfn.XLOOKUP(AllDataCorrected[[#This Row],[Site Name]],Tables!$B$12:$B$78, Tables!D$12:D$78)</f>
        <v>-1.6996899999999999</v>
      </c>
      <c r="N829" t="s">
        <v>29</v>
      </c>
      <c r="O829">
        <v>699</v>
      </c>
      <c r="P829">
        <v>17.100000000000001</v>
      </c>
      <c r="Q829">
        <v>5</v>
      </c>
      <c r="R829" t="str">
        <f>IF(AllDataCorrected[[#This Row],[Nitrate (PPM)]]&gt;2, "4. Very high (&gt;2ppm)", IF(AllDataCorrected[[#This Row],[Nitrate (PPM)]]&gt;1, "3. High (1-2ppm)", IF(AllDataCorrected[[#This Row],[Nitrate (PPM)]]&gt;0.5, "2. Some evidence (0.5-1ppm)", IF(AllDataCorrected[[#This Row],[Nitrate (PPM)]]&gt;=0, "1. No evidence (&lt;0.5ppm)"))))</f>
        <v>4. Very high (&gt;2ppm)</v>
      </c>
      <c r="S829">
        <v>0.28999999999999998</v>
      </c>
      <c r="T8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9">
        <v>1.25</v>
      </c>
    </row>
    <row r="830" spans="1:22" x14ac:dyDescent="0.25">
      <c r="A830" t="s">
        <v>1143</v>
      </c>
      <c r="B830" s="2">
        <v>45430</v>
      </c>
      <c r="C830" t="str" cm="1">
        <f t="array" ref="C8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0">
        <f>YEAR(AllDataCorrected[[#This Row],[Date]])</f>
        <v>2024</v>
      </c>
      <c r="E830" s="1">
        <v>0.73541666666666672</v>
      </c>
      <c r="F8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0" t="str">
        <f>_xlfn.XLOOKUP(AllDataCorrected[[#This Row],[Location Name]], Locations[Location Name],Locations[Group As])</f>
        <v>Black Bear</v>
      </c>
      <c r="H830" t="e" vm="1">
        <f>_xlfn.XLOOKUP(AllDataCorrected[[#This Row],[Site Name]],LocationsKey[Site Name],LocationsKey[District])</f>
        <v>#VALUE!</v>
      </c>
      <c r="I830" t="e" vm="1">
        <f>_xlfn.XLOOKUP(AllDataCorrected[[#This Row],[Site Name]],LocationsKey[Site Name],LocationsKey[Town])</f>
        <v>#VALUE!</v>
      </c>
      <c r="J830" t="str">
        <f>_xlfn.XLOOKUP(AllDataCorrected[[#This Row],[Site Name]],LocationsKey[Site Name], LocationsKey[Waterway])</f>
        <v>Avon</v>
      </c>
      <c r="K830" t="s">
        <v>567</v>
      </c>
      <c r="L830">
        <f>_xlfn.XLOOKUP(AllDataCorrected[[#This Row],[Site Name]],Tables!$B$12:$B$78, Tables!C$12:C$78)</f>
        <v>51.997435214285723</v>
      </c>
      <c r="M830">
        <f>_xlfn.XLOOKUP(AllDataCorrected[[#This Row],[Site Name]],Tables!$B$12:$B$78, Tables!D$12:D$78)</f>
        <v>-2.1562056785714288</v>
      </c>
      <c r="N830" t="s">
        <v>23</v>
      </c>
      <c r="O830">
        <v>917</v>
      </c>
      <c r="P830">
        <v>19.5</v>
      </c>
      <c r="Q830">
        <v>8</v>
      </c>
      <c r="R830" t="str">
        <f>IF(AllDataCorrected[[#This Row],[Nitrate (PPM)]]&gt;2, "4. Very high (&gt;2ppm)", IF(AllDataCorrected[[#This Row],[Nitrate (PPM)]]&gt;1, "3. High (1-2ppm)", IF(AllDataCorrected[[#This Row],[Nitrate (PPM)]]&gt;0.5, "2. Some evidence (0.5-1ppm)", IF(AllDataCorrected[[#This Row],[Nitrate (PPM)]]&gt;=0, "1. No evidence (&lt;0.5ppm)"))))</f>
        <v>4. Very high (&gt;2ppm)</v>
      </c>
      <c r="S830">
        <v>0.54</v>
      </c>
      <c r="T8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0">
        <v>0</v>
      </c>
    </row>
    <row r="831" spans="1:22" x14ac:dyDescent="0.25">
      <c r="A831" t="s">
        <v>1145</v>
      </c>
      <c r="B831" s="2">
        <v>45431</v>
      </c>
      <c r="C831" t="str" cm="1">
        <f t="array" ref="C8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1">
        <f>YEAR(AllDataCorrected[[#This Row],[Date]])</f>
        <v>2024</v>
      </c>
      <c r="E831" s="1">
        <v>0.5</v>
      </c>
      <c r="F8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1" t="str">
        <f>_xlfn.XLOOKUP(AllDataCorrected[[#This Row],[Location Name]], Locations[Location Name],Locations[Group As])</f>
        <v>Carrant Bredon Rd</v>
      </c>
      <c r="H831" t="e" vm="1">
        <f>_xlfn.XLOOKUP(AllDataCorrected[[#This Row],[Site Name]],LocationsKey[Site Name],LocationsKey[District])</f>
        <v>#VALUE!</v>
      </c>
      <c r="I831" t="e" vm="1">
        <f>_xlfn.XLOOKUP(AllDataCorrected[[#This Row],[Site Name]],LocationsKey[Site Name],LocationsKey[Town])</f>
        <v>#VALUE!</v>
      </c>
      <c r="J831" t="str">
        <f>_xlfn.XLOOKUP(AllDataCorrected[[#This Row],[Site Name]],LocationsKey[Site Name], LocationsKey[Waterway])</f>
        <v>Carrant</v>
      </c>
      <c r="K831" t="s">
        <v>600</v>
      </c>
      <c r="L831">
        <f>_xlfn.XLOOKUP(AllDataCorrected[[#This Row],[Site Name]],Tables!$B$12:$B$78, Tables!C$12:C$78)</f>
        <v>51.996416567567572</v>
      </c>
      <c r="M831">
        <f>_xlfn.XLOOKUP(AllDataCorrected[[#This Row],[Site Name]],Tables!$B$12:$B$78, Tables!D$12:D$78)</f>
        <v>-2.1556626756756749</v>
      </c>
      <c r="N831" t="s">
        <v>23</v>
      </c>
      <c r="O831">
        <v>741</v>
      </c>
      <c r="P831">
        <v>16.399999999999999</v>
      </c>
      <c r="Q831">
        <v>6</v>
      </c>
      <c r="R831" t="str">
        <f>IF(AllDataCorrected[[#This Row],[Nitrate (PPM)]]&gt;2, "4. Very high (&gt;2ppm)", IF(AllDataCorrected[[#This Row],[Nitrate (PPM)]]&gt;1, "3. High (1-2ppm)", IF(AllDataCorrected[[#This Row],[Nitrate (PPM)]]&gt;0.5, "2. Some evidence (0.5-1ppm)", IF(AllDataCorrected[[#This Row],[Nitrate (PPM)]]&gt;=0, "1. No evidence (&lt;0.5ppm)"))))</f>
        <v>4. Very high (&gt;2ppm)</v>
      </c>
      <c r="S831">
        <v>0.31</v>
      </c>
      <c r="T8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1">
        <v>0.05</v>
      </c>
    </row>
    <row r="832" spans="1:22" x14ac:dyDescent="0.25">
      <c r="A832" t="s">
        <v>1146</v>
      </c>
      <c r="B832" s="2">
        <v>45431</v>
      </c>
      <c r="C832" t="str" cm="1">
        <f t="array" ref="C8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2">
        <f>YEAR(AllDataCorrected[[#This Row],[Date]])</f>
        <v>2024</v>
      </c>
      <c r="E832" s="1">
        <v>0.58333333333333337</v>
      </c>
      <c r="F83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2" t="str">
        <f>_xlfn.XLOOKUP(AllDataCorrected[[#This Row],[Location Name]], Locations[Location Name],Locations[Group As])</f>
        <v>Clifford Chambers Mill Bridge</v>
      </c>
      <c r="H832" t="e" vm="2">
        <f>_xlfn.XLOOKUP(AllDataCorrected[[#This Row],[Site Name]],LocationsKey[Site Name],LocationsKey[District])</f>
        <v>#VALUE!</v>
      </c>
      <c r="I832" t="e" vm="12">
        <f>_xlfn.XLOOKUP(AllDataCorrected[[#This Row],[Site Name]],LocationsKey[Site Name],LocationsKey[Town])</f>
        <v>#VALUE!</v>
      </c>
      <c r="J832" t="str">
        <f>_xlfn.XLOOKUP(AllDataCorrected[[#This Row],[Site Name]],LocationsKey[Site Name], LocationsKey[Waterway])</f>
        <v>Stour</v>
      </c>
      <c r="K832" t="s">
        <v>263</v>
      </c>
      <c r="L832">
        <f>_xlfn.XLOOKUP(AllDataCorrected[[#This Row],[Site Name]],Tables!$B$12:$B$78, Tables!C$12:C$78)</f>
        <v>52.166358517241363</v>
      </c>
      <c r="M832">
        <f>_xlfn.XLOOKUP(AllDataCorrected[[#This Row],[Site Name]],Tables!$B$12:$B$78, Tables!D$12:D$78)</f>
        <v>-1.7080419310344837</v>
      </c>
      <c r="N832" t="s">
        <v>66</v>
      </c>
      <c r="O832">
        <v>693</v>
      </c>
      <c r="P832">
        <v>19.2</v>
      </c>
      <c r="Q832">
        <v>8</v>
      </c>
      <c r="R832" t="str">
        <f>IF(AllDataCorrected[[#This Row],[Nitrate (PPM)]]&gt;2, "4. Very high (&gt;2ppm)", IF(AllDataCorrected[[#This Row],[Nitrate (PPM)]]&gt;1, "3. High (1-2ppm)", IF(AllDataCorrected[[#This Row],[Nitrate (PPM)]]&gt;0.5, "2. Some evidence (0.5-1ppm)", IF(AllDataCorrected[[#This Row],[Nitrate (PPM)]]&gt;=0, "1. No evidence (&lt;0.5ppm)"))))</f>
        <v>4. Very high (&gt;2ppm)</v>
      </c>
      <c r="S832">
        <v>0.19</v>
      </c>
      <c r="T8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2">
        <v>0.6</v>
      </c>
    </row>
    <row r="833" spans="1:22" x14ac:dyDescent="0.25">
      <c r="A833" t="s">
        <v>1149</v>
      </c>
      <c r="B833" s="2">
        <v>45432</v>
      </c>
      <c r="C833" t="str" cm="1">
        <f t="array" ref="C8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3">
        <f>YEAR(AllDataCorrected[[#This Row],[Date]])</f>
        <v>2024</v>
      </c>
      <c r="E833" s="1">
        <v>0.38541666666666669</v>
      </c>
      <c r="F8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33" t="str">
        <f>_xlfn.XLOOKUP(AllDataCorrected[[#This Row],[Location Name]], Locations[Location Name],Locations[Group As])</f>
        <v>Sherbourne Brook 1</v>
      </c>
      <c r="H833" t="e" vm="2">
        <f>_xlfn.XLOOKUP(AllDataCorrected[[#This Row],[Site Name]],LocationsKey[Site Name],LocationsKey[District])</f>
        <v>#VALUE!</v>
      </c>
      <c r="I833" t="e" vm="16">
        <f>_xlfn.XLOOKUP(AllDataCorrected[[#This Row],[Site Name]],LocationsKey[Site Name],LocationsKey[Town])</f>
        <v>#VALUE!</v>
      </c>
      <c r="J833" t="str">
        <f>_xlfn.XLOOKUP(AllDataCorrected[[#This Row],[Site Name]],LocationsKey[Site Name], LocationsKey[Waterway])</f>
        <v>Sherbourne Brook</v>
      </c>
      <c r="K833" t="s">
        <v>570</v>
      </c>
      <c r="L833">
        <f>_xlfn.XLOOKUP(AllDataCorrected[[#This Row],[Site Name]],Tables!$B$12:$B$78, Tables!C$12:C$78)</f>
        <v>52.252500000000033</v>
      </c>
      <c r="M833">
        <f>_xlfn.XLOOKUP(AllDataCorrected[[#This Row],[Site Name]],Tables!$B$12:$B$78, Tables!D$12:D$78)</f>
        <v>-1.6685000000000012</v>
      </c>
      <c r="N833" t="s">
        <v>23</v>
      </c>
      <c r="O833">
        <v>1100</v>
      </c>
      <c r="P833">
        <v>13.2</v>
      </c>
      <c r="Q833">
        <v>10</v>
      </c>
      <c r="R833" t="str">
        <f>IF(AllDataCorrected[[#This Row],[Nitrate (PPM)]]&gt;2, "4. Very high (&gt;2ppm)", IF(AllDataCorrected[[#This Row],[Nitrate (PPM)]]&gt;1, "3. High (1-2ppm)", IF(AllDataCorrected[[#This Row],[Nitrate (PPM)]]&gt;0.5, "2. Some evidence (0.5-1ppm)", IF(AllDataCorrected[[#This Row],[Nitrate (PPM)]]&gt;=0, "1. No evidence (&lt;0.5ppm)"))))</f>
        <v>4. Very high (&gt;2ppm)</v>
      </c>
      <c r="S833">
        <v>0.52</v>
      </c>
      <c r="T8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3">
        <v>0.2</v>
      </c>
    </row>
    <row r="834" spans="1:22" x14ac:dyDescent="0.25">
      <c r="A834" t="s">
        <v>1147</v>
      </c>
      <c r="B834" s="2">
        <v>45432</v>
      </c>
      <c r="C834" t="str" cm="1">
        <f t="array" ref="C8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4">
        <f>YEAR(AllDataCorrected[[#This Row],[Date]])</f>
        <v>2024</v>
      </c>
      <c r="E834" s="1">
        <v>0.39583333333333331</v>
      </c>
      <c r="F8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34" t="str">
        <f>_xlfn.XLOOKUP(AllDataCorrected[[#This Row],[Location Name]], Locations[Location Name],Locations[Group As])</f>
        <v>Bell Brook 1</v>
      </c>
      <c r="H834" t="e" vm="2">
        <f>_xlfn.XLOOKUP(AllDataCorrected[[#This Row],[Site Name]],LocationsKey[Site Name],LocationsKey[District])</f>
        <v>#VALUE!</v>
      </c>
      <c r="I834" t="e" vm="15">
        <f>_xlfn.XLOOKUP(AllDataCorrected[[#This Row],[Site Name]],LocationsKey[Site Name],LocationsKey[Town])</f>
        <v>#VALUE!</v>
      </c>
      <c r="J834" t="str">
        <f>_xlfn.XLOOKUP(AllDataCorrected[[#This Row],[Site Name]],LocationsKey[Site Name], LocationsKey[Waterway])</f>
        <v>Bell Brook</v>
      </c>
      <c r="K834" t="s">
        <v>534</v>
      </c>
      <c r="L834">
        <f>_xlfn.XLOOKUP(AllDataCorrected[[#This Row],[Site Name]],Tables!$B$12:$B$78, Tables!C$12:C$78)</f>
        <v>52.24489999999998</v>
      </c>
      <c r="M834">
        <f>_xlfn.XLOOKUP(AllDataCorrected[[#This Row],[Site Name]],Tables!$B$12:$B$78, Tables!D$12:D$78)</f>
        <v>-1.6617000000000013</v>
      </c>
      <c r="N834" t="s">
        <v>23</v>
      </c>
      <c r="O834">
        <v>823</v>
      </c>
      <c r="P834">
        <v>14.4</v>
      </c>
      <c r="Q834">
        <v>6</v>
      </c>
      <c r="R834" t="str">
        <f>IF(AllDataCorrected[[#This Row],[Nitrate (PPM)]]&gt;2, "4. Very high (&gt;2ppm)", IF(AllDataCorrected[[#This Row],[Nitrate (PPM)]]&gt;1, "3. High (1-2ppm)", IF(AllDataCorrected[[#This Row],[Nitrate (PPM)]]&gt;0.5, "2. Some evidence (0.5-1ppm)", IF(AllDataCorrected[[#This Row],[Nitrate (PPM)]]&gt;=0, "1. No evidence (&lt;0.5ppm)"))))</f>
        <v>4. Very high (&gt;2ppm)</v>
      </c>
      <c r="S834">
        <v>0.41</v>
      </c>
      <c r="T8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4">
        <v>0.2</v>
      </c>
      <c r="V834" t="s">
        <v>1148</v>
      </c>
    </row>
    <row r="835" spans="1:22" x14ac:dyDescent="0.25">
      <c r="A835" t="s">
        <v>1772</v>
      </c>
      <c r="B835" s="2">
        <v>45432</v>
      </c>
      <c r="C835" t="str" cm="1">
        <f t="array" ref="C8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5">
        <f>YEAR(AllDataCorrected[[#This Row],[Date]])</f>
        <v>2024</v>
      </c>
      <c r="F83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5" t="str">
        <f>_xlfn.XLOOKUP(AllDataCorrected[[#This Row],[Location Name]], Locations[Location Name],Locations[Group As])</f>
        <v>Site 1  :  Middle Street</v>
      </c>
      <c r="H835" t="e" vm="2">
        <f>_xlfn.XLOOKUP(AllDataCorrected[[#This Row],[Site Name]],LocationsKey[Site Name],LocationsKey[District])</f>
        <v>#VALUE!</v>
      </c>
      <c r="I835" t="e" vm="11">
        <f>_xlfn.XLOOKUP(AllDataCorrected[[#This Row],[Site Name]],LocationsKey[Site Name],LocationsKey[Town])</f>
        <v>#VALUE!</v>
      </c>
      <c r="J835" t="str">
        <f>_xlfn.XLOOKUP(AllDataCorrected[[#This Row],[Site Name]],LocationsKey[Site Name], LocationsKey[Waterway])</f>
        <v>Fosseway Brook</v>
      </c>
      <c r="K835" t="s">
        <v>1859</v>
      </c>
      <c r="L835">
        <f>_xlfn.XLOOKUP(AllDataCorrected[[#This Row],[Site Name]],Tables!$B$12:$B$78, Tables!C$12:C$78)</f>
        <v>52.090077380952394</v>
      </c>
      <c r="M835">
        <f>_xlfn.XLOOKUP(AllDataCorrected[[#This Row],[Site Name]],Tables!$B$12:$B$78, Tables!D$12:D$78)</f>
        <v>-1.6926051666666673</v>
      </c>
      <c r="N835" t="s">
        <v>66</v>
      </c>
      <c r="O835">
        <v>612</v>
      </c>
      <c r="P835">
        <v>20.3</v>
      </c>
      <c r="Q835">
        <v>2</v>
      </c>
      <c r="R835" t="str">
        <f>IF(AllDataCorrected[[#This Row],[Nitrate (PPM)]]&gt;2, "4. Very high (&gt;2ppm)", IF(AllDataCorrected[[#This Row],[Nitrate (PPM)]]&gt;1, "3. High (1-2ppm)", IF(AllDataCorrected[[#This Row],[Nitrate (PPM)]]&gt;0.5, "2. Some evidence (0.5-1ppm)", IF(AllDataCorrected[[#This Row],[Nitrate (PPM)]]&gt;=0, "1. No evidence (&lt;0.5ppm)"))))</f>
        <v>3. High (1-2ppm)</v>
      </c>
      <c r="S835">
        <v>0.35</v>
      </c>
      <c r="T8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5">
        <v>0</v>
      </c>
      <c r="V835" t="s">
        <v>1913</v>
      </c>
    </row>
    <row r="836" spans="1:22" x14ac:dyDescent="0.25">
      <c r="A836" t="s">
        <v>1422</v>
      </c>
      <c r="B836" s="2">
        <v>45432</v>
      </c>
      <c r="C836" t="str" cm="1">
        <f t="array" ref="C8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6">
        <f>YEAR(AllDataCorrected[[#This Row],[Date]])</f>
        <v>2024</v>
      </c>
      <c r="F83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6" t="str">
        <f>_xlfn.XLOOKUP(AllDataCorrected[[#This Row],[Location Name]], Locations[Location Name],Locations[Group As])</f>
        <v>Site 1  :  Middle Street</v>
      </c>
      <c r="H836" t="e" vm="2">
        <f>_xlfn.XLOOKUP(AllDataCorrected[[#This Row],[Site Name]],LocationsKey[Site Name],LocationsKey[District])</f>
        <v>#VALUE!</v>
      </c>
      <c r="I836" t="e" vm="11">
        <f>_xlfn.XLOOKUP(AllDataCorrected[[#This Row],[Site Name]],LocationsKey[Site Name],LocationsKey[Town])</f>
        <v>#VALUE!</v>
      </c>
      <c r="J836" t="str">
        <f>_xlfn.XLOOKUP(AllDataCorrected[[#This Row],[Site Name]],LocationsKey[Site Name], LocationsKey[Waterway])</f>
        <v>Fosseway Brook</v>
      </c>
      <c r="K836" t="s">
        <v>1373</v>
      </c>
      <c r="L836">
        <f>_xlfn.XLOOKUP(AllDataCorrected[[#This Row],[Site Name]],Tables!$B$12:$B$78, Tables!C$12:C$78)</f>
        <v>52.090077380952394</v>
      </c>
      <c r="M836">
        <f>_xlfn.XLOOKUP(AllDataCorrected[[#This Row],[Site Name]],Tables!$B$12:$B$78, Tables!D$12:D$78)</f>
        <v>-1.6926051666666673</v>
      </c>
      <c r="N836" t="s">
        <v>66</v>
      </c>
      <c r="O836">
        <v>612</v>
      </c>
      <c r="P836">
        <v>20.3</v>
      </c>
      <c r="Q836">
        <v>2</v>
      </c>
      <c r="R836" t="str">
        <f>IF(AllDataCorrected[[#This Row],[Nitrate (PPM)]]&gt;2, "4. Very high (&gt;2ppm)", IF(AllDataCorrected[[#This Row],[Nitrate (PPM)]]&gt;1, "3. High (1-2ppm)", IF(AllDataCorrected[[#This Row],[Nitrate (PPM)]]&gt;0.5, "2. Some evidence (0.5-1ppm)", IF(AllDataCorrected[[#This Row],[Nitrate (PPM)]]&gt;=0, "1. No evidence (&lt;0.5ppm)"))))</f>
        <v>3. High (1-2ppm)</v>
      </c>
      <c r="S836">
        <v>0.35</v>
      </c>
      <c r="T8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836" t="s">
        <v>1423</v>
      </c>
    </row>
    <row r="837" spans="1:22" x14ac:dyDescent="0.25">
      <c r="A837" t="s">
        <v>1770</v>
      </c>
      <c r="B837" s="2">
        <v>45432</v>
      </c>
      <c r="C837" t="str" cm="1">
        <f t="array" ref="C8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7">
        <f>YEAR(AllDataCorrected[[#This Row],[Date]])</f>
        <v>2024</v>
      </c>
      <c r="F83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7" t="str">
        <f>_xlfn.XLOOKUP(AllDataCorrected[[#This Row],[Location Name]], Locations[Location Name],Locations[Group As])</f>
        <v>Site 2  :  Cross Leys culvert</v>
      </c>
      <c r="H837" t="e" vm="2">
        <f>_xlfn.XLOOKUP(AllDataCorrected[[#This Row],[Site Name]],LocationsKey[Site Name],LocationsKey[District])</f>
        <v>#VALUE!</v>
      </c>
      <c r="I837" t="e" vm="11">
        <f>_xlfn.XLOOKUP(AllDataCorrected[[#This Row],[Site Name]],LocationsKey[Site Name],LocationsKey[Town])</f>
        <v>#VALUE!</v>
      </c>
      <c r="J837" t="str">
        <f>_xlfn.XLOOKUP(AllDataCorrected[[#This Row],[Site Name]],LocationsKey[Site Name], LocationsKey[Waterway])</f>
        <v>Fosseway Brook</v>
      </c>
      <c r="K837" t="s">
        <v>1860</v>
      </c>
      <c r="L837">
        <f>_xlfn.XLOOKUP(AllDataCorrected[[#This Row],[Site Name]],Tables!$B$12:$B$78, Tables!C$12:C$78)</f>
        <v>52.092990199999988</v>
      </c>
      <c r="M837">
        <f>_xlfn.XLOOKUP(AllDataCorrected[[#This Row],[Site Name]],Tables!$B$12:$B$78, Tables!D$12:D$78)</f>
        <v>-1.6862810999999998</v>
      </c>
      <c r="N837" t="s">
        <v>66</v>
      </c>
      <c r="O837">
        <v>698</v>
      </c>
      <c r="P837">
        <v>17.5</v>
      </c>
      <c r="Q837">
        <v>2</v>
      </c>
      <c r="R837" t="str">
        <f>IF(AllDataCorrected[[#This Row],[Nitrate (PPM)]]&gt;2, "4. Very high (&gt;2ppm)", IF(AllDataCorrected[[#This Row],[Nitrate (PPM)]]&gt;1, "3. High (1-2ppm)", IF(AllDataCorrected[[#This Row],[Nitrate (PPM)]]&gt;0.5, "2. Some evidence (0.5-1ppm)", IF(AllDataCorrected[[#This Row],[Nitrate (PPM)]]&gt;=0, "1. No evidence (&lt;0.5ppm)"))))</f>
        <v>3. High (1-2ppm)</v>
      </c>
      <c r="S837">
        <v>0.96</v>
      </c>
      <c r="T8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7">
        <v>0</v>
      </c>
      <c r="V837" t="s">
        <v>1911</v>
      </c>
    </row>
    <row r="838" spans="1:22" x14ac:dyDescent="0.25">
      <c r="A838" t="s">
        <v>1425</v>
      </c>
      <c r="B838" s="2">
        <v>45432</v>
      </c>
      <c r="C838" t="str" cm="1">
        <f t="array" ref="C8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8">
        <f>YEAR(AllDataCorrected[[#This Row],[Date]])</f>
        <v>2024</v>
      </c>
      <c r="F83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8" t="str">
        <f>_xlfn.XLOOKUP(AllDataCorrected[[#This Row],[Location Name]], Locations[Location Name],Locations[Group As])</f>
        <v>Site 2  :  Cross Leys culvert</v>
      </c>
      <c r="H838" t="e" vm="2">
        <f>_xlfn.XLOOKUP(AllDataCorrected[[#This Row],[Site Name]],LocationsKey[Site Name],LocationsKey[District])</f>
        <v>#VALUE!</v>
      </c>
      <c r="I838" t="e" vm="11">
        <f>_xlfn.XLOOKUP(AllDataCorrected[[#This Row],[Site Name]],LocationsKey[Site Name],LocationsKey[Town])</f>
        <v>#VALUE!</v>
      </c>
      <c r="J838" t="str">
        <f>_xlfn.XLOOKUP(AllDataCorrected[[#This Row],[Site Name]],LocationsKey[Site Name], LocationsKey[Waterway])</f>
        <v>Fosseway Brook</v>
      </c>
      <c r="K838" t="s">
        <v>1371</v>
      </c>
      <c r="L838">
        <f>_xlfn.XLOOKUP(AllDataCorrected[[#This Row],[Site Name]],Tables!$B$12:$B$78, Tables!C$12:C$78)</f>
        <v>52.092990199999988</v>
      </c>
      <c r="M838">
        <f>_xlfn.XLOOKUP(AllDataCorrected[[#This Row],[Site Name]],Tables!$B$12:$B$78, Tables!D$12:D$78)</f>
        <v>-1.6862810999999998</v>
      </c>
      <c r="N838" t="s">
        <v>66</v>
      </c>
      <c r="O838">
        <v>698</v>
      </c>
      <c r="P838">
        <v>17.5</v>
      </c>
      <c r="Q838">
        <v>2</v>
      </c>
      <c r="R838" t="str">
        <f>IF(AllDataCorrected[[#This Row],[Nitrate (PPM)]]&gt;2, "4. Very high (&gt;2ppm)", IF(AllDataCorrected[[#This Row],[Nitrate (PPM)]]&gt;1, "3. High (1-2ppm)", IF(AllDataCorrected[[#This Row],[Nitrate (PPM)]]&gt;0.5, "2. Some evidence (0.5-1ppm)", IF(AllDataCorrected[[#This Row],[Nitrate (PPM)]]&gt;=0, "1. No evidence (&lt;0.5ppm)"))))</f>
        <v>3. High (1-2ppm)</v>
      </c>
      <c r="S838">
        <v>0.96</v>
      </c>
      <c r="T8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838" t="s">
        <v>1426</v>
      </c>
    </row>
    <row r="839" spans="1:22" x14ac:dyDescent="0.25">
      <c r="A839" t="s">
        <v>1771</v>
      </c>
      <c r="B839" s="2">
        <v>45432</v>
      </c>
      <c r="C839" t="str" cm="1">
        <f t="array" ref="C8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9">
        <f>YEAR(AllDataCorrected[[#This Row],[Date]])</f>
        <v>2024</v>
      </c>
      <c r="F8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9" t="str">
        <f>_xlfn.XLOOKUP(AllDataCorrected[[#This Row],[Location Name]], Locations[Location Name],Locations[Group As])</f>
        <v>Site 3  :  Severn Trent Water processing plant outflow</v>
      </c>
      <c r="H839" t="e" vm="2">
        <f>_xlfn.XLOOKUP(AllDataCorrected[[#This Row],[Site Name]],LocationsKey[Site Name],LocationsKey[District])</f>
        <v>#VALUE!</v>
      </c>
      <c r="I839" t="e" vm="11">
        <f>_xlfn.XLOOKUP(AllDataCorrected[[#This Row],[Site Name]],LocationsKey[Site Name],LocationsKey[Town])</f>
        <v>#VALUE!</v>
      </c>
      <c r="J839" t="str">
        <f>_xlfn.XLOOKUP(AllDataCorrected[[#This Row],[Site Name]],LocationsKey[Site Name], LocationsKey[Waterway])</f>
        <v>Fosseway Brook</v>
      </c>
      <c r="K839" t="s">
        <v>1861</v>
      </c>
      <c r="L839">
        <f>_xlfn.XLOOKUP(AllDataCorrected[[#This Row],[Site Name]],Tables!$B$12:$B$78, Tables!C$12:C$78)</f>
        <v>52.094341024390218</v>
      </c>
      <c r="M839">
        <f>_xlfn.XLOOKUP(AllDataCorrected[[#This Row],[Site Name]],Tables!$B$12:$B$78, Tables!D$12:D$78)</f>
        <v>-1.6731015853658531</v>
      </c>
      <c r="N839" t="s">
        <v>29</v>
      </c>
      <c r="O839">
        <v>903</v>
      </c>
      <c r="P839">
        <v>16.5</v>
      </c>
      <c r="Q839">
        <v>5</v>
      </c>
      <c r="R839" t="str">
        <f>IF(AllDataCorrected[[#This Row],[Nitrate (PPM)]]&gt;2, "4. Very high (&gt;2ppm)", IF(AllDataCorrected[[#This Row],[Nitrate (PPM)]]&gt;1, "3. High (1-2ppm)", IF(AllDataCorrected[[#This Row],[Nitrate (PPM)]]&gt;0.5, "2. Some evidence (0.5-1ppm)", IF(AllDataCorrected[[#This Row],[Nitrate (PPM)]]&gt;=0, "1. No evidence (&lt;0.5ppm)"))))</f>
        <v>4. Very high (&gt;2ppm)</v>
      </c>
      <c r="S839">
        <v>2.5</v>
      </c>
      <c r="T8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9">
        <v>0</v>
      </c>
      <c r="V839" t="s">
        <v>1912</v>
      </c>
    </row>
    <row r="840" spans="1:22" x14ac:dyDescent="0.25">
      <c r="A840" t="s">
        <v>1424</v>
      </c>
      <c r="B840" s="2">
        <v>45432</v>
      </c>
      <c r="C840" t="str" cm="1">
        <f t="array" ref="C8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0">
        <f>YEAR(AllDataCorrected[[#This Row],[Date]])</f>
        <v>2024</v>
      </c>
      <c r="F8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40" t="str">
        <f>_xlfn.XLOOKUP(AllDataCorrected[[#This Row],[Location Name]], Locations[Location Name],Locations[Group As])</f>
        <v>Site 3  :  Severn Trent Water processing plant outflow</v>
      </c>
      <c r="H840" t="e" vm="2">
        <f>_xlfn.XLOOKUP(AllDataCorrected[[#This Row],[Site Name]],LocationsKey[Site Name],LocationsKey[District])</f>
        <v>#VALUE!</v>
      </c>
      <c r="I840" t="e" vm="11">
        <f>_xlfn.XLOOKUP(AllDataCorrected[[#This Row],[Site Name]],LocationsKey[Site Name],LocationsKey[Town])</f>
        <v>#VALUE!</v>
      </c>
      <c r="J840" t="str">
        <f>_xlfn.XLOOKUP(AllDataCorrected[[#This Row],[Site Name]],LocationsKey[Site Name], LocationsKey[Waterway])</f>
        <v>Fosseway Brook</v>
      </c>
      <c r="K840" t="s">
        <v>1368</v>
      </c>
      <c r="L840">
        <f>_xlfn.XLOOKUP(AllDataCorrected[[#This Row],[Site Name]],Tables!$B$12:$B$78, Tables!C$12:C$78)</f>
        <v>52.094341024390218</v>
      </c>
      <c r="M840">
        <f>_xlfn.XLOOKUP(AllDataCorrected[[#This Row],[Site Name]],Tables!$B$12:$B$78, Tables!D$12:D$78)</f>
        <v>-1.6731015853658531</v>
      </c>
      <c r="N840" t="s">
        <v>29</v>
      </c>
      <c r="O840">
        <v>903</v>
      </c>
      <c r="P840">
        <v>16.5</v>
      </c>
      <c r="Q840">
        <v>5</v>
      </c>
      <c r="R840" t="str">
        <f>IF(AllDataCorrected[[#This Row],[Nitrate (PPM)]]&gt;2, "4. Very high (&gt;2ppm)", IF(AllDataCorrected[[#This Row],[Nitrate (PPM)]]&gt;1, "3. High (1-2ppm)", IF(AllDataCorrected[[#This Row],[Nitrate (PPM)]]&gt;0.5, "2. Some evidence (0.5-1ppm)", IF(AllDataCorrected[[#This Row],[Nitrate (PPM)]]&gt;=0, "1. No evidence (&lt;0.5ppm)"))))</f>
        <v>4. Very high (&gt;2ppm)</v>
      </c>
      <c r="S840">
        <v>2.5</v>
      </c>
      <c r="T8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41" spans="1:22" x14ac:dyDescent="0.25">
      <c r="A841" t="s">
        <v>1150</v>
      </c>
      <c r="B841" s="2">
        <v>45433</v>
      </c>
      <c r="C841" t="str" cm="1">
        <f t="array" ref="C8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1">
        <f>YEAR(AllDataCorrected[[#This Row],[Date]])</f>
        <v>2024</v>
      </c>
      <c r="E841" s="1">
        <v>0.60833333333333328</v>
      </c>
      <c r="F8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1" t="str">
        <f>_xlfn.XLOOKUP(AllDataCorrected[[#This Row],[Location Name]], Locations[Location Name],Locations[Group As])</f>
        <v>Abbey Mill</v>
      </c>
      <c r="H841" t="e" vm="1">
        <f>_xlfn.XLOOKUP(AllDataCorrected[[#This Row],[Site Name]],LocationsKey[Site Name],LocationsKey[District])</f>
        <v>#VALUE!</v>
      </c>
      <c r="I841" t="e" vm="1">
        <f>_xlfn.XLOOKUP(AllDataCorrected[[#This Row],[Site Name]],LocationsKey[Site Name],LocationsKey[Town])</f>
        <v>#VALUE!</v>
      </c>
      <c r="J841" t="str">
        <f>_xlfn.XLOOKUP(AllDataCorrected[[#This Row],[Site Name]],LocationsKey[Site Name], LocationsKey[Waterway])</f>
        <v>Avon</v>
      </c>
      <c r="K841" t="s">
        <v>25</v>
      </c>
      <c r="L841">
        <f>_xlfn.XLOOKUP(AllDataCorrected[[#This Row],[Site Name]],Tables!$B$12:$B$78, Tables!C$12:C$78)</f>
        <v>51.991389555555564</v>
      </c>
      <c r="M841">
        <f>_xlfn.XLOOKUP(AllDataCorrected[[#This Row],[Site Name]],Tables!$B$12:$B$78, Tables!D$12:D$78)</f>
        <v>-2.1620794000000005</v>
      </c>
      <c r="N841" t="s">
        <v>23</v>
      </c>
      <c r="O841">
        <v>977</v>
      </c>
      <c r="P841">
        <v>18.5</v>
      </c>
      <c r="Q841">
        <v>7</v>
      </c>
      <c r="R841" t="str">
        <f>IF(AllDataCorrected[[#This Row],[Nitrate (PPM)]]&gt;2, "4. Very high (&gt;2ppm)", IF(AllDataCorrected[[#This Row],[Nitrate (PPM)]]&gt;1, "3. High (1-2ppm)", IF(AllDataCorrected[[#This Row],[Nitrate (PPM)]]&gt;0.5, "2. Some evidence (0.5-1ppm)", IF(AllDataCorrected[[#This Row],[Nitrate (PPM)]]&gt;=0, "1. No evidence (&lt;0.5ppm)"))))</f>
        <v>4. Very high (&gt;2ppm)</v>
      </c>
      <c r="S841">
        <v>0.67</v>
      </c>
      <c r="T8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1">
        <v>0.6</v>
      </c>
    </row>
    <row r="842" spans="1:22" x14ac:dyDescent="0.25">
      <c r="A842" t="s">
        <v>1151</v>
      </c>
      <c r="B842" s="2">
        <v>45434</v>
      </c>
      <c r="C842" t="str" cm="1">
        <f t="array" ref="C8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2">
        <f>YEAR(AllDataCorrected[[#This Row],[Date]])</f>
        <v>2024</v>
      </c>
      <c r="E842" s="1">
        <v>0.68125000000000002</v>
      </c>
      <c r="F8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2" t="str">
        <f>_xlfn.XLOOKUP(AllDataCorrected[[#This Row],[Location Name]], Locations[Location Name],Locations[Group As])</f>
        <v>Alveston Weir</v>
      </c>
      <c r="H842" t="e" vm="2">
        <f>_xlfn.XLOOKUP(AllDataCorrected[[#This Row],[Site Name]],LocationsKey[Site Name],LocationsKey[District])</f>
        <v>#VALUE!</v>
      </c>
      <c r="I842" t="e" vm="13">
        <f>_xlfn.XLOOKUP(AllDataCorrected[[#This Row],[Site Name]],LocationsKey[Site Name],LocationsKey[Town])</f>
        <v>#VALUE!</v>
      </c>
      <c r="J842" t="str">
        <f>_xlfn.XLOOKUP(AllDataCorrected[[#This Row],[Site Name]],LocationsKey[Site Name], LocationsKey[Waterway])</f>
        <v>Avon</v>
      </c>
      <c r="K842" t="s">
        <v>286</v>
      </c>
      <c r="L842">
        <f>_xlfn.XLOOKUP(AllDataCorrected[[#This Row],[Site Name]],Tables!$B$12:$B$78, Tables!C$12:C$78)</f>
        <v>52.212366690476216</v>
      </c>
      <c r="M842">
        <f>_xlfn.XLOOKUP(AllDataCorrected[[#This Row],[Site Name]],Tables!$B$12:$B$78, Tables!D$12:D$78)</f>
        <v>-1.6602567619047619</v>
      </c>
      <c r="N842" t="s">
        <v>29</v>
      </c>
      <c r="O842">
        <v>571</v>
      </c>
      <c r="P842">
        <v>16</v>
      </c>
      <c r="Q842">
        <v>5</v>
      </c>
      <c r="R842" t="str">
        <f>IF(AllDataCorrected[[#This Row],[Nitrate (PPM)]]&gt;2, "4. Very high (&gt;2ppm)", IF(AllDataCorrected[[#This Row],[Nitrate (PPM)]]&gt;1, "3. High (1-2ppm)", IF(AllDataCorrected[[#This Row],[Nitrate (PPM)]]&gt;0.5, "2. Some evidence (0.5-1ppm)", IF(AllDataCorrected[[#This Row],[Nitrate (PPM)]]&gt;=0, "1. No evidence (&lt;0.5ppm)"))))</f>
        <v>4. Very high (&gt;2ppm)</v>
      </c>
      <c r="S842">
        <v>0.65</v>
      </c>
      <c r="T8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2">
        <v>1.75</v>
      </c>
      <c r="V842" t="s">
        <v>1152</v>
      </c>
    </row>
    <row r="843" spans="1:22" x14ac:dyDescent="0.25">
      <c r="A843" t="s">
        <v>1153</v>
      </c>
      <c r="B843" s="2">
        <v>45434</v>
      </c>
      <c r="C843" t="str" cm="1">
        <f t="array" ref="C8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3">
        <f>YEAR(AllDataCorrected[[#This Row],[Date]])</f>
        <v>2024</v>
      </c>
      <c r="E843" s="1">
        <v>0.6875</v>
      </c>
      <c r="F8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3" t="str">
        <f>_xlfn.XLOOKUP(AllDataCorrected[[#This Row],[Location Name]], Locations[Location Name],Locations[Group As])</f>
        <v>Stour Newbold Mill</v>
      </c>
      <c r="H843" t="e" vm="2">
        <f>_xlfn.XLOOKUP(AllDataCorrected[[#This Row],[Site Name]],LocationsKey[Site Name],LocationsKey[District])</f>
        <v>#VALUE!</v>
      </c>
      <c r="I843" t="e" vm="8">
        <f>_xlfn.XLOOKUP(AllDataCorrected[[#This Row],[Site Name]],LocationsKey[Site Name],LocationsKey[Town])</f>
        <v>#VALUE!</v>
      </c>
      <c r="J843" t="str">
        <f>_xlfn.XLOOKUP(AllDataCorrected[[#This Row],[Site Name]],LocationsKey[Site Name], LocationsKey[Waterway])</f>
        <v>Stour</v>
      </c>
      <c r="K843" t="s">
        <v>140</v>
      </c>
      <c r="L843">
        <f>_xlfn.XLOOKUP(AllDataCorrected[[#This Row],[Site Name]],Tables!$B$12:$B$78, Tables!C$12:C$78)</f>
        <v>52.113052370370362</v>
      </c>
      <c r="M843">
        <f>_xlfn.XLOOKUP(AllDataCorrected[[#This Row],[Site Name]],Tables!$B$12:$B$78, Tables!D$12:D$78)</f>
        <v>-1.6333685185185185</v>
      </c>
      <c r="N843" t="s">
        <v>66</v>
      </c>
      <c r="O843">
        <v>397</v>
      </c>
      <c r="P843">
        <v>20</v>
      </c>
      <c r="Q843">
        <v>2</v>
      </c>
      <c r="R843" t="str">
        <f>IF(AllDataCorrected[[#This Row],[Nitrate (PPM)]]&gt;2, "4. Very high (&gt;2ppm)", IF(AllDataCorrected[[#This Row],[Nitrate (PPM)]]&gt;1, "3. High (1-2ppm)", IF(AllDataCorrected[[#This Row],[Nitrate (PPM)]]&gt;0.5, "2. Some evidence (0.5-1ppm)", IF(AllDataCorrected[[#This Row],[Nitrate (PPM)]]&gt;=0, "1. No evidence (&lt;0.5ppm)"))))</f>
        <v>3. High (1-2ppm)</v>
      </c>
      <c r="S843">
        <v>0.64</v>
      </c>
      <c r="T8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3">
        <v>4</v>
      </c>
      <c r="V843" t="s">
        <v>1154</v>
      </c>
    </row>
    <row r="844" spans="1:22" x14ac:dyDescent="0.25">
      <c r="A844" t="s">
        <v>1155</v>
      </c>
      <c r="B844" s="2">
        <v>45435</v>
      </c>
      <c r="C844" t="str" cm="1">
        <f t="array" ref="C8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4">
        <f>YEAR(AllDataCorrected[[#This Row],[Date]])</f>
        <v>2024</v>
      </c>
      <c r="E844" s="1">
        <v>0.4375</v>
      </c>
      <c r="F8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4" t="str">
        <f>_xlfn.XLOOKUP(AllDataCorrected[[#This Row],[Location Name]], Locations[Location Name],Locations[Group As])</f>
        <v>Swilgate</v>
      </c>
      <c r="H844" t="e" vm="1">
        <f>_xlfn.XLOOKUP(AllDataCorrected[[#This Row],[Site Name]],LocationsKey[Site Name],LocationsKey[District])</f>
        <v>#VALUE!</v>
      </c>
      <c r="I844" t="e" vm="1">
        <f>_xlfn.XLOOKUP(AllDataCorrected[[#This Row],[Site Name]],LocationsKey[Site Name],LocationsKey[Town])</f>
        <v>#VALUE!</v>
      </c>
      <c r="J844" t="str">
        <f>_xlfn.XLOOKUP(AllDataCorrected[[#This Row],[Site Name]],LocationsKey[Site Name], LocationsKey[Waterway])</f>
        <v>Swilgate</v>
      </c>
      <c r="K844" t="s">
        <v>84</v>
      </c>
      <c r="L844">
        <f>_xlfn.XLOOKUP(AllDataCorrected[[#This Row],[Site Name]],Tables!$B$12:$B$78, Tables!C$12:C$78)</f>
        <v>51.9885442</v>
      </c>
      <c r="M844">
        <f>_xlfn.XLOOKUP(AllDataCorrected[[#This Row],[Site Name]],Tables!$B$12:$B$78, Tables!D$12:D$78)</f>
        <v>-2.1639010000000001</v>
      </c>
      <c r="N844" t="s">
        <v>23</v>
      </c>
      <c r="O844">
        <v>607</v>
      </c>
      <c r="P844">
        <v>14.6</v>
      </c>
      <c r="Q844">
        <v>5</v>
      </c>
      <c r="R844" t="str">
        <f>IF(AllDataCorrected[[#This Row],[Nitrate (PPM)]]&gt;2, "4. Very high (&gt;2ppm)", IF(AllDataCorrected[[#This Row],[Nitrate (PPM)]]&gt;1, "3. High (1-2ppm)", IF(AllDataCorrected[[#This Row],[Nitrate (PPM)]]&gt;0.5, "2. Some evidence (0.5-1ppm)", IF(AllDataCorrected[[#This Row],[Nitrate (PPM)]]&gt;=0, "1. No evidence (&lt;0.5ppm)"))))</f>
        <v>4. Very high (&gt;2ppm)</v>
      </c>
      <c r="S844">
        <v>0.47</v>
      </c>
      <c r="T8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4">
        <v>0</v>
      </c>
    </row>
    <row r="845" spans="1:22" x14ac:dyDescent="0.25">
      <c r="A845" t="s">
        <v>1156</v>
      </c>
      <c r="B845" s="2">
        <v>45435</v>
      </c>
      <c r="C845" t="str" cm="1">
        <f t="array" ref="C8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5">
        <f>YEAR(AllDataCorrected[[#This Row],[Date]])</f>
        <v>2024</v>
      </c>
      <c r="E845" s="1">
        <v>0.45694444444444443</v>
      </c>
      <c r="F8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5" t="str">
        <f>_xlfn.XLOOKUP(AllDataCorrected[[#This Row],[Location Name]], Locations[Location Name],Locations[Group As])</f>
        <v>Preston-on-Stour River Bridge</v>
      </c>
      <c r="H845" t="e" vm="2">
        <f>_xlfn.XLOOKUP(AllDataCorrected[[#This Row],[Site Name]],LocationsKey[Site Name],LocationsKey[District])</f>
        <v>#VALUE!</v>
      </c>
      <c r="I845" t="e" vm="9">
        <f>_xlfn.XLOOKUP(AllDataCorrected[[#This Row],[Site Name]],LocationsKey[Site Name],LocationsKey[Town])</f>
        <v>#VALUE!</v>
      </c>
      <c r="J845" t="str">
        <f>_xlfn.XLOOKUP(AllDataCorrected[[#This Row],[Site Name]],LocationsKey[Site Name], LocationsKey[Waterway])</f>
        <v>Stour</v>
      </c>
      <c r="K845" t="s">
        <v>163</v>
      </c>
      <c r="L845">
        <f>_xlfn.XLOOKUP(AllDataCorrected[[#This Row],[Site Name]],Tables!$B$12:$B$78, Tables!C$12:C$78)</f>
        <v>52.146529500000007</v>
      </c>
      <c r="M845">
        <f>_xlfn.XLOOKUP(AllDataCorrected[[#This Row],[Site Name]],Tables!$B$12:$B$78, Tables!D$12:D$78)</f>
        <v>-1.6996899999999999</v>
      </c>
      <c r="N845" t="s">
        <v>29</v>
      </c>
      <c r="O845">
        <v>687</v>
      </c>
      <c r="P845">
        <v>15.9</v>
      </c>
      <c r="Q845">
        <v>6</v>
      </c>
      <c r="R845" t="str">
        <f>IF(AllDataCorrected[[#This Row],[Nitrate (PPM)]]&gt;2, "4. Very high (&gt;2ppm)", IF(AllDataCorrected[[#This Row],[Nitrate (PPM)]]&gt;1, "3. High (1-2ppm)", IF(AllDataCorrected[[#This Row],[Nitrate (PPM)]]&gt;0.5, "2. Some evidence (0.5-1ppm)", IF(AllDataCorrected[[#This Row],[Nitrate (PPM)]]&gt;=0, "1. No evidence (&lt;0.5ppm)"))))</f>
        <v>4. Very high (&gt;2ppm)</v>
      </c>
      <c r="S845">
        <v>0.35</v>
      </c>
      <c r="T8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5">
        <v>1.5</v>
      </c>
    </row>
    <row r="846" spans="1:22" x14ac:dyDescent="0.25">
      <c r="A846" t="s">
        <v>1157</v>
      </c>
      <c r="B846" s="2">
        <v>45435</v>
      </c>
      <c r="C846" t="str" cm="1">
        <f t="array" ref="C8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6">
        <f>YEAR(AllDataCorrected[[#This Row],[Date]])</f>
        <v>2024</v>
      </c>
      <c r="E846" s="1">
        <v>0.54166666666666663</v>
      </c>
      <c r="F8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6" t="str">
        <f>_xlfn.XLOOKUP(AllDataCorrected[[#This Row],[Location Name]], Locations[Location Name],Locations[Group As])</f>
        <v>Stour Willington</v>
      </c>
      <c r="H846" t="e" vm="2">
        <f>_xlfn.XLOOKUP(AllDataCorrected[[#This Row],[Site Name]],LocationsKey[Site Name],LocationsKey[District])</f>
        <v>#VALUE!</v>
      </c>
      <c r="I846" t="str">
        <f>_xlfn.XLOOKUP(AllDataCorrected[[#This Row],[Site Name]],LocationsKey[Site Name],LocationsKey[Town])</f>
        <v>Willington</v>
      </c>
      <c r="J846" t="str">
        <f>_xlfn.XLOOKUP(AllDataCorrected[[#This Row],[Site Name]],LocationsKey[Site Name], LocationsKey[Waterway])</f>
        <v>Stour</v>
      </c>
      <c r="K846" t="s">
        <v>517</v>
      </c>
      <c r="L846">
        <f>_xlfn.XLOOKUP(AllDataCorrected[[#This Row],[Site Name]],Tables!$B$12:$B$78, Tables!C$12:C$78)</f>
        <v>52.053154375000005</v>
      </c>
      <c r="M846">
        <f>_xlfn.XLOOKUP(AllDataCorrected[[#This Row],[Site Name]],Tables!$B$12:$B$78, Tables!D$12:D$78)</f>
        <v>-1.6191991562500001</v>
      </c>
      <c r="N846" t="s">
        <v>23</v>
      </c>
      <c r="O846">
        <v>534</v>
      </c>
      <c r="P846">
        <v>14.1</v>
      </c>
      <c r="Q846">
        <v>5</v>
      </c>
      <c r="R846" t="str">
        <f>IF(AllDataCorrected[[#This Row],[Nitrate (PPM)]]&gt;2, "4. Very high (&gt;2ppm)", IF(AllDataCorrected[[#This Row],[Nitrate (PPM)]]&gt;1, "3. High (1-2ppm)", IF(AllDataCorrected[[#This Row],[Nitrate (PPM)]]&gt;0.5, "2. Some evidence (0.5-1ppm)", IF(AllDataCorrected[[#This Row],[Nitrate (PPM)]]&gt;=0, "1. No evidence (&lt;0.5ppm)"))))</f>
        <v>4. Very high (&gt;2ppm)</v>
      </c>
      <c r="S846">
        <v>0.32</v>
      </c>
      <c r="T8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6">
        <v>0.5</v>
      </c>
      <c r="V846" t="s">
        <v>1158</v>
      </c>
    </row>
    <row r="847" spans="1:22" x14ac:dyDescent="0.25">
      <c r="A847" t="s">
        <v>1159</v>
      </c>
      <c r="B847" s="2">
        <v>45436</v>
      </c>
      <c r="C847" t="str" cm="1">
        <f t="array" ref="C8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7">
        <f>YEAR(AllDataCorrected[[#This Row],[Date]])</f>
        <v>2024</v>
      </c>
      <c r="E847" s="1">
        <v>0.59027777777777779</v>
      </c>
      <c r="F8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7" t="str">
        <f>_xlfn.XLOOKUP(AllDataCorrected[[#This Row],[Location Name]], Locations[Location Name],Locations[Group As])</f>
        <v>Swiffen Bank</v>
      </c>
      <c r="H847" t="e" vm="2">
        <f>_xlfn.XLOOKUP(AllDataCorrected[[#This Row],[Site Name]],LocationsKey[Site Name],LocationsKey[District])</f>
        <v>#VALUE!</v>
      </c>
      <c r="I847" t="e" vm="13">
        <f>_xlfn.XLOOKUP(AllDataCorrected[[#This Row],[Site Name]],LocationsKey[Site Name],LocationsKey[Town])</f>
        <v>#VALUE!</v>
      </c>
      <c r="J847" t="str">
        <f>_xlfn.XLOOKUP(AllDataCorrected[[#This Row],[Site Name]],LocationsKey[Site Name], LocationsKey[Waterway])</f>
        <v>Avon</v>
      </c>
      <c r="K847" t="s">
        <v>284</v>
      </c>
      <c r="L847">
        <f>_xlfn.XLOOKUP(AllDataCorrected[[#This Row],[Site Name]],Tables!$B$12:$B$78, Tables!C$12:C$78)</f>
        <v>52.206446825000015</v>
      </c>
      <c r="M847">
        <f>_xlfn.XLOOKUP(AllDataCorrected[[#This Row],[Site Name]],Tables!$B$12:$B$78, Tables!D$12:D$78)</f>
        <v>-1.6541684000000003</v>
      </c>
      <c r="N847" t="s">
        <v>29</v>
      </c>
      <c r="O847">
        <v>540</v>
      </c>
      <c r="P847">
        <v>17</v>
      </c>
      <c r="Q847">
        <v>10</v>
      </c>
      <c r="R847" t="str">
        <f>IF(AllDataCorrected[[#This Row],[Nitrate (PPM)]]&gt;2, "4. Very high (&gt;2ppm)", IF(AllDataCorrected[[#This Row],[Nitrate (PPM)]]&gt;1, "3. High (1-2ppm)", IF(AllDataCorrected[[#This Row],[Nitrate (PPM)]]&gt;0.5, "2. Some evidence (0.5-1ppm)", IF(AllDataCorrected[[#This Row],[Nitrate (PPM)]]&gt;=0, "1. No evidence (&lt;0.5ppm)"))))</f>
        <v>4. Very high (&gt;2ppm)</v>
      </c>
      <c r="S847">
        <v>0.64</v>
      </c>
      <c r="T8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7">
        <v>1</v>
      </c>
      <c r="V847" t="s">
        <v>1160</v>
      </c>
    </row>
    <row r="848" spans="1:22" x14ac:dyDescent="0.25">
      <c r="A848" t="s">
        <v>1161</v>
      </c>
      <c r="B848" s="2">
        <v>45437</v>
      </c>
      <c r="C848" t="str" cm="1">
        <f t="array" ref="C8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8">
        <f>YEAR(AllDataCorrected[[#This Row],[Date]])</f>
        <v>2024</v>
      </c>
      <c r="E848" s="1">
        <v>0.39652777777777776</v>
      </c>
      <c r="F8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8" t="str">
        <f>_xlfn.XLOOKUP(AllDataCorrected[[#This Row],[Location Name]], Locations[Location Name],Locations[Group As])</f>
        <v>Lower Lode</v>
      </c>
      <c r="H848" t="e" vm="1">
        <f>_xlfn.XLOOKUP(AllDataCorrected[[#This Row],[Site Name]],LocationsKey[Site Name],LocationsKey[District])</f>
        <v>#VALUE!</v>
      </c>
      <c r="I848" t="e" vm="1">
        <f>_xlfn.XLOOKUP(AllDataCorrected[[#This Row],[Site Name]],LocationsKey[Site Name],LocationsKey[Town])</f>
        <v>#VALUE!</v>
      </c>
      <c r="J848" t="str">
        <f>_xlfn.XLOOKUP(AllDataCorrected[[#This Row],[Site Name]],LocationsKey[Site Name], LocationsKey[Waterway])</f>
        <v>Avon</v>
      </c>
      <c r="K848" t="s">
        <v>592</v>
      </c>
      <c r="L848">
        <f>_xlfn.XLOOKUP(AllDataCorrected[[#This Row],[Site Name]],Tables!$B$12:$B$78, Tables!C$12:C$78)</f>
        <v>51.984954782608689</v>
      </c>
      <c r="M848">
        <f>_xlfn.XLOOKUP(AllDataCorrected[[#This Row],[Site Name]],Tables!$B$12:$B$78, Tables!D$12:D$78)</f>
        <v>-2.1744283478260868</v>
      </c>
      <c r="N848" t="s">
        <v>29</v>
      </c>
      <c r="O848">
        <v>6800</v>
      </c>
      <c r="P848">
        <v>16.100000000000001</v>
      </c>
      <c r="Q848">
        <v>10</v>
      </c>
      <c r="R848" t="str">
        <f>IF(AllDataCorrected[[#This Row],[Nitrate (PPM)]]&gt;2, "4. Very high (&gt;2ppm)", IF(AllDataCorrected[[#This Row],[Nitrate (PPM)]]&gt;1, "3. High (1-2ppm)", IF(AllDataCorrected[[#This Row],[Nitrate (PPM)]]&gt;0.5, "2. Some evidence (0.5-1ppm)", IF(AllDataCorrected[[#This Row],[Nitrate (PPM)]]&gt;=0, "1. No evidence (&lt;0.5ppm)"))))</f>
        <v>4. Very high (&gt;2ppm)</v>
      </c>
      <c r="S848">
        <v>0.48</v>
      </c>
      <c r="T8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8">
        <v>2</v>
      </c>
    </row>
    <row r="849" spans="1:22" x14ac:dyDescent="0.25">
      <c r="A849" t="s">
        <v>1162</v>
      </c>
      <c r="B849" s="2">
        <v>45437</v>
      </c>
      <c r="C849" t="str" cm="1">
        <f t="array" ref="C8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9">
        <f>YEAR(AllDataCorrected[[#This Row],[Date]])</f>
        <v>2024</v>
      </c>
      <c r="E849" s="1">
        <v>0.43541666666666667</v>
      </c>
      <c r="F8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9" t="str">
        <f>_xlfn.XLOOKUP(AllDataCorrected[[#This Row],[Location Name]], Locations[Location Name],Locations[Group As])</f>
        <v>Avon Smiths Meadow Wyre Piddle</v>
      </c>
      <c r="H849" t="e" vm="17">
        <f>_xlfn.XLOOKUP(AllDataCorrected[[#This Row],[Site Name]],LocationsKey[Site Name],LocationsKey[District])</f>
        <v>#VALUE!</v>
      </c>
      <c r="I849" t="e" vm="20">
        <f>_xlfn.XLOOKUP(AllDataCorrected[[#This Row],[Site Name]],LocationsKey[Site Name],LocationsKey[Town])</f>
        <v>#VALUE!</v>
      </c>
      <c r="J849" t="str">
        <f>_xlfn.XLOOKUP(AllDataCorrected[[#This Row],[Site Name]],LocationsKey[Site Name], LocationsKey[Waterway])</f>
        <v>Avon</v>
      </c>
      <c r="K849" t="s">
        <v>741</v>
      </c>
      <c r="L849">
        <f>_xlfn.XLOOKUP(AllDataCorrected[[#This Row],[Site Name]],Tables!$B$12:$B$78, Tables!C$12:C$78)</f>
        <v>52.123045961538452</v>
      </c>
      <c r="M849">
        <f>_xlfn.XLOOKUP(AllDataCorrected[[#This Row],[Site Name]],Tables!$B$12:$B$78, Tables!D$12:D$78)</f>
        <v>-2.0572161923076919</v>
      </c>
      <c r="N849" t="s">
        <v>23</v>
      </c>
      <c r="O849">
        <v>633</v>
      </c>
      <c r="P849">
        <v>16.2</v>
      </c>
      <c r="Q849">
        <v>6</v>
      </c>
      <c r="R849" t="str">
        <f>IF(AllDataCorrected[[#This Row],[Nitrate (PPM)]]&gt;2, "4. Very high (&gt;2ppm)", IF(AllDataCorrected[[#This Row],[Nitrate (PPM)]]&gt;1, "3. High (1-2ppm)", IF(AllDataCorrected[[#This Row],[Nitrate (PPM)]]&gt;0.5, "2. Some evidence (0.5-1ppm)", IF(AllDataCorrected[[#This Row],[Nitrate (PPM)]]&gt;=0, "1. No evidence (&lt;0.5ppm)"))))</f>
        <v>4. Very high (&gt;2ppm)</v>
      </c>
      <c r="S849">
        <v>0.56999999999999995</v>
      </c>
      <c r="T8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9">
        <v>0.9</v>
      </c>
      <c r="V849" t="s">
        <v>1163</v>
      </c>
    </row>
    <row r="850" spans="1:22" x14ac:dyDescent="0.25">
      <c r="A850" t="s">
        <v>1164</v>
      </c>
      <c r="B850" s="2">
        <v>45437</v>
      </c>
      <c r="C850" t="str" cm="1">
        <f t="array" ref="C8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0">
        <f>YEAR(AllDataCorrected[[#This Row],[Date]])</f>
        <v>2024</v>
      </c>
      <c r="E850" s="1">
        <v>0.46388888888888891</v>
      </c>
      <c r="F8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0" t="str">
        <f>_xlfn.XLOOKUP(AllDataCorrected[[#This Row],[Location Name]], Locations[Location Name],Locations[Group As])</f>
        <v>Piddle Brook Wyre Piddle Bridge</v>
      </c>
      <c r="H850" t="e" vm="17">
        <f>_xlfn.XLOOKUP(AllDataCorrected[[#This Row],[Site Name]],LocationsKey[Site Name],LocationsKey[District])</f>
        <v>#VALUE!</v>
      </c>
      <c r="I850" t="e" vm="20">
        <f>_xlfn.XLOOKUP(AllDataCorrected[[#This Row],[Site Name]],LocationsKey[Site Name],LocationsKey[Town])</f>
        <v>#VALUE!</v>
      </c>
      <c r="J850" t="str">
        <f>_xlfn.XLOOKUP(AllDataCorrected[[#This Row],[Site Name]],LocationsKey[Site Name], LocationsKey[Waterway])</f>
        <v>Piddle Brook</v>
      </c>
      <c r="K850" t="s">
        <v>744</v>
      </c>
      <c r="L850">
        <f>_xlfn.XLOOKUP(AllDataCorrected[[#This Row],[Site Name]],Tables!$B$12:$B$78, Tables!C$12:C$78)</f>
        <v>52.126401720000004</v>
      </c>
      <c r="M850">
        <f>_xlfn.XLOOKUP(AllDataCorrected[[#This Row],[Site Name]],Tables!$B$12:$B$78, Tables!D$12:D$78)</f>
        <v>-2.0565162000000003</v>
      </c>
      <c r="N850" t="s">
        <v>23</v>
      </c>
      <c r="O850">
        <v>1120</v>
      </c>
      <c r="P850">
        <v>14.2</v>
      </c>
      <c r="Q850">
        <v>10</v>
      </c>
      <c r="R850" t="str">
        <f>IF(AllDataCorrected[[#This Row],[Nitrate (PPM)]]&gt;2, "4. Very high (&gt;2ppm)", IF(AllDataCorrected[[#This Row],[Nitrate (PPM)]]&gt;1, "3. High (1-2ppm)", IF(AllDataCorrected[[#This Row],[Nitrate (PPM)]]&gt;0.5, "2. Some evidence (0.5-1ppm)", IF(AllDataCorrected[[#This Row],[Nitrate (PPM)]]&gt;=0, "1. No evidence (&lt;0.5ppm)"))))</f>
        <v>4. Very high (&gt;2ppm)</v>
      </c>
      <c r="S850">
        <v>0.64</v>
      </c>
      <c r="T8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0">
        <v>0.34</v>
      </c>
      <c r="V850" t="s">
        <v>1165</v>
      </c>
    </row>
    <row r="851" spans="1:22" x14ac:dyDescent="0.25">
      <c r="A851" t="s">
        <v>1166</v>
      </c>
      <c r="B851" s="2">
        <v>45437</v>
      </c>
      <c r="C851" t="str" cm="1">
        <f t="array" ref="C8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1">
        <f>YEAR(AllDataCorrected[[#This Row],[Date]])</f>
        <v>2024</v>
      </c>
      <c r="E851" s="1">
        <v>0.5</v>
      </c>
      <c r="F8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51" t="str">
        <f>_xlfn.XLOOKUP(AllDataCorrected[[#This Row],[Location Name]], Locations[Location Name],Locations[Group As])</f>
        <v>Carrant Bredon Rd</v>
      </c>
      <c r="H851" t="e" vm="1">
        <f>_xlfn.XLOOKUP(AllDataCorrected[[#This Row],[Site Name]],LocationsKey[Site Name],LocationsKey[District])</f>
        <v>#VALUE!</v>
      </c>
      <c r="I851" t="e" vm="1">
        <f>_xlfn.XLOOKUP(AllDataCorrected[[#This Row],[Site Name]],LocationsKey[Site Name],LocationsKey[Town])</f>
        <v>#VALUE!</v>
      </c>
      <c r="J851" t="str">
        <f>_xlfn.XLOOKUP(AllDataCorrected[[#This Row],[Site Name]],LocationsKey[Site Name], LocationsKey[Waterway])</f>
        <v>Carrant</v>
      </c>
      <c r="K851" t="s">
        <v>600</v>
      </c>
      <c r="L851">
        <f>_xlfn.XLOOKUP(AllDataCorrected[[#This Row],[Site Name]],Tables!$B$12:$B$78, Tables!C$12:C$78)</f>
        <v>51.996416567567572</v>
      </c>
      <c r="M851">
        <f>_xlfn.XLOOKUP(AllDataCorrected[[#This Row],[Site Name]],Tables!$B$12:$B$78, Tables!D$12:D$78)</f>
        <v>-2.1556626756756749</v>
      </c>
      <c r="N851" t="s">
        <v>23</v>
      </c>
      <c r="O851">
        <v>651</v>
      </c>
      <c r="P851">
        <v>14</v>
      </c>
      <c r="Q851">
        <v>5</v>
      </c>
      <c r="R851" t="str">
        <f>IF(AllDataCorrected[[#This Row],[Nitrate (PPM)]]&gt;2, "4. Very high (&gt;2ppm)", IF(AllDataCorrected[[#This Row],[Nitrate (PPM)]]&gt;1, "3. High (1-2ppm)", IF(AllDataCorrected[[#This Row],[Nitrate (PPM)]]&gt;0.5, "2. Some evidence (0.5-1ppm)", IF(AllDataCorrected[[#This Row],[Nitrate (PPM)]]&gt;=0, "1. No evidence (&lt;0.5ppm)"))))</f>
        <v>4. Very high (&gt;2ppm)</v>
      </c>
      <c r="S851">
        <v>0.33</v>
      </c>
      <c r="T8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51">
        <v>0</v>
      </c>
    </row>
    <row r="852" spans="1:22" x14ac:dyDescent="0.25">
      <c r="A852" t="s">
        <v>1167</v>
      </c>
      <c r="B852" s="2">
        <v>45438</v>
      </c>
      <c r="C852" t="str" cm="1">
        <f t="array" ref="C8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2">
        <f>YEAR(AllDataCorrected[[#This Row],[Date]])</f>
        <v>2024</v>
      </c>
      <c r="E852" s="1">
        <v>0.45833333333333331</v>
      </c>
      <c r="F8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2" t="str">
        <f>_xlfn.XLOOKUP(AllDataCorrected[[#This Row],[Location Name]], Locations[Location Name],Locations[Group As])</f>
        <v>Avonbank Drive</v>
      </c>
      <c r="H852" t="e" vm="2">
        <f>_xlfn.XLOOKUP(AllDataCorrected[[#This Row],[Site Name]],LocationsKey[Site Name],LocationsKey[District])</f>
        <v>#VALUE!</v>
      </c>
      <c r="I852" t="e" vm="7">
        <f>_xlfn.XLOOKUP(AllDataCorrected[[#This Row],[Site Name]],LocationsKey[Site Name],LocationsKey[Town])</f>
        <v>#VALUE!</v>
      </c>
      <c r="J852" t="str">
        <f>_xlfn.XLOOKUP(AllDataCorrected[[#This Row],[Site Name]],LocationsKey[Site Name], LocationsKey[Waterway])</f>
        <v>Avon</v>
      </c>
      <c r="K852" t="s">
        <v>103</v>
      </c>
      <c r="L852">
        <f>_xlfn.XLOOKUP(AllDataCorrected[[#This Row],[Site Name]],Tables!$B$12:$B$78, Tables!C$12:C$78)</f>
        <v>52.177054657142854</v>
      </c>
      <c r="M852">
        <f>_xlfn.XLOOKUP(AllDataCorrected[[#This Row],[Site Name]],Tables!$B$12:$B$78, Tables!D$12:D$78)</f>
        <v>-1.7358669999999996</v>
      </c>
      <c r="N852" t="s">
        <v>66</v>
      </c>
      <c r="O852">
        <v>802</v>
      </c>
      <c r="P852">
        <v>21.3</v>
      </c>
      <c r="Q852">
        <v>5</v>
      </c>
      <c r="R852" t="str">
        <f>IF(AllDataCorrected[[#This Row],[Nitrate (PPM)]]&gt;2, "4. Very high (&gt;2ppm)", IF(AllDataCorrected[[#This Row],[Nitrate (PPM)]]&gt;1, "3. High (1-2ppm)", IF(AllDataCorrected[[#This Row],[Nitrate (PPM)]]&gt;0.5, "2. Some evidence (0.5-1ppm)", IF(AllDataCorrected[[#This Row],[Nitrate (PPM)]]&gt;=0, "1. No evidence (&lt;0.5ppm)"))))</f>
        <v>4. Very high (&gt;2ppm)</v>
      </c>
      <c r="S852">
        <v>0.95</v>
      </c>
      <c r="T8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2">
        <v>0.8</v>
      </c>
      <c r="V852" t="s">
        <v>1168</v>
      </c>
    </row>
    <row r="853" spans="1:22" x14ac:dyDescent="0.25">
      <c r="A853" t="s">
        <v>1169</v>
      </c>
      <c r="B853" s="2">
        <v>45438</v>
      </c>
      <c r="C853" t="str" cm="1">
        <f t="array" ref="C8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3">
        <f>YEAR(AllDataCorrected[[#This Row],[Date]])</f>
        <v>2024</v>
      </c>
      <c r="E853" s="1">
        <v>0.45833333333333331</v>
      </c>
      <c r="F8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3" t="str">
        <f>_xlfn.XLOOKUP(AllDataCorrected[[#This Row],[Location Name]], Locations[Location Name],Locations[Group As])</f>
        <v>Pitch 16</v>
      </c>
      <c r="H853" t="e" vm="2">
        <f>_xlfn.XLOOKUP(AllDataCorrected[[#This Row],[Site Name]],LocationsKey[Site Name],LocationsKey[District])</f>
        <v>#VALUE!</v>
      </c>
      <c r="I853" t="e" vm="7">
        <f>_xlfn.XLOOKUP(AllDataCorrected[[#This Row],[Site Name]],LocationsKey[Site Name],LocationsKey[Town])</f>
        <v>#VALUE!</v>
      </c>
      <c r="J853" t="str">
        <f>_xlfn.XLOOKUP(AllDataCorrected[[#This Row],[Site Name]],LocationsKey[Site Name], LocationsKey[Waterway])</f>
        <v>Avon</v>
      </c>
      <c r="K853" t="s">
        <v>69</v>
      </c>
      <c r="L853">
        <f>_xlfn.XLOOKUP(AllDataCorrected[[#This Row],[Site Name]],Tables!$B$12:$B$78, Tables!C$12:C$78)</f>
        <v>52.17355294117646</v>
      </c>
      <c r="M853">
        <f>_xlfn.XLOOKUP(AllDataCorrected[[#This Row],[Site Name]],Tables!$B$12:$B$78, Tables!D$12:D$78)</f>
        <v>-1.7433199411764708</v>
      </c>
      <c r="N853" t="s">
        <v>29</v>
      </c>
      <c r="O853">
        <v>785</v>
      </c>
      <c r="P853">
        <v>22</v>
      </c>
      <c r="Q853">
        <v>5</v>
      </c>
      <c r="R853" t="str">
        <f>IF(AllDataCorrected[[#This Row],[Nitrate (PPM)]]&gt;2, "4. Very high (&gt;2ppm)", IF(AllDataCorrected[[#This Row],[Nitrate (PPM)]]&gt;1, "3. High (1-2ppm)", IF(AllDataCorrected[[#This Row],[Nitrate (PPM)]]&gt;0.5, "2. Some evidence (0.5-1ppm)", IF(AllDataCorrected[[#This Row],[Nitrate (PPM)]]&gt;=0, "1. No evidence (&lt;0.5ppm)"))))</f>
        <v>4. Very high (&gt;2ppm)</v>
      </c>
      <c r="S853">
        <v>0.53</v>
      </c>
      <c r="T8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3">
        <v>0.8</v>
      </c>
      <c r="V853" t="s">
        <v>1168</v>
      </c>
    </row>
    <row r="854" spans="1:22" x14ac:dyDescent="0.25">
      <c r="A854" t="s">
        <v>1800</v>
      </c>
      <c r="B854" s="2">
        <v>45438</v>
      </c>
      <c r="C854" t="str" cm="1">
        <f t="array" ref="C8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4">
        <f>YEAR(AllDataCorrected[[#This Row],[Date]])</f>
        <v>2024</v>
      </c>
      <c r="F85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4" t="str">
        <f>_xlfn.XLOOKUP(AllDataCorrected[[#This Row],[Location Name]], Locations[Location Name],Locations[Group As])</f>
        <v>Site 1  :  Middle Street</v>
      </c>
      <c r="H854" t="e" vm="2">
        <f>_xlfn.XLOOKUP(AllDataCorrected[[#This Row],[Site Name]],LocationsKey[Site Name],LocationsKey[District])</f>
        <v>#VALUE!</v>
      </c>
      <c r="I854" t="e" vm="11">
        <f>_xlfn.XLOOKUP(AllDataCorrected[[#This Row],[Site Name]],LocationsKey[Site Name],LocationsKey[Town])</f>
        <v>#VALUE!</v>
      </c>
      <c r="J854" t="str">
        <f>_xlfn.XLOOKUP(AllDataCorrected[[#This Row],[Site Name]],LocationsKey[Site Name], LocationsKey[Waterway])</f>
        <v>Fosseway Brook</v>
      </c>
      <c r="K854" t="s">
        <v>1859</v>
      </c>
      <c r="L854">
        <f>_xlfn.XLOOKUP(AllDataCorrected[[#This Row],[Site Name]],Tables!$B$12:$B$78, Tables!C$12:C$78)</f>
        <v>52.090077380952394</v>
      </c>
      <c r="M854">
        <f>_xlfn.XLOOKUP(AllDataCorrected[[#This Row],[Site Name]],Tables!$B$12:$B$78, Tables!D$12:D$78)</f>
        <v>-1.6926051666666673</v>
      </c>
      <c r="N854" t="s">
        <v>66</v>
      </c>
      <c r="O854">
        <v>585</v>
      </c>
      <c r="P854">
        <v>19.100000000000001</v>
      </c>
      <c r="Q854">
        <v>2</v>
      </c>
      <c r="R854" t="str">
        <f>IF(AllDataCorrected[[#This Row],[Nitrate (PPM)]]&gt;2, "4. Very high (&gt;2ppm)", IF(AllDataCorrected[[#This Row],[Nitrate (PPM)]]&gt;1, "3. High (1-2ppm)", IF(AllDataCorrected[[#This Row],[Nitrate (PPM)]]&gt;0.5, "2. Some evidence (0.5-1ppm)", IF(AllDataCorrected[[#This Row],[Nitrate (PPM)]]&gt;=0, "1. No evidence (&lt;0.5ppm)"))))</f>
        <v>3. High (1-2ppm)</v>
      </c>
      <c r="S854">
        <v>0.1</v>
      </c>
      <c r="T85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854">
        <v>0</v>
      </c>
      <c r="V854" t="s">
        <v>1909</v>
      </c>
    </row>
    <row r="855" spans="1:22" x14ac:dyDescent="0.25">
      <c r="A855" t="s">
        <v>1384</v>
      </c>
      <c r="B855" s="2">
        <v>45438</v>
      </c>
      <c r="C855" t="str" cm="1">
        <f t="array" ref="C8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5">
        <f>YEAR(AllDataCorrected[[#This Row],[Date]])</f>
        <v>2024</v>
      </c>
      <c r="F85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5" t="str">
        <f>_xlfn.XLOOKUP(AllDataCorrected[[#This Row],[Location Name]], Locations[Location Name],Locations[Group As])</f>
        <v>Site 1  :  Middle Street</v>
      </c>
      <c r="H855" t="e" vm="2">
        <f>_xlfn.XLOOKUP(AllDataCorrected[[#This Row],[Site Name]],LocationsKey[Site Name],LocationsKey[District])</f>
        <v>#VALUE!</v>
      </c>
      <c r="I855" t="e" vm="11">
        <f>_xlfn.XLOOKUP(AllDataCorrected[[#This Row],[Site Name]],LocationsKey[Site Name],LocationsKey[Town])</f>
        <v>#VALUE!</v>
      </c>
      <c r="J855" t="str">
        <f>_xlfn.XLOOKUP(AllDataCorrected[[#This Row],[Site Name]],LocationsKey[Site Name], LocationsKey[Waterway])</f>
        <v>Fosseway Brook</v>
      </c>
      <c r="K855" t="s">
        <v>1373</v>
      </c>
      <c r="L855">
        <f>_xlfn.XLOOKUP(AllDataCorrected[[#This Row],[Site Name]],Tables!$B$12:$B$78, Tables!C$12:C$78)</f>
        <v>52.090077380952394</v>
      </c>
      <c r="M855">
        <f>_xlfn.XLOOKUP(AllDataCorrected[[#This Row],[Site Name]],Tables!$B$12:$B$78, Tables!D$12:D$78)</f>
        <v>-1.6926051666666673</v>
      </c>
      <c r="N855" t="s">
        <v>66</v>
      </c>
      <c r="O855">
        <v>585</v>
      </c>
      <c r="P855">
        <v>19.100000000000001</v>
      </c>
      <c r="Q855">
        <v>2</v>
      </c>
      <c r="R855" t="str">
        <f>IF(AllDataCorrected[[#This Row],[Nitrate (PPM)]]&gt;2, "4. Very high (&gt;2ppm)", IF(AllDataCorrected[[#This Row],[Nitrate (PPM)]]&gt;1, "3. High (1-2ppm)", IF(AllDataCorrected[[#This Row],[Nitrate (PPM)]]&gt;0.5, "2. Some evidence (0.5-1ppm)", IF(AllDataCorrected[[#This Row],[Nitrate (PPM)]]&gt;=0, "1. No evidence (&lt;0.5ppm)"))))</f>
        <v>3. High (1-2ppm)</v>
      </c>
      <c r="S855">
        <v>0.1</v>
      </c>
      <c r="T85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856" spans="1:22" x14ac:dyDescent="0.25">
      <c r="A856" t="s">
        <v>1801</v>
      </c>
      <c r="B856" s="2">
        <v>45438</v>
      </c>
      <c r="C856" t="str" cm="1">
        <f t="array" ref="C8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6">
        <f>YEAR(AllDataCorrected[[#This Row],[Date]])</f>
        <v>2024</v>
      </c>
      <c r="F85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6" t="str">
        <f>_xlfn.XLOOKUP(AllDataCorrected[[#This Row],[Location Name]], Locations[Location Name],Locations[Group As])</f>
        <v>Site 2  :  Cross Leys culvert</v>
      </c>
      <c r="H856" t="e" vm="2">
        <f>_xlfn.XLOOKUP(AllDataCorrected[[#This Row],[Site Name]],LocationsKey[Site Name],LocationsKey[District])</f>
        <v>#VALUE!</v>
      </c>
      <c r="I856" t="e" vm="11">
        <f>_xlfn.XLOOKUP(AllDataCorrected[[#This Row],[Site Name]],LocationsKey[Site Name],LocationsKey[Town])</f>
        <v>#VALUE!</v>
      </c>
      <c r="J856" t="str">
        <f>_xlfn.XLOOKUP(AllDataCorrected[[#This Row],[Site Name]],LocationsKey[Site Name], LocationsKey[Waterway])</f>
        <v>Fosseway Brook</v>
      </c>
      <c r="K856" t="s">
        <v>1860</v>
      </c>
      <c r="L856">
        <f>_xlfn.XLOOKUP(AllDataCorrected[[#This Row],[Site Name]],Tables!$B$12:$B$78, Tables!C$12:C$78)</f>
        <v>52.092990199999988</v>
      </c>
      <c r="M856">
        <f>_xlfn.XLOOKUP(AllDataCorrected[[#This Row],[Site Name]],Tables!$B$12:$B$78, Tables!D$12:D$78)</f>
        <v>-1.6862810999999998</v>
      </c>
      <c r="N856" t="s">
        <v>66</v>
      </c>
      <c r="O856">
        <v>646</v>
      </c>
      <c r="P856">
        <v>18</v>
      </c>
      <c r="Q856">
        <v>2</v>
      </c>
      <c r="R856" t="str">
        <f>IF(AllDataCorrected[[#This Row],[Nitrate (PPM)]]&gt;2, "4. Very high (&gt;2ppm)", IF(AllDataCorrected[[#This Row],[Nitrate (PPM)]]&gt;1, "3. High (1-2ppm)", IF(AllDataCorrected[[#This Row],[Nitrate (PPM)]]&gt;0.5, "2. Some evidence (0.5-1ppm)", IF(AllDataCorrected[[#This Row],[Nitrate (PPM)]]&gt;=0, "1. No evidence (&lt;0.5ppm)"))))</f>
        <v>3. High (1-2ppm)</v>
      </c>
      <c r="S856">
        <v>0.3</v>
      </c>
      <c r="T8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56">
        <v>0</v>
      </c>
      <c r="V856" t="s">
        <v>1909</v>
      </c>
    </row>
    <row r="857" spans="1:22" x14ac:dyDescent="0.25">
      <c r="A857" t="s">
        <v>1383</v>
      </c>
      <c r="B857" s="2">
        <v>45438</v>
      </c>
      <c r="C857" t="str" cm="1">
        <f t="array" ref="C8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7">
        <f>YEAR(AllDataCorrected[[#This Row],[Date]])</f>
        <v>2024</v>
      </c>
      <c r="F85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7" t="str">
        <f>_xlfn.XLOOKUP(AllDataCorrected[[#This Row],[Location Name]], Locations[Location Name],Locations[Group As])</f>
        <v>Site 2  :  Cross Leys culvert</v>
      </c>
      <c r="H857" t="e" vm="2">
        <f>_xlfn.XLOOKUP(AllDataCorrected[[#This Row],[Site Name]],LocationsKey[Site Name],LocationsKey[District])</f>
        <v>#VALUE!</v>
      </c>
      <c r="I857" t="e" vm="11">
        <f>_xlfn.XLOOKUP(AllDataCorrected[[#This Row],[Site Name]],LocationsKey[Site Name],LocationsKey[Town])</f>
        <v>#VALUE!</v>
      </c>
      <c r="J857" t="str">
        <f>_xlfn.XLOOKUP(AllDataCorrected[[#This Row],[Site Name]],LocationsKey[Site Name], LocationsKey[Waterway])</f>
        <v>Fosseway Brook</v>
      </c>
      <c r="K857" t="s">
        <v>1371</v>
      </c>
      <c r="L857">
        <f>_xlfn.XLOOKUP(AllDataCorrected[[#This Row],[Site Name]],Tables!$B$12:$B$78, Tables!C$12:C$78)</f>
        <v>52.092990199999988</v>
      </c>
      <c r="M857">
        <f>_xlfn.XLOOKUP(AllDataCorrected[[#This Row],[Site Name]],Tables!$B$12:$B$78, Tables!D$12:D$78)</f>
        <v>-1.6862810999999998</v>
      </c>
      <c r="N857" t="s">
        <v>66</v>
      </c>
      <c r="O857">
        <v>646</v>
      </c>
      <c r="P857">
        <v>18</v>
      </c>
      <c r="Q857">
        <v>2</v>
      </c>
      <c r="R857" t="str">
        <f>IF(AllDataCorrected[[#This Row],[Nitrate (PPM)]]&gt;2, "4. Very high (&gt;2ppm)", IF(AllDataCorrected[[#This Row],[Nitrate (PPM)]]&gt;1, "3. High (1-2ppm)", IF(AllDataCorrected[[#This Row],[Nitrate (PPM)]]&gt;0.5, "2. Some evidence (0.5-1ppm)", IF(AllDataCorrected[[#This Row],[Nitrate (PPM)]]&gt;=0, "1. No evidence (&lt;0.5ppm)"))))</f>
        <v>3. High (1-2ppm)</v>
      </c>
      <c r="S857">
        <v>0.3</v>
      </c>
      <c r="T8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858" spans="1:22" x14ac:dyDescent="0.25">
      <c r="A858" t="s">
        <v>1802</v>
      </c>
      <c r="B858" s="2">
        <v>45438</v>
      </c>
      <c r="C858" t="str" cm="1">
        <f t="array" ref="C8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8">
        <f>YEAR(AllDataCorrected[[#This Row],[Date]])</f>
        <v>2024</v>
      </c>
      <c r="F85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8" t="str">
        <f>_xlfn.XLOOKUP(AllDataCorrected[[#This Row],[Location Name]], Locations[Location Name],Locations[Group As])</f>
        <v>Site 3  :  Severn Trent Water processing plant outflow</v>
      </c>
      <c r="H858" t="e" vm="2">
        <f>_xlfn.XLOOKUP(AllDataCorrected[[#This Row],[Site Name]],LocationsKey[Site Name],LocationsKey[District])</f>
        <v>#VALUE!</v>
      </c>
      <c r="I858" t="e" vm="11">
        <f>_xlfn.XLOOKUP(AllDataCorrected[[#This Row],[Site Name]],LocationsKey[Site Name],LocationsKey[Town])</f>
        <v>#VALUE!</v>
      </c>
      <c r="J858" t="str">
        <f>_xlfn.XLOOKUP(AllDataCorrected[[#This Row],[Site Name]],LocationsKey[Site Name], LocationsKey[Waterway])</f>
        <v>Fosseway Brook</v>
      </c>
      <c r="K858" t="s">
        <v>1861</v>
      </c>
      <c r="L858">
        <f>_xlfn.XLOOKUP(AllDataCorrected[[#This Row],[Site Name]],Tables!$B$12:$B$78, Tables!C$12:C$78)</f>
        <v>52.094341024390218</v>
      </c>
      <c r="M858">
        <f>_xlfn.XLOOKUP(AllDataCorrected[[#This Row],[Site Name]],Tables!$B$12:$B$78, Tables!D$12:D$78)</f>
        <v>-1.6731015853658531</v>
      </c>
      <c r="N858" t="s">
        <v>29</v>
      </c>
      <c r="O858">
        <v>830</v>
      </c>
      <c r="P858">
        <v>18.3</v>
      </c>
      <c r="Q858">
        <v>10</v>
      </c>
      <c r="R858" t="str">
        <f>IF(AllDataCorrected[[#This Row],[Nitrate (PPM)]]&gt;2, "4. Very high (&gt;2ppm)", IF(AllDataCorrected[[#This Row],[Nitrate (PPM)]]&gt;1, "3. High (1-2ppm)", IF(AllDataCorrected[[#This Row],[Nitrate (PPM)]]&gt;0.5, "2. Some evidence (0.5-1ppm)", IF(AllDataCorrected[[#This Row],[Nitrate (PPM)]]&gt;=0, "1. No evidence (&lt;0.5ppm)"))))</f>
        <v>4. Very high (&gt;2ppm)</v>
      </c>
      <c r="S858">
        <v>2.09</v>
      </c>
      <c r="T8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8">
        <v>0</v>
      </c>
      <c r="V858" t="s">
        <v>1910</v>
      </c>
    </row>
    <row r="859" spans="1:22" x14ac:dyDescent="0.25">
      <c r="A859" t="s">
        <v>1382</v>
      </c>
      <c r="B859" s="2">
        <v>45438</v>
      </c>
      <c r="C859" t="str" cm="1">
        <f t="array" ref="C8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9">
        <f>YEAR(AllDataCorrected[[#This Row],[Date]])</f>
        <v>2024</v>
      </c>
      <c r="F85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9" t="str">
        <f>_xlfn.XLOOKUP(AllDataCorrected[[#This Row],[Location Name]], Locations[Location Name],Locations[Group As])</f>
        <v>Site 3  :  Severn Trent Water processing plant outflow</v>
      </c>
      <c r="H859" t="e" vm="2">
        <f>_xlfn.XLOOKUP(AllDataCorrected[[#This Row],[Site Name]],LocationsKey[Site Name],LocationsKey[District])</f>
        <v>#VALUE!</v>
      </c>
      <c r="I859" t="e" vm="11">
        <f>_xlfn.XLOOKUP(AllDataCorrected[[#This Row],[Site Name]],LocationsKey[Site Name],LocationsKey[Town])</f>
        <v>#VALUE!</v>
      </c>
      <c r="J859" t="str">
        <f>_xlfn.XLOOKUP(AllDataCorrected[[#This Row],[Site Name]],LocationsKey[Site Name], LocationsKey[Waterway])</f>
        <v>Fosseway Brook</v>
      </c>
      <c r="K859" t="s">
        <v>1368</v>
      </c>
      <c r="L859">
        <f>_xlfn.XLOOKUP(AllDataCorrected[[#This Row],[Site Name]],Tables!$B$12:$B$78, Tables!C$12:C$78)</f>
        <v>52.094341024390218</v>
      </c>
      <c r="M859">
        <f>_xlfn.XLOOKUP(AllDataCorrected[[#This Row],[Site Name]],Tables!$B$12:$B$78, Tables!D$12:D$78)</f>
        <v>-1.6731015853658531</v>
      </c>
      <c r="N859" t="s">
        <v>29</v>
      </c>
      <c r="O859">
        <v>830</v>
      </c>
      <c r="P859">
        <v>18.3</v>
      </c>
      <c r="Q859">
        <v>10</v>
      </c>
      <c r="R859" t="str">
        <f>IF(AllDataCorrected[[#This Row],[Nitrate (PPM)]]&gt;2, "4. Very high (&gt;2ppm)", IF(AllDataCorrected[[#This Row],[Nitrate (PPM)]]&gt;1, "3. High (1-2ppm)", IF(AllDataCorrected[[#This Row],[Nitrate (PPM)]]&gt;0.5, "2. Some evidence (0.5-1ppm)", IF(AllDataCorrected[[#This Row],[Nitrate (PPM)]]&gt;=0, "1. No evidence (&lt;0.5ppm)"))))</f>
        <v>4. Very high (&gt;2ppm)</v>
      </c>
      <c r="S859">
        <v>2.09</v>
      </c>
      <c r="T8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60" spans="1:22" x14ac:dyDescent="0.25">
      <c r="A860" t="s">
        <v>1170</v>
      </c>
      <c r="B860" s="2">
        <v>45439</v>
      </c>
      <c r="C860" t="str" cm="1">
        <f t="array" ref="C8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0">
        <f>YEAR(AllDataCorrected[[#This Row],[Date]])</f>
        <v>2024</v>
      </c>
      <c r="E860" s="1">
        <v>0.40486111111111112</v>
      </c>
      <c r="F8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0" t="str">
        <f>_xlfn.XLOOKUP(AllDataCorrected[[#This Row],[Location Name]], Locations[Location Name],Locations[Group As])</f>
        <v>Carrant Mitton Path</v>
      </c>
      <c r="H860" t="e" vm="1">
        <f>_xlfn.XLOOKUP(AllDataCorrected[[#This Row],[Site Name]],LocationsKey[Site Name],LocationsKey[District])</f>
        <v>#VALUE!</v>
      </c>
      <c r="I860" t="e" vm="1">
        <f>_xlfn.XLOOKUP(AllDataCorrected[[#This Row],[Site Name]],LocationsKey[Site Name],LocationsKey[Town])</f>
        <v>#VALUE!</v>
      </c>
      <c r="J860" t="str">
        <f>_xlfn.XLOOKUP(AllDataCorrected[[#This Row],[Site Name]],LocationsKey[Site Name], LocationsKey[Waterway])</f>
        <v>Carrant</v>
      </c>
      <c r="K860" t="s">
        <v>958</v>
      </c>
      <c r="L860">
        <f>_xlfn.XLOOKUP(AllDataCorrected[[#This Row],[Site Name]],Tables!$B$12:$B$78, Tables!C$12:C$78)</f>
        <v>51.999946066666674</v>
      </c>
      <c r="M860">
        <f>_xlfn.XLOOKUP(AllDataCorrected[[#This Row],[Site Name]],Tables!$B$12:$B$78, Tables!D$12:D$78)</f>
        <v>-2.1414862000000006</v>
      </c>
      <c r="N860" t="s">
        <v>23</v>
      </c>
      <c r="O860">
        <v>698</v>
      </c>
      <c r="P860">
        <v>15.3</v>
      </c>
      <c r="Q860">
        <v>9</v>
      </c>
      <c r="R860" t="str">
        <f>IF(AllDataCorrected[[#This Row],[Nitrate (PPM)]]&gt;2, "4. Very high (&gt;2ppm)", IF(AllDataCorrected[[#This Row],[Nitrate (PPM)]]&gt;1, "3. High (1-2ppm)", IF(AllDataCorrected[[#This Row],[Nitrate (PPM)]]&gt;0.5, "2. Some evidence (0.5-1ppm)", IF(AllDataCorrected[[#This Row],[Nitrate (PPM)]]&gt;=0, "1. No evidence (&lt;0.5ppm)"))))</f>
        <v>4. Very high (&gt;2ppm)</v>
      </c>
      <c r="S860">
        <v>0.22</v>
      </c>
      <c r="T8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0">
        <v>0</v>
      </c>
    </row>
    <row r="861" spans="1:22" x14ac:dyDescent="0.25">
      <c r="A861" t="s">
        <v>1171</v>
      </c>
      <c r="B861" s="2">
        <v>45439</v>
      </c>
      <c r="C861" t="str" cm="1">
        <f t="array" ref="C8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1">
        <f>YEAR(AllDataCorrected[[#This Row],[Date]])</f>
        <v>2024</v>
      </c>
      <c r="E861" s="1">
        <v>0.41666666666666669</v>
      </c>
      <c r="F8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1" t="str">
        <f>_xlfn.XLOOKUP(AllDataCorrected[[#This Row],[Location Name]], Locations[Location Name],Locations[Group As])</f>
        <v>Fell Mill Footbridge</v>
      </c>
      <c r="H861" t="e" vm="2">
        <f>_xlfn.XLOOKUP(AllDataCorrected[[#This Row],[Site Name]],LocationsKey[Site Name],LocationsKey[District])</f>
        <v>#VALUE!</v>
      </c>
      <c r="I861" t="e" vm="10">
        <f>_xlfn.XLOOKUP(AllDataCorrected[[#This Row],[Site Name]],LocationsKey[Site Name],LocationsKey[Town])</f>
        <v>#VALUE!</v>
      </c>
      <c r="J861" t="str">
        <f>_xlfn.XLOOKUP(AllDataCorrected[[#This Row],[Site Name]],LocationsKey[Site Name], LocationsKey[Waterway])</f>
        <v>Stour</v>
      </c>
      <c r="K861" t="s">
        <v>818</v>
      </c>
      <c r="L861">
        <f>_xlfn.XLOOKUP(AllDataCorrected[[#This Row],[Site Name]],Tables!$B$12:$B$78, Tables!C$12:C$78)</f>
        <v>52.067966827586183</v>
      </c>
      <c r="M861">
        <f>_xlfn.XLOOKUP(AllDataCorrected[[#This Row],[Site Name]],Tables!$B$12:$B$78, Tables!D$12:D$78)</f>
        <v>-1.6118101379310343</v>
      </c>
      <c r="N861" t="s">
        <v>29</v>
      </c>
      <c r="O861">
        <v>617</v>
      </c>
      <c r="P861">
        <v>14.3</v>
      </c>
      <c r="Q861">
        <v>10</v>
      </c>
      <c r="R861" t="str">
        <f>IF(AllDataCorrected[[#This Row],[Nitrate (PPM)]]&gt;2, "4. Very high (&gt;2ppm)", IF(AllDataCorrected[[#This Row],[Nitrate (PPM)]]&gt;1, "3. High (1-2ppm)", IF(AllDataCorrected[[#This Row],[Nitrate (PPM)]]&gt;0.5, "2. Some evidence (0.5-1ppm)", IF(AllDataCorrected[[#This Row],[Nitrate (PPM)]]&gt;=0, "1. No evidence (&lt;0.5ppm)"))))</f>
        <v>4. Very high (&gt;2ppm)</v>
      </c>
      <c r="S861">
        <v>0.56999999999999995</v>
      </c>
      <c r="T8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1">
        <v>1.4</v>
      </c>
    </row>
    <row r="862" spans="1:22" x14ac:dyDescent="0.25">
      <c r="A862" t="s">
        <v>1179</v>
      </c>
      <c r="B862" s="2">
        <v>45439</v>
      </c>
      <c r="C862" t="str" cm="1">
        <f t="array" ref="C8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2">
        <f>YEAR(AllDataCorrected[[#This Row],[Date]])</f>
        <v>2024</v>
      </c>
      <c r="E862" s="1">
        <v>0.41666666666666669</v>
      </c>
      <c r="F86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2" t="str">
        <f>_xlfn.XLOOKUP(AllDataCorrected[[#This Row],[Location Name]], Locations[Location Name],Locations[Group As])</f>
        <v>Sherbourne Brook 1</v>
      </c>
      <c r="H862" t="e" vm="2">
        <f>_xlfn.XLOOKUP(AllDataCorrected[[#This Row],[Site Name]],LocationsKey[Site Name],LocationsKey[District])</f>
        <v>#VALUE!</v>
      </c>
      <c r="I862" t="e" vm="16">
        <f>_xlfn.XLOOKUP(AllDataCorrected[[#This Row],[Site Name]],LocationsKey[Site Name],LocationsKey[Town])</f>
        <v>#VALUE!</v>
      </c>
      <c r="J862" t="str">
        <f>_xlfn.XLOOKUP(AllDataCorrected[[#This Row],[Site Name]],LocationsKey[Site Name], LocationsKey[Waterway])</f>
        <v>Sherbourne Brook</v>
      </c>
      <c r="K862" t="s">
        <v>570</v>
      </c>
      <c r="L862">
        <f>_xlfn.XLOOKUP(AllDataCorrected[[#This Row],[Site Name]],Tables!$B$12:$B$78, Tables!C$12:C$78)</f>
        <v>52.252500000000033</v>
      </c>
      <c r="M862">
        <f>_xlfn.XLOOKUP(AllDataCorrected[[#This Row],[Site Name]],Tables!$B$12:$B$78, Tables!D$12:D$78)</f>
        <v>-1.6685000000000012</v>
      </c>
      <c r="N862" t="s">
        <v>23</v>
      </c>
      <c r="O862">
        <v>1050</v>
      </c>
      <c r="P862">
        <v>13.7</v>
      </c>
      <c r="Q862">
        <v>10</v>
      </c>
      <c r="R862" t="str">
        <f>IF(AllDataCorrected[[#This Row],[Nitrate (PPM)]]&gt;2, "4. Very high (&gt;2ppm)", IF(AllDataCorrected[[#This Row],[Nitrate (PPM)]]&gt;1, "3. High (1-2ppm)", IF(AllDataCorrected[[#This Row],[Nitrate (PPM)]]&gt;0.5, "2. Some evidence (0.5-1ppm)", IF(AllDataCorrected[[#This Row],[Nitrate (PPM)]]&gt;=0, "1. No evidence (&lt;0.5ppm)"))))</f>
        <v>4. Very high (&gt;2ppm)</v>
      </c>
      <c r="S862">
        <v>0.22</v>
      </c>
      <c r="T8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2">
        <v>0.2</v>
      </c>
    </row>
    <row r="863" spans="1:22" x14ac:dyDescent="0.25">
      <c r="A863" t="s">
        <v>1172</v>
      </c>
      <c r="B863" s="2">
        <v>45439</v>
      </c>
      <c r="C863" t="str" cm="1">
        <f t="array" ref="C8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3">
        <f>YEAR(AllDataCorrected[[#This Row],[Date]])</f>
        <v>2024</v>
      </c>
      <c r="E863" s="1">
        <v>0.41805555555555557</v>
      </c>
      <c r="F8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3" t="str">
        <f>_xlfn.XLOOKUP(AllDataCorrected[[#This Row],[Location Name]], Locations[Location Name],Locations[Group As])</f>
        <v>Carrant M5 Bridge</v>
      </c>
      <c r="H863" t="e" vm="1">
        <f>_xlfn.XLOOKUP(AllDataCorrected[[#This Row],[Site Name]],LocationsKey[Site Name],LocationsKey[District])</f>
        <v>#VALUE!</v>
      </c>
      <c r="I863" t="e" vm="1">
        <f>_xlfn.XLOOKUP(AllDataCorrected[[#This Row],[Site Name]],LocationsKey[Site Name],LocationsKey[Town])</f>
        <v>#VALUE!</v>
      </c>
      <c r="J863" t="str">
        <f>_xlfn.XLOOKUP(AllDataCorrected[[#This Row],[Site Name]],LocationsKey[Site Name], LocationsKey[Waterway])</f>
        <v>Carrant</v>
      </c>
      <c r="K863" t="s">
        <v>1015</v>
      </c>
      <c r="L863">
        <f>_xlfn.XLOOKUP(AllDataCorrected[[#This Row],[Site Name]],Tables!$B$12:$B$78, Tables!C$12:C$78)</f>
        <v>52.011600000000001</v>
      </c>
      <c r="M863">
        <f>_xlfn.XLOOKUP(AllDataCorrected[[#This Row],[Site Name]],Tables!$B$12:$B$78, Tables!D$12:D$78)</f>
        <v>-2.1206</v>
      </c>
      <c r="N863" t="s">
        <v>23</v>
      </c>
      <c r="O863">
        <v>732</v>
      </c>
      <c r="P863">
        <v>15.2</v>
      </c>
      <c r="Q863">
        <v>7</v>
      </c>
      <c r="R863" t="str">
        <f>IF(AllDataCorrected[[#This Row],[Nitrate (PPM)]]&gt;2, "4. Very high (&gt;2ppm)", IF(AllDataCorrected[[#This Row],[Nitrate (PPM)]]&gt;1, "3. High (1-2ppm)", IF(AllDataCorrected[[#This Row],[Nitrate (PPM)]]&gt;0.5, "2. Some evidence (0.5-1ppm)", IF(AllDataCorrected[[#This Row],[Nitrate (PPM)]]&gt;=0, "1. No evidence (&lt;0.5ppm)"))))</f>
        <v>4. Very high (&gt;2ppm)</v>
      </c>
      <c r="S863">
        <v>0.45</v>
      </c>
      <c r="T8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3">
        <v>0</v>
      </c>
    </row>
    <row r="864" spans="1:22" x14ac:dyDescent="0.25">
      <c r="A864" t="s">
        <v>1178</v>
      </c>
      <c r="B864" s="2">
        <v>45439</v>
      </c>
      <c r="C864" t="str" cm="1">
        <f t="array" ref="C8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4">
        <f>YEAR(AllDataCorrected[[#This Row],[Date]])</f>
        <v>2024</v>
      </c>
      <c r="E864" s="1">
        <v>0.42708333333333331</v>
      </c>
      <c r="F8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4" t="str">
        <f>_xlfn.XLOOKUP(AllDataCorrected[[#This Row],[Location Name]], Locations[Location Name],Locations[Group As])</f>
        <v>Bell Brook 1</v>
      </c>
      <c r="H864" t="e" vm="2">
        <f>_xlfn.XLOOKUP(AllDataCorrected[[#This Row],[Site Name]],LocationsKey[Site Name],LocationsKey[District])</f>
        <v>#VALUE!</v>
      </c>
      <c r="I864" t="e" vm="15">
        <f>_xlfn.XLOOKUP(AllDataCorrected[[#This Row],[Site Name]],LocationsKey[Site Name],LocationsKey[Town])</f>
        <v>#VALUE!</v>
      </c>
      <c r="J864" t="str">
        <f>_xlfn.XLOOKUP(AllDataCorrected[[#This Row],[Site Name]],LocationsKey[Site Name], LocationsKey[Waterway])</f>
        <v>Bell Brook</v>
      </c>
      <c r="K864" t="s">
        <v>534</v>
      </c>
      <c r="L864">
        <f>_xlfn.XLOOKUP(AllDataCorrected[[#This Row],[Site Name]],Tables!$B$12:$B$78, Tables!C$12:C$78)</f>
        <v>52.24489999999998</v>
      </c>
      <c r="M864">
        <f>_xlfn.XLOOKUP(AllDataCorrected[[#This Row],[Site Name]],Tables!$B$12:$B$78, Tables!D$12:D$78)</f>
        <v>-1.6617000000000013</v>
      </c>
      <c r="N864" t="s">
        <v>23</v>
      </c>
      <c r="O864">
        <v>686</v>
      </c>
      <c r="P864">
        <v>14.5</v>
      </c>
      <c r="Q864">
        <v>5</v>
      </c>
      <c r="R864" t="str">
        <f>IF(AllDataCorrected[[#This Row],[Nitrate (PPM)]]&gt;2, "4. Very high (&gt;2ppm)", IF(AllDataCorrected[[#This Row],[Nitrate (PPM)]]&gt;1, "3. High (1-2ppm)", IF(AllDataCorrected[[#This Row],[Nitrate (PPM)]]&gt;0.5, "2. Some evidence (0.5-1ppm)", IF(AllDataCorrected[[#This Row],[Nitrate (PPM)]]&gt;=0, "1. No evidence (&lt;0.5ppm)"))))</f>
        <v>4. Very high (&gt;2ppm)</v>
      </c>
      <c r="S864">
        <v>0.46</v>
      </c>
      <c r="T8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4">
        <v>0.2</v>
      </c>
    </row>
    <row r="865" spans="1:22" x14ac:dyDescent="0.25">
      <c r="A865" t="s">
        <v>1173</v>
      </c>
      <c r="B865" s="2">
        <v>45439</v>
      </c>
      <c r="C865" t="str" cm="1">
        <f t="array" ref="C8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5">
        <f>YEAR(AllDataCorrected[[#This Row],[Date]])</f>
        <v>2024</v>
      </c>
      <c r="E865" s="1">
        <v>0.4375</v>
      </c>
      <c r="F8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5" t="str">
        <f>_xlfn.XLOOKUP(AllDataCorrected[[#This Row],[Location Name]], Locations[Location Name],Locations[Group As])</f>
        <v>Abbey Mill</v>
      </c>
      <c r="H865" t="e" vm="1">
        <f>_xlfn.XLOOKUP(AllDataCorrected[[#This Row],[Site Name]],LocationsKey[Site Name],LocationsKey[District])</f>
        <v>#VALUE!</v>
      </c>
      <c r="I865" t="e" vm="1">
        <f>_xlfn.XLOOKUP(AllDataCorrected[[#This Row],[Site Name]],LocationsKey[Site Name],LocationsKey[Town])</f>
        <v>#VALUE!</v>
      </c>
      <c r="J865" t="str">
        <f>_xlfn.XLOOKUP(AllDataCorrected[[#This Row],[Site Name]],LocationsKey[Site Name], LocationsKey[Waterway])</f>
        <v>Avon</v>
      </c>
      <c r="K865" t="s">
        <v>25</v>
      </c>
      <c r="L865">
        <f>_xlfn.XLOOKUP(AllDataCorrected[[#This Row],[Site Name]],Tables!$B$12:$B$78, Tables!C$12:C$78)</f>
        <v>51.991389555555564</v>
      </c>
      <c r="M865">
        <f>_xlfn.XLOOKUP(AllDataCorrected[[#This Row],[Site Name]],Tables!$B$12:$B$78, Tables!D$12:D$78)</f>
        <v>-2.1620794000000005</v>
      </c>
      <c r="N865" t="s">
        <v>23</v>
      </c>
      <c r="O865">
        <v>733</v>
      </c>
      <c r="P865">
        <v>16</v>
      </c>
      <c r="Q865">
        <v>5</v>
      </c>
      <c r="R865" t="str">
        <f>IF(AllDataCorrected[[#This Row],[Nitrate (PPM)]]&gt;2, "4. Very high (&gt;2ppm)", IF(AllDataCorrected[[#This Row],[Nitrate (PPM)]]&gt;1, "3. High (1-2ppm)", IF(AllDataCorrected[[#This Row],[Nitrate (PPM)]]&gt;0.5, "2. Some evidence (0.5-1ppm)", IF(AllDataCorrected[[#This Row],[Nitrate (PPM)]]&gt;=0, "1. No evidence (&lt;0.5ppm)"))))</f>
        <v>4. Very high (&gt;2ppm)</v>
      </c>
      <c r="S865">
        <v>0.64</v>
      </c>
      <c r="T8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5">
        <v>0</v>
      </c>
    </row>
    <row r="866" spans="1:22" x14ac:dyDescent="0.25">
      <c r="A866" t="s">
        <v>1174</v>
      </c>
      <c r="B866" s="2">
        <v>45439</v>
      </c>
      <c r="C866" t="str" cm="1">
        <f t="array" ref="C8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6">
        <f>YEAR(AllDataCorrected[[#This Row],[Date]])</f>
        <v>2024</v>
      </c>
      <c r="E866" s="1">
        <v>0.44166666666666665</v>
      </c>
      <c r="F8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6" t="str">
        <f>_xlfn.XLOOKUP(AllDataCorrected[[#This Row],[Location Name]], Locations[Location Name],Locations[Group As])</f>
        <v>Black Bear</v>
      </c>
      <c r="H866" t="e" vm="1">
        <f>_xlfn.XLOOKUP(AllDataCorrected[[#This Row],[Site Name]],LocationsKey[Site Name],LocationsKey[District])</f>
        <v>#VALUE!</v>
      </c>
      <c r="I866" t="e" vm="1">
        <f>_xlfn.XLOOKUP(AllDataCorrected[[#This Row],[Site Name]],LocationsKey[Site Name],LocationsKey[Town])</f>
        <v>#VALUE!</v>
      </c>
      <c r="J866" t="str">
        <f>_xlfn.XLOOKUP(AllDataCorrected[[#This Row],[Site Name]],LocationsKey[Site Name], LocationsKey[Waterway])</f>
        <v>Avon</v>
      </c>
      <c r="K866" t="s">
        <v>1045</v>
      </c>
      <c r="L866">
        <f>_xlfn.XLOOKUP(AllDataCorrected[[#This Row],[Site Name]],Tables!$B$12:$B$78, Tables!C$12:C$78)</f>
        <v>51.997435214285723</v>
      </c>
      <c r="M866">
        <f>_xlfn.XLOOKUP(AllDataCorrected[[#This Row],[Site Name]],Tables!$B$12:$B$78, Tables!D$12:D$78)</f>
        <v>-2.1562056785714288</v>
      </c>
      <c r="N866" t="s">
        <v>23</v>
      </c>
      <c r="O866">
        <v>694</v>
      </c>
      <c r="P866">
        <v>15.8</v>
      </c>
      <c r="Q866">
        <v>10</v>
      </c>
      <c r="R866" t="str">
        <f>IF(AllDataCorrected[[#This Row],[Nitrate (PPM)]]&gt;2, "4. Very high (&gt;2ppm)", IF(AllDataCorrected[[#This Row],[Nitrate (PPM)]]&gt;1, "3. High (1-2ppm)", IF(AllDataCorrected[[#This Row],[Nitrate (PPM)]]&gt;0.5, "2. Some evidence (0.5-1ppm)", IF(AllDataCorrected[[#This Row],[Nitrate (PPM)]]&gt;=0, "1. No evidence (&lt;0.5ppm)"))))</f>
        <v>4. Very high (&gt;2ppm)</v>
      </c>
      <c r="S866">
        <v>0.75</v>
      </c>
      <c r="T8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6">
        <v>0</v>
      </c>
    </row>
    <row r="867" spans="1:22" x14ac:dyDescent="0.25">
      <c r="A867" t="s">
        <v>1175</v>
      </c>
      <c r="B867" s="2">
        <v>45439</v>
      </c>
      <c r="C867" t="str" cm="1">
        <f t="array" ref="C8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7">
        <f>YEAR(AllDataCorrected[[#This Row],[Date]])</f>
        <v>2024</v>
      </c>
      <c r="E867" s="1">
        <v>0.44583333333333336</v>
      </c>
      <c r="F8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7" t="str">
        <f>_xlfn.XLOOKUP(AllDataCorrected[[#This Row],[Location Name]], Locations[Location Name],Locations[Group As])</f>
        <v>Stour Stretton-on-Fosse Village</v>
      </c>
      <c r="H867" t="e" vm="2">
        <f>_xlfn.XLOOKUP(AllDataCorrected[[#This Row],[Site Name]],LocationsKey[Site Name],LocationsKey[District])</f>
        <v>#VALUE!</v>
      </c>
      <c r="I867" t="e" vm="14">
        <f>_xlfn.XLOOKUP(AllDataCorrected[[#This Row],[Site Name]],LocationsKey[Site Name],LocationsKey[Town])</f>
        <v>#VALUE!</v>
      </c>
      <c r="J867" t="str">
        <f>_xlfn.XLOOKUP(AllDataCorrected[[#This Row],[Site Name]],LocationsKey[Site Name], LocationsKey[Waterway])</f>
        <v>Stour</v>
      </c>
      <c r="K867" t="s">
        <v>544</v>
      </c>
      <c r="L867">
        <f>_xlfn.XLOOKUP(AllDataCorrected[[#This Row],[Site Name]],Tables!$B$12:$B$78, Tables!C$12:C$78)</f>
        <v>52.046517558823524</v>
      </c>
      <c r="M867">
        <f>_xlfn.XLOOKUP(AllDataCorrected[[#This Row],[Site Name]],Tables!$B$12:$B$78, Tables!D$12:D$78)</f>
        <v>-1.6734143529411767</v>
      </c>
      <c r="N867" t="s">
        <v>66</v>
      </c>
      <c r="O867">
        <v>758</v>
      </c>
      <c r="P867">
        <v>13.2</v>
      </c>
      <c r="Q867">
        <v>1</v>
      </c>
      <c r="R86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867">
        <v>2.46</v>
      </c>
      <c r="T8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7">
        <v>0.15</v>
      </c>
    </row>
    <row r="868" spans="1:22" x14ac:dyDescent="0.25">
      <c r="A868" t="s">
        <v>1176</v>
      </c>
      <c r="B868" s="2">
        <v>45439</v>
      </c>
      <c r="C868" t="str" cm="1">
        <f t="array" ref="C8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8">
        <f>YEAR(AllDataCorrected[[#This Row],[Date]])</f>
        <v>2024</v>
      </c>
      <c r="E868" s="1">
        <v>0.45347222222222222</v>
      </c>
      <c r="F8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8" t="str">
        <f>_xlfn.XLOOKUP(AllDataCorrected[[#This Row],[Location Name]], Locations[Location Name],Locations[Group As])</f>
        <v>Stour Stretton-on-Fosse Sewage Works</v>
      </c>
      <c r="H868" t="e" vm="2">
        <f>_xlfn.XLOOKUP(AllDataCorrected[[#This Row],[Site Name]],LocationsKey[Site Name],LocationsKey[District])</f>
        <v>#VALUE!</v>
      </c>
      <c r="I868" t="e" vm="14">
        <f>_xlfn.XLOOKUP(AllDataCorrected[[#This Row],[Site Name]],LocationsKey[Site Name],LocationsKey[Town])</f>
        <v>#VALUE!</v>
      </c>
      <c r="J868" t="str">
        <f>_xlfn.XLOOKUP(AllDataCorrected[[#This Row],[Site Name]],LocationsKey[Site Name], LocationsKey[Waterway])</f>
        <v>Stour</v>
      </c>
      <c r="K868" t="s">
        <v>335</v>
      </c>
      <c r="L868">
        <f>_xlfn.XLOOKUP(AllDataCorrected[[#This Row],[Site Name]],Tables!$B$12:$B$78, Tables!C$12:C$78)</f>
        <v>52.045653647058806</v>
      </c>
      <c r="M868">
        <f>_xlfn.XLOOKUP(AllDataCorrected[[#This Row],[Site Name]],Tables!$B$12:$B$78, Tables!D$12:D$78)</f>
        <v>-1.6719221470588235</v>
      </c>
      <c r="N868" t="s">
        <v>29</v>
      </c>
      <c r="O868">
        <v>789</v>
      </c>
      <c r="P868">
        <v>13.8</v>
      </c>
      <c r="Q868">
        <v>1</v>
      </c>
      <c r="R868"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868">
        <v>2.5</v>
      </c>
      <c r="T8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8">
        <v>0.25</v>
      </c>
      <c r="V868" t="s">
        <v>1177</v>
      </c>
    </row>
    <row r="869" spans="1:22" x14ac:dyDescent="0.25">
      <c r="A869" t="s">
        <v>1180</v>
      </c>
      <c r="B869" s="2">
        <v>45440</v>
      </c>
      <c r="C869" t="str" cm="1">
        <f t="array" ref="C8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9">
        <f>YEAR(AllDataCorrected[[#This Row],[Date]])</f>
        <v>2024</v>
      </c>
      <c r="E869" s="1">
        <v>0.41666666666666669</v>
      </c>
      <c r="F8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9" t="str">
        <f>_xlfn.XLOOKUP(AllDataCorrected[[#This Row],[Location Name]], Locations[Location Name],Locations[Group As])</f>
        <v>The Ford, Langley</v>
      </c>
      <c r="H869" t="e" vm="2">
        <f>_xlfn.XLOOKUP(AllDataCorrected[[#This Row],[Site Name]],LocationsKey[Site Name],LocationsKey[District])</f>
        <v>#VALUE!</v>
      </c>
      <c r="I869" t="str">
        <f>_xlfn.XLOOKUP(AllDataCorrected[[#This Row],[Site Name]],LocationsKey[Site Name],LocationsKey[Town])</f>
        <v>Langley</v>
      </c>
      <c r="J869" t="str">
        <f>_xlfn.XLOOKUP(AllDataCorrected[[#This Row],[Site Name]],LocationsKey[Site Name], LocationsKey[Waterway])</f>
        <v>Langley Ford</v>
      </c>
      <c r="K869" t="s">
        <v>526</v>
      </c>
      <c r="L869">
        <f>_xlfn.XLOOKUP(AllDataCorrected[[#This Row],[Site Name]],Tables!$B$12:$B$78, Tables!C$12:C$78)</f>
        <v>52.261724821428579</v>
      </c>
      <c r="M869">
        <f>_xlfn.XLOOKUP(AllDataCorrected[[#This Row],[Site Name]],Tables!$B$12:$B$78, Tables!D$12:D$78)</f>
        <v>-1.719408857142857</v>
      </c>
      <c r="N869" t="s">
        <v>29</v>
      </c>
      <c r="O869">
        <v>899</v>
      </c>
      <c r="P869">
        <v>16</v>
      </c>
      <c r="Q869">
        <v>5</v>
      </c>
      <c r="R869" t="str">
        <f>IF(AllDataCorrected[[#This Row],[Nitrate (PPM)]]&gt;2, "4. Very high (&gt;2ppm)", IF(AllDataCorrected[[#This Row],[Nitrate (PPM)]]&gt;1, "3. High (1-2ppm)", IF(AllDataCorrected[[#This Row],[Nitrate (PPM)]]&gt;0.5, "2. Some evidence (0.5-1ppm)", IF(AllDataCorrected[[#This Row],[Nitrate (PPM)]]&gt;=0, "1. No evidence (&lt;0.5ppm)"))))</f>
        <v>4. Very high (&gt;2ppm)</v>
      </c>
      <c r="S869">
        <v>0.44</v>
      </c>
      <c r="T8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9">
        <v>0.25</v>
      </c>
    </row>
    <row r="870" spans="1:22" x14ac:dyDescent="0.25">
      <c r="A870" t="s">
        <v>1181</v>
      </c>
      <c r="B870" s="2">
        <v>45441</v>
      </c>
      <c r="C870" t="str" cm="1">
        <f t="array" ref="C8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0">
        <f>YEAR(AllDataCorrected[[#This Row],[Date]])</f>
        <v>2024</v>
      </c>
      <c r="E870" s="1">
        <v>0.59791666666666665</v>
      </c>
      <c r="F8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0" t="str">
        <f>_xlfn.XLOOKUP(AllDataCorrected[[#This Row],[Location Name]], Locations[Location Name],Locations[Group As])</f>
        <v>Alveston Weir</v>
      </c>
      <c r="H870" t="e" vm="2">
        <f>_xlfn.XLOOKUP(AllDataCorrected[[#This Row],[Site Name]],LocationsKey[Site Name],LocationsKey[District])</f>
        <v>#VALUE!</v>
      </c>
      <c r="I870" t="e" vm="13">
        <f>_xlfn.XLOOKUP(AllDataCorrected[[#This Row],[Site Name]],LocationsKey[Site Name],LocationsKey[Town])</f>
        <v>#VALUE!</v>
      </c>
      <c r="J870" t="str">
        <f>_xlfn.XLOOKUP(AllDataCorrected[[#This Row],[Site Name]],LocationsKey[Site Name], LocationsKey[Waterway])</f>
        <v>Avon</v>
      </c>
      <c r="K870" t="s">
        <v>286</v>
      </c>
      <c r="L870">
        <f>_xlfn.XLOOKUP(AllDataCorrected[[#This Row],[Site Name]],Tables!$B$12:$B$78, Tables!C$12:C$78)</f>
        <v>52.212366690476216</v>
      </c>
      <c r="M870">
        <f>_xlfn.XLOOKUP(AllDataCorrected[[#This Row],[Site Name]],Tables!$B$12:$B$78, Tables!D$12:D$78)</f>
        <v>-1.6602567619047619</v>
      </c>
      <c r="N870" t="s">
        <v>29</v>
      </c>
      <c r="O870">
        <v>611</v>
      </c>
      <c r="P870">
        <v>17.100000000000001</v>
      </c>
      <c r="Q870">
        <v>5</v>
      </c>
      <c r="R870" t="str">
        <f>IF(AllDataCorrected[[#This Row],[Nitrate (PPM)]]&gt;2, "4. Very high (&gt;2ppm)", IF(AllDataCorrected[[#This Row],[Nitrate (PPM)]]&gt;1, "3. High (1-2ppm)", IF(AllDataCorrected[[#This Row],[Nitrate (PPM)]]&gt;0.5, "2. Some evidence (0.5-1ppm)", IF(AllDataCorrected[[#This Row],[Nitrate (PPM)]]&gt;=0, "1. No evidence (&lt;0.5ppm)"))))</f>
        <v>4. Very high (&gt;2ppm)</v>
      </c>
      <c r="S870">
        <v>0.48</v>
      </c>
      <c r="T8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0">
        <v>0.25</v>
      </c>
      <c r="V870" t="s">
        <v>1182</v>
      </c>
    </row>
    <row r="871" spans="1:22" x14ac:dyDescent="0.25">
      <c r="A871" t="s">
        <v>1183</v>
      </c>
      <c r="B871" s="2">
        <v>45441</v>
      </c>
      <c r="C871" t="str" cm="1">
        <f t="array" ref="C8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1">
        <f>YEAR(AllDataCorrected[[#This Row],[Date]])</f>
        <v>2024</v>
      </c>
      <c r="E871" s="1">
        <v>0.60277777777777775</v>
      </c>
      <c r="F8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1" t="str">
        <f>_xlfn.XLOOKUP(AllDataCorrected[[#This Row],[Location Name]], Locations[Location Name],Locations[Group As])</f>
        <v>Swiffen Bank</v>
      </c>
      <c r="H871" t="e" vm="2">
        <f>_xlfn.XLOOKUP(AllDataCorrected[[#This Row],[Site Name]],LocationsKey[Site Name],LocationsKey[District])</f>
        <v>#VALUE!</v>
      </c>
      <c r="I871" t="e" vm="13">
        <f>_xlfn.XLOOKUP(AllDataCorrected[[#This Row],[Site Name]],LocationsKey[Site Name],LocationsKey[Town])</f>
        <v>#VALUE!</v>
      </c>
      <c r="J871" t="str">
        <f>_xlfn.XLOOKUP(AllDataCorrected[[#This Row],[Site Name]],LocationsKey[Site Name], LocationsKey[Waterway])</f>
        <v>Avon</v>
      </c>
      <c r="K871" t="s">
        <v>284</v>
      </c>
      <c r="L871">
        <f>_xlfn.XLOOKUP(AllDataCorrected[[#This Row],[Site Name]],Tables!$B$12:$B$78, Tables!C$12:C$78)</f>
        <v>52.206446825000015</v>
      </c>
      <c r="M871">
        <f>_xlfn.XLOOKUP(AllDataCorrected[[#This Row],[Site Name]],Tables!$B$12:$B$78, Tables!D$12:D$78)</f>
        <v>-1.6541684000000003</v>
      </c>
      <c r="N871" t="s">
        <v>29</v>
      </c>
      <c r="O871">
        <v>631</v>
      </c>
      <c r="P871">
        <v>17.2</v>
      </c>
      <c r="Q871">
        <v>5</v>
      </c>
      <c r="R871" t="str">
        <f>IF(AllDataCorrected[[#This Row],[Nitrate (PPM)]]&gt;2, "4. Very high (&gt;2ppm)", IF(AllDataCorrected[[#This Row],[Nitrate (PPM)]]&gt;1, "3. High (1-2ppm)", IF(AllDataCorrected[[#This Row],[Nitrate (PPM)]]&gt;0.5, "2. Some evidence (0.5-1ppm)", IF(AllDataCorrected[[#This Row],[Nitrate (PPM)]]&gt;=0, "1. No evidence (&lt;0.5ppm)"))))</f>
        <v>4. Very high (&gt;2ppm)</v>
      </c>
      <c r="S871">
        <v>0.48</v>
      </c>
      <c r="T8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1">
        <v>0.25</v>
      </c>
    </row>
    <row r="872" spans="1:22" x14ac:dyDescent="0.25">
      <c r="A872" t="s">
        <v>1184</v>
      </c>
      <c r="B872" s="2">
        <v>45442</v>
      </c>
      <c r="C872" t="str" cm="1">
        <f t="array" ref="C8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2">
        <f>YEAR(AllDataCorrected[[#This Row],[Date]])</f>
        <v>2024</v>
      </c>
      <c r="E872" s="1">
        <v>0.37847222222222221</v>
      </c>
      <c r="F8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2" t="str">
        <f>_xlfn.XLOOKUP(AllDataCorrected[[#This Row],[Location Name]], Locations[Location Name],Locations[Group As])</f>
        <v>Swilgate</v>
      </c>
      <c r="H872" t="e" vm="1">
        <f>_xlfn.XLOOKUP(AllDataCorrected[[#This Row],[Site Name]],LocationsKey[Site Name],LocationsKey[District])</f>
        <v>#VALUE!</v>
      </c>
      <c r="I872" t="e" vm="1">
        <f>_xlfn.XLOOKUP(AllDataCorrected[[#This Row],[Site Name]],LocationsKey[Site Name],LocationsKey[Town])</f>
        <v>#VALUE!</v>
      </c>
      <c r="J872" t="str">
        <f>_xlfn.XLOOKUP(AllDataCorrected[[#This Row],[Site Name]],LocationsKey[Site Name], LocationsKey[Waterway])</f>
        <v>Swilgate</v>
      </c>
      <c r="K872" t="s">
        <v>84</v>
      </c>
      <c r="L872">
        <f>_xlfn.XLOOKUP(AllDataCorrected[[#This Row],[Site Name]],Tables!$B$12:$B$78, Tables!C$12:C$78)</f>
        <v>51.9885442</v>
      </c>
      <c r="M872">
        <f>_xlfn.XLOOKUP(AllDataCorrected[[#This Row],[Site Name]],Tables!$B$12:$B$78, Tables!D$12:D$78)</f>
        <v>-2.1639010000000001</v>
      </c>
      <c r="N872" t="s">
        <v>23</v>
      </c>
      <c r="O872">
        <v>934</v>
      </c>
      <c r="P872">
        <v>15</v>
      </c>
      <c r="Q872">
        <v>4</v>
      </c>
      <c r="R872" t="str">
        <f>IF(AllDataCorrected[[#This Row],[Nitrate (PPM)]]&gt;2, "4. Very high (&gt;2ppm)", IF(AllDataCorrected[[#This Row],[Nitrate (PPM)]]&gt;1, "3. High (1-2ppm)", IF(AllDataCorrected[[#This Row],[Nitrate (PPM)]]&gt;0.5, "2. Some evidence (0.5-1ppm)", IF(AllDataCorrected[[#This Row],[Nitrate (PPM)]]&gt;=0, "1. No evidence (&lt;0.5ppm)"))))</f>
        <v>4. Very high (&gt;2ppm)</v>
      </c>
      <c r="S872">
        <v>0.48</v>
      </c>
      <c r="T8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2">
        <v>0</v>
      </c>
    </row>
    <row r="873" spans="1:22" x14ac:dyDescent="0.25">
      <c r="A873" t="s">
        <v>1186</v>
      </c>
      <c r="B873" s="2">
        <v>45442</v>
      </c>
      <c r="C873" t="str" cm="1">
        <f t="array" ref="C8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3">
        <f>YEAR(AllDataCorrected[[#This Row],[Date]])</f>
        <v>2024</v>
      </c>
      <c r="E873" s="1">
        <v>0.52083333333333337</v>
      </c>
      <c r="F8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3" t="str">
        <f>_xlfn.XLOOKUP(AllDataCorrected[[#This Row],[Location Name]], Locations[Location Name],Locations[Group As])</f>
        <v>Stour Willington</v>
      </c>
      <c r="H873" t="e" vm="2">
        <f>_xlfn.XLOOKUP(AllDataCorrected[[#This Row],[Site Name]],LocationsKey[Site Name],LocationsKey[District])</f>
        <v>#VALUE!</v>
      </c>
      <c r="I873" t="str">
        <f>_xlfn.XLOOKUP(AllDataCorrected[[#This Row],[Site Name]],LocationsKey[Site Name],LocationsKey[Town])</f>
        <v>Willington</v>
      </c>
      <c r="J873" t="str">
        <f>_xlfn.XLOOKUP(AllDataCorrected[[#This Row],[Site Name]],LocationsKey[Site Name], LocationsKey[Waterway])</f>
        <v>Stour</v>
      </c>
      <c r="K873" t="s">
        <v>517</v>
      </c>
      <c r="L873">
        <f>_xlfn.XLOOKUP(AllDataCorrected[[#This Row],[Site Name]],Tables!$B$12:$B$78, Tables!C$12:C$78)</f>
        <v>52.053154375000005</v>
      </c>
      <c r="M873">
        <f>_xlfn.XLOOKUP(AllDataCorrected[[#This Row],[Site Name]],Tables!$B$12:$B$78, Tables!D$12:D$78)</f>
        <v>-1.6191991562500001</v>
      </c>
      <c r="N873" t="s">
        <v>23</v>
      </c>
      <c r="O873">
        <v>624</v>
      </c>
      <c r="P873">
        <v>14.9</v>
      </c>
      <c r="Q873">
        <v>5</v>
      </c>
      <c r="R873" t="str">
        <f>IF(AllDataCorrected[[#This Row],[Nitrate (PPM)]]&gt;2, "4. Very high (&gt;2ppm)", IF(AllDataCorrected[[#This Row],[Nitrate (PPM)]]&gt;1, "3. High (1-2ppm)", IF(AllDataCorrected[[#This Row],[Nitrate (PPM)]]&gt;0.5, "2. Some evidence (0.5-1ppm)", IF(AllDataCorrected[[#This Row],[Nitrate (PPM)]]&gt;=0, "1. No evidence (&lt;0.5ppm)"))))</f>
        <v>4. Very high (&gt;2ppm)</v>
      </c>
      <c r="S873">
        <v>0.17</v>
      </c>
      <c r="T8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3">
        <v>0.5</v>
      </c>
    </row>
    <row r="874" spans="1:22" x14ac:dyDescent="0.25">
      <c r="A874" t="s">
        <v>1185</v>
      </c>
      <c r="B874" s="2">
        <v>45442</v>
      </c>
      <c r="C874" t="str" cm="1">
        <f t="array" ref="C8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4">
        <f>YEAR(AllDataCorrected[[#This Row],[Date]])</f>
        <v>2024</v>
      </c>
      <c r="E874" s="1">
        <v>0.78333333333333333</v>
      </c>
      <c r="F87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74" t="str">
        <f>_xlfn.XLOOKUP(AllDataCorrected[[#This Row],[Location Name]], Locations[Location Name],Locations[Group As])</f>
        <v>Preston-on-Stour River Bridge</v>
      </c>
      <c r="H874" t="e" vm="2">
        <f>_xlfn.XLOOKUP(AllDataCorrected[[#This Row],[Site Name]],LocationsKey[Site Name],LocationsKey[District])</f>
        <v>#VALUE!</v>
      </c>
      <c r="I874" t="e" vm="9">
        <f>_xlfn.XLOOKUP(AllDataCorrected[[#This Row],[Site Name]],LocationsKey[Site Name],LocationsKey[Town])</f>
        <v>#VALUE!</v>
      </c>
      <c r="J874" t="str">
        <f>_xlfn.XLOOKUP(AllDataCorrected[[#This Row],[Site Name]],LocationsKey[Site Name], LocationsKey[Waterway])</f>
        <v>Stour</v>
      </c>
      <c r="K874" t="s">
        <v>163</v>
      </c>
      <c r="L874">
        <f>_xlfn.XLOOKUP(AllDataCorrected[[#This Row],[Site Name]],Tables!$B$12:$B$78, Tables!C$12:C$78)</f>
        <v>52.146529500000007</v>
      </c>
      <c r="M874">
        <f>_xlfn.XLOOKUP(AllDataCorrected[[#This Row],[Site Name]],Tables!$B$12:$B$78, Tables!D$12:D$78)</f>
        <v>-1.6996899999999999</v>
      </c>
      <c r="N874" t="s">
        <v>29</v>
      </c>
      <c r="O874">
        <v>677</v>
      </c>
      <c r="P874">
        <v>15.1</v>
      </c>
      <c r="Q874">
        <v>7</v>
      </c>
      <c r="R874" t="str">
        <f>IF(AllDataCorrected[[#This Row],[Nitrate (PPM)]]&gt;2, "4. Very high (&gt;2ppm)", IF(AllDataCorrected[[#This Row],[Nitrate (PPM)]]&gt;1, "3. High (1-2ppm)", IF(AllDataCorrected[[#This Row],[Nitrate (PPM)]]&gt;0.5, "2. Some evidence (0.5-1ppm)", IF(AllDataCorrected[[#This Row],[Nitrate (PPM)]]&gt;=0, "1. No evidence (&lt;0.5ppm)"))))</f>
        <v>4. Very high (&gt;2ppm)</v>
      </c>
      <c r="S874">
        <v>0.22</v>
      </c>
      <c r="T8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4">
        <v>1</v>
      </c>
    </row>
    <row r="875" spans="1:22" x14ac:dyDescent="0.25">
      <c r="A875" t="s">
        <v>1187</v>
      </c>
      <c r="B875" s="2">
        <v>45443</v>
      </c>
      <c r="C875" t="str" cm="1">
        <f t="array" ref="C8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5">
        <f>YEAR(AllDataCorrected[[#This Row],[Date]])</f>
        <v>2024</v>
      </c>
      <c r="E875" s="1">
        <v>0.31944444444444442</v>
      </c>
      <c r="F8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5" t="str">
        <f>_xlfn.XLOOKUP(AllDataCorrected[[#This Row],[Location Name]], Locations[Location Name],Locations[Group As])</f>
        <v>Lower Lode</v>
      </c>
      <c r="H875" t="e" vm="1">
        <f>_xlfn.XLOOKUP(AllDataCorrected[[#This Row],[Site Name]],LocationsKey[Site Name],LocationsKey[District])</f>
        <v>#VALUE!</v>
      </c>
      <c r="I875" t="e" vm="1">
        <f>_xlfn.XLOOKUP(AllDataCorrected[[#This Row],[Site Name]],LocationsKey[Site Name],LocationsKey[Town])</f>
        <v>#VALUE!</v>
      </c>
      <c r="J875" t="str">
        <f>_xlfn.XLOOKUP(AllDataCorrected[[#This Row],[Site Name]],LocationsKey[Site Name], LocationsKey[Waterway])</f>
        <v>Avon</v>
      </c>
      <c r="K875" t="s">
        <v>592</v>
      </c>
      <c r="L875">
        <f>_xlfn.XLOOKUP(AllDataCorrected[[#This Row],[Site Name]],Tables!$B$12:$B$78, Tables!C$12:C$78)</f>
        <v>51.984954782608689</v>
      </c>
      <c r="M875">
        <f>_xlfn.XLOOKUP(AllDataCorrected[[#This Row],[Site Name]],Tables!$B$12:$B$78, Tables!D$12:D$78)</f>
        <v>-2.1744283478260868</v>
      </c>
      <c r="N875" t="s">
        <v>29</v>
      </c>
      <c r="O875">
        <v>1020</v>
      </c>
      <c r="P875">
        <v>16.8</v>
      </c>
      <c r="Q875">
        <v>10</v>
      </c>
      <c r="R875" t="str">
        <f>IF(AllDataCorrected[[#This Row],[Nitrate (PPM)]]&gt;2, "4. Very high (&gt;2ppm)", IF(AllDataCorrected[[#This Row],[Nitrate (PPM)]]&gt;1, "3. High (1-2ppm)", IF(AllDataCorrected[[#This Row],[Nitrate (PPM)]]&gt;0.5, "2. Some evidence (0.5-1ppm)", IF(AllDataCorrected[[#This Row],[Nitrate (PPM)]]&gt;=0, "1. No evidence (&lt;0.5ppm)"))))</f>
        <v>4. Very high (&gt;2ppm)</v>
      </c>
      <c r="S875">
        <v>0.5</v>
      </c>
      <c r="T8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5">
        <v>1</v>
      </c>
    </row>
    <row r="876" spans="1:22" x14ac:dyDescent="0.25">
      <c r="A876" t="s">
        <v>1188</v>
      </c>
      <c r="B876" s="2">
        <v>45443</v>
      </c>
      <c r="C876" t="str" cm="1">
        <f t="array" ref="C8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6">
        <f>YEAR(AllDataCorrected[[#This Row],[Date]])</f>
        <v>2024</v>
      </c>
      <c r="E876" s="1">
        <v>0.42638888888888887</v>
      </c>
      <c r="F8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6" t="str">
        <f>_xlfn.XLOOKUP(AllDataCorrected[[#This Row],[Location Name]], Locations[Location Name],Locations[Group As])</f>
        <v>Carrant Mitton Path</v>
      </c>
      <c r="H876" t="e" vm="1">
        <f>_xlfn.XLOOKUP(AllDataCorrected[[#This Row],[Site Name]],LocationsKey[Site Name],LocationsKey[District])</f>
        <v>#VALUE!</v>
      </c>
      <c r="I876" t="e" vm="1">
        <f>_xlfn.XLOOKUP(AllDataCorrected[[#This Row],[Site Name]],LocationsKey[Site Name],LocationsKey[Town])</f>
        <v>#VALUE!</v>
      </c>
      <c r="J876" t="str">
        <f>_xlfn.XLOOKUP(AllDataCorrected[[#This Row],[Site Name]],LocationsKey[Site Name], LocationsKey[Waterway])</f>
        <v>Carrant</v>
      </c>
      <c r="K876" t="s">
        <v>958</v>
      </c>
      <c r="L876">
        <f>_xlfn.XLOOKUP(AllDataCorrected[[#This Row],[Site Name]],Tables!$B$12:$B$78, Tables!C$12:C$78)</f>
        <v>51.999946066666674</v>
      </c>
      <c r="M876">
        <f>_xlfn.XLOOKUP(AllDataCorrected[[#This Row],[Site Name]],Tables!$B$12:$B$78, Tables!D$12:D$78)</f>
        <v>-2.1414862000000006</v>
      </c>
      <c r="N876" t="s">
        <v>23</v>
      </c>
      <c r="O876">
        <v>728</v>
      </c>
      <c r="P876">
        <v>14.6</v>
      </c>
      <c r="Q876">
        <v>5</v>
      </c>
      <c r="R876" t="str">
        <f>IF(AllDataCorrected[[#This Row],[Nitrate (PPM)]]&gt;2, "4. Very high (&gt;2ppm)", IF(AllDataCorrected[[#This Row],[Nitrate (PPM)]]&gt;1, "3. High (1-2ppm)", IF(AllDataCorrected[[#This Row],[Nitrate (PPM)]]&gt;0.5, "2. Some evidence (0.5-1ppm)", IF(AllDataCorrected[[#This Row],[Nitrate (PPM)]]&gt;=0, "1. No evidence (&lt;0.5ppm)"))))</f>
        <v>4. Very high (&gt;2ppm)</v>
      </c>
      <c r="S876">
        <v>1.27</v>
      </c>
      <c r="T8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6">
        <v>0</v>
      </c>
    </row>
    <row r="877" spans="1:22" x14ac:dyDescent="0.25">
      <c r="A877" t="s">
        <v>1189</v>
      </c>
      <c r="B877" s="2">
        <v>45443</v>
      </c>
      <c r="C877" t="str" cm="1">
        <f t="array" ref="C8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7">
        <f>YEAR(AllDataCorrected[[#This Row],[Date]])</f>
        <v>2024</v>
      </c>
      <c r="E877" s="1">
        <v>0.43958333333333333</v>
      </c>
      <c r="F8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7" t="str">
        <f>_xlfn.XLOOKUP(AllDataCorrected[[#This Row],[Location Name]], Locations[Location Name],Locations[Group As])</f>
        <v>Carrant M5 Bridge</v>
      </c>
      <c r="H877" t="e" vm="1">
        <f>_xlfn.XLOOKUP(AllDataCorrected[[#This Row],[Site Name]],LocationsKey[Site Name],LocationsKey[District])</f>
        <v>#VALUE!</v>
      </c>
      <c r="I877" t="e" vm="1">
        <f>_xlfn.XLOOKUP(AllDataCorrected[[#This Row],[Site Name]],LocationsKey[Site Name],LocationsKey[Town])</f>
        <v>#VALUE!</v>
      </c>
      <c r="J877" t="str">
        <f>_xlfn.XLOOKUP(AllDataCorrected[[#This Row],[Site Name]],LocationsKey[Site Name], LocationsKey[Waterway])</f>
        <v>Carrant</v>
      </c>
      <c r="K877" t="s">
        <v>960</v>
      </c>
      <c r="L877">
        <f>_xlfn.XLOOKUP(AllDataCorrected[[#This Row],[Site Name]],Tables!$B$12:$B$78, Tables!C$12:C$78)</f>
        <v>52.011600000000001</v>
      </c>
      <c r="M877">
        <f>_xlfn.XLOOKUP(AllDataCorrected[[#This Row],[Site Name]],Tables!$B$12:$B$78, Tables!D$12:D$78)</f>
        <v>-2.1206</v>
      </c>
      <c r="N877" t="s">
        <v>23</v>
      </c>
      <c r="O877">
        <v>783</v>
      </c>
      <c r="P877">
        <v>14.8</v>
      </c>
      <c r="Q877">
        <v>5</v>
      </c>
      <c r="R877" t="str">
        <f>IF(AllDataCorrected[[#This Row],[Nitrate (PPM)]]&gt;2, "4. Very high (&gt;2ppm)", IF(AllDataCorrected[[#This Row],[Nitrate (PPM)]]&gt;1, "3. High (1-2ppm)", IF(AllDataCorrected[[#This Row],[Nitrate (PPM)]]&gt;0.5, "2. Some evidence (0.5-1ppm)", IF(AllDataCorrected[[#This Row],[Nitrate (PPM)]]&gt;=0, "1. No evidence (&lt;0.5ppm)"))))</f>
        <v>4. Very high (&gt;2ppm)</v>
      </c>
      <c r="S877">
        <v>0.5</v>
      </c>
      <c r="T8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7">
        <v>0</v>
      </c>
    </row>
    <row r="878" spans="1:22" x14ac:dyDescent="0.25">
      <c r="A878" t="s">
        <v>1190</v>
      </c>
      <c r="B878" s="2">
        <v>45443</v>
      </c>
      <c r="C878" t="str" cm="1">
        <f t="array" ref="C8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8">
        <f>YEAR(AllDataCorrected[[#This Row],[Date]])</f>
        <v>2024</v>
      </c>
      <c r="E878" s="1">
        <v>0.625</v>
      </c>
      <c r="F8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8" t="str">
        <f>_xlfn.XLOOKUP(AllDataCorrected[[#This Row],[Location Name]], Locations[Location Name],Locations[Group As])</f>
        <v>Mill Bridge Peopleton</v>
      </c>
      <c r="H878" t="e" vm="17">
        <f>_xlfn.XLOOKUP(AllDataCorrected[[#This Row],[Site Name]],LocationsKey[Site Name],LocationsKey[District])</f>
        <v>#VALUE!</v>
      </c>
      <c r="I878" t="str">
        <f>_xlfn.XLOOKUP(AllDataCorrected[[#This Row],[Site Name]],LocationsKey[Site Name],LocationsKey[Town])</f>
        <v>Peopleton</v>
      </c>
      <c r="J878" t="str">
        <f>_xlfn.XLOOKUP(AllDataCorrected[[#This Row],[Site Name]],LocationsKey[Site Name], LocationsKey[Waterway])</f>
        <v>Bow Brook</v>
      </c>
      <c r="K878" t="s">
        <v>845</v>
      </c>
      <c r="L878">
        <f>_xlfn.XLOOKUP(AllDataCorrected[[#This Row],[Site Name]],Tables!$B$12:$B$78, Tables!C$12:C$78)</f>
        <v>52.15202992857143</v>
      </c>
      <c r="M878">
        <f>_xlfn.XLOOKUP(AllDataCorrected[[#This Row],[Site Name]],Tables!$B$12:$B$78, Tables!D$12:D$78)</f>
        <v>-2.0954780000000004</v>
      </c>
      <c r="N878" t="s">
        <v>29</v>
      </c>
      <c r="O878">
        <v>989</v>
      </c>
      <c r="P878">
        <v>16</v>
      </c>
      <c r="Q878">
        <v>5</v>
      </c>
      <c r="R878" t="str">
        <f>IF(AllDataCorrected[[#This Row],[Nitrate (PPM)]]&gt;2, "4. Very high (&gt;2ppm)", IF(AllDataCorrected[[#This Row],[Nitrate (PPM)]]&gt;1, "3. High (1-2ppm)", IF(AllDataCorrected[[#This Row],[Nitrate (PPM)]]&gt;0.5, "2. Some evidence (0.5-1ppm)", IF(AllDataCorrected[[#This Row],[Nitrate (PPM)]]&gt;=0, "1. No evidence (&lt;0.5ppm)"))))</f>
        <v>4. Very high (&gt;2ppm)</v>
      </c>
      <c r="S878">
        <v>1.93</v>
      </c>
      <c r="T8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8">
        <v>0.6</v>
      </c>
    </row>
    <row r="879" spans="1:22" x14ac:dyDescent="0.25">
      <c r="A879" t="s">
        <v>1193</v>
      </c>
      <c r="B879" s="2">
        <v>45444</v>
      </c>
      <c r="C879" t="str" cm="1">
        <f t="array" ref="C8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79">
        <f>YEAR(AllDataCorrected[[#This Row],[Date]])</f>
        <v>2024</v>
      </c>
      <c r="E879" s="1">
        <v>0.43055555555555558</v>
      </c>
      <c r="F8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9" t="str">
        <f>_xlfn.XLOOKUP(AllDataCorrected[[#This Row],[Location Name]], Locations[Location Name],Locations[Group As])</f>
        <v>Avon Smiths Meadow Wyre Piddle</v>
      </c>
      <c r="H879" t="e" vm="17">
        <f>_xlfn.XLOOKUP(AllDataCorrected[[#This Row],[Site Name]],LocationsKey[Site Name],LocationsKey[District])</f>
        <v>#VALUE!</v>
      </c>
      <c r="I879" t="e" vm="20">
        <f>_xlfn.XLOOKUP(AllDataCorrected[[#This Row],[Site Name]],LocationsKey[Site Name],LocationsKey[Town])</f>
        <v>#VALUE!</v>
      </c>
      <c r="J879" t="str">
        <f>_xlfn.XLOOKUP(AllDataCorrected[[#This Row],[Site Name]],LocationsKey[Site Name], LocationsKey[Waterway])</f>
        <v>Avon</v>
      </c>
      <c r="K879" t="s">
        <v>741</v>
      </c>
      <c r="L879">
        <f>_xlfn.XLOOKUP(AllDataCorrected[[#This Row],[Site Name]],Tables!$B$12:$B$78, Tables!C$12:C$78)</f>
        <v>52.123045961538452</v>
      </c>
      <c r="M879">
        <f>_xlfn.XLOOKUP(AllDataCorrected[[#This Row],[Site Name]],Tables!$B$12:$B$78, Tables!D$12:D$78)</f>
        <v>-2.0572161923076919</v>
      </c>
      <c r="N879" t="s">
        <v>23</v>
      </c>
      <c r="O879">
        <v>835</v>
      </c>
      <c r="P879">
        <v>15.6</v>
      </c>
      <c r="Q879">
        <v>5</v>
      </c>
      <c r="R879" t="str">
        <f>IF(AllDataCorrected[[#This Row],[Nitrate (PPM)]]&gt;2, "4. Very high (&gt;2ppm)", IF(AllDataCorrected[[#This Row],[Nitrate (PPM)]]&gt;1, "3. High (1-2ppm)", IF(AllDataCorrected[[#This Row],[Nitrate (PPM)]]&gt;0.5, "2. Some evidence (0.5-1ppm)", IF(AllDataCorrected[[#This Row],[Nitrate (PPM)]]&gt;=0, "1. No evidence (&lt;0.5ppm)"))))</f>
        <v>4. Very high (&gt;2ppm)</v>
      </c>
      <c r="S879">
        <v>0.61</v>
      </c>
      <c r="T8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9">
        <v>0.65</v>
      </c>
      <c r="V879" t="s">
        <v>1194</v>
      </c>
    </row>
    <row r="880" spans="1:22" x14ac:dyDescent="0.25">
      <c r="A880" t="s">
        <v>1191</v>
      </c>
      <c r="B880" s="2">
        <v>45444</v>
      </c>
      <c r="C880" t="str" cm="1">
        <f t="array" ref="C8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0">
        <f>YEAR(AllDataCorrected[[#This Row],[Date]])</f>
        <v>2024</v>
      </c>
      <c r="E880" s="1">
        <v>0.45833333333333331</v>
      </c>
      <c r="F8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0" t="str">
        <f>_xlfn.XLOOKUP(AllDataCorrected[[#This Row],[Location Name]], Locations[Location Name],Locations[Group As])</f>
        <v>Piddle Brook Wyre Piddle Bridge</v>
      </c>
      <c r="H880" t="e" vm="17">
        <f>_xlfn.XLOOKUP(AllDataCorrected[[#This Row],[Site Name]],LocationsKey[Site Name],LocationsKey[District])</f>
        <v>#VALUE!</v>
      </c>
      <c r="I880" t="e" vm="20">
        <f>_xlfn.XLOOKUP(AllDataCorrected[[#This Row],[Site Name]],LocationsKey[Site Name],LocationsKey[Town])</f>
        <v>#VALUE!</v>
      </c>
      <c r="J880" t="str">
        <f>_xlfn.XLOOKUP(AllDataCorrected[[#This Row],[Site Name]],LocationsKey[Site Name], LocationsKey[Waterway])</f>
        <v>Piddle Brook</v>
      </c>
      <c r="K880" t="s">
        <v>744</v>
      </c>
      <c r="L880">
        <f>_xlfn.XLOOKUP(AllDataCorrected[[#This Row],[Site Name]],Tables!$B$12:$B$78, Tables!C$12:C$78)</f>
        <v>52.126401720000004</v>
      </c>
      <c r="M880">
        <f>_xlfn.XLOOKUP(AllDataCorrected[[#This Row],[Site Name]],Tables!$B$12:$B$78, Tables!D$12:D$78)</f>
        <v>-2.0565162000000003</v>
      </c>
      <c r="N880" t="s">
        <v>23</v>
      </c>
      <c r="O880">
        <v>1310</v>
      </c>
      <c r="P880">
        <v>13.8</v>
      </c>
      <c r="Q880">
        <v>5</v>
      </c>
      <c r="R880" t="str">
        <f>IF(AllDataCorrected[[#This Row],[Nitrate (PPM)]]&gt;2, "4. Very high (&gt;2ppm)", IF(AllDataCorrected[[#This Row],[Nitrate (PPM)]]&gt;1, "3. High (1-2ppm)", IF(AllDataCorrected[[#This Row],[Nitrate (PPM)]]&gt;0.5, "2. Some evidence (0.5-1ppm)", IF(AllDataCorrected[[#This Row],[Nitrate (PPM)]]&gt;=0, "1. No evidence (&lt;0.5ppm)"))))</f>
        <v>4. Very high (&gt;2ppm)</v>
      </c>
      <c r="S880">
        <v>0.78</v>
      </c>
      <c r="T8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0">
        <v>0.21</v>
      </c>
      <c r="V880" t="s">
        <v>1192</v>
      </c>
    </row>
    <row r="881" spans="1:22" x14ac:dyDescent="0.25">
      <c r="A881" t="s">
        <v>1776</v>
      </c>
      <c r="B881" s="2">
        <v>45444</v>
      </c>
      <c r="C881" t="str" cm="1">
        <f t="array" ref="C8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1">
        <f>YEAR(AllDataCorrected[[#This Row],[Date]])</f>
        <v>2024</v>
      </c>
      <c r="F8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1" t="str">
        <f>_xlfn.XLOOKUP(AllDataCorrected[[#This Row],[Location Name]], Locations[Location Name],Locations[Group As])</f>
        <v>Site 1  :  Middle Street</v>
      </c>
      <c r="H881" t="e" vm="2">
        <f>_xlfn.XLOOKUP(AllDataCorrected[[#This Row],[Site Name]],LocationsKey[Site Name],LocationsKey[District])</f>
        <v>#VALUE!</v>
      </c>
      <c r="I881" t="e" vm="11">
        <f>_xlfn.XLOOKUP(AllDataCorrected[[#This Row],[Site Name]],LocationsKey[Site Name],LocationsKey[Town])</f>
        <v>#VALUE!</v>
      </c>
      <c r="J881" t="str">
        <f>_xlfn.XLOOKUP(AllDataCorrected[[#This Row],[Site Name]],LocationsKey[Site Name], LocationsKey[Waterway])</f>
        <v>Fosseway Brook</v>
      </c>
      <c r="K881" t="s">
        <v>1859</v>
      </c>
      <c r="L881">
        <f>_xlfn.XLOOKUP(AllDataCorrected[[#This Row],[Site Name]],Tables!$B$12:$B$78, Tables!C$12:C$78)</f>
        <v>52.090077380952394</v>
      </c>
      <c r="M881">
        <f>_xlfn.XLOOKUP(AllDataCorrected[[#This Row],[Site Name]],Tables!$B$12:$B$78, Tables!D$12:D$78)</f>
        <v>-1.6926051666666673</v>
      </c>
      <c r="N881" t="s">
        <v>66</v>
      </c>
      <c r="O881">
        <v>585</v>
      </c>
      <c r="P881">
        <v>15.4</v>
      </c>
      <c r="Q881">
        <v>2</v>
      </c>
      <c r="R881" t="str">
        <f>IF(AllDataCorrected[[#This Row],[Nitrate (PPM)]]&gt;2, "4. Very high (&gt;2ppm)", IF(AllDataCorrected[[#This Row],[Nitrate (PPM)]]&gt;1, "3. High (1-2ppm)", IF(AllDataCorrected[[#This Row],[Nitrate (PPM)]]&gt;0.5, "2. Some evidence (0.5-1ppm)", IF(AllDataCorrected[[#This Row],[Nitrate (PPM)]]&gt;=0, "1. No evidence (&lt;0.5ppm)"))))</f>
        <v>3. High (1-2ppm)</v>
      </c>
      <c r="S881">
        <v>0.41</v>
      </c>
      <c r="T8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1">
        <v>0</v>
      </c>
      <c r="V881" t="s">
        <v>1914</v>
      </c>
    </row>
    <row r="882" spans="1:22" x14ac:dyDescent="0.25">
      <c r="A882" t="s">
        <v>1417</v>
      </c>
      <c r="B882" s="2">
        <v>45444</v>
      </c>
      <c r="C882" t="str" cm="1">
        <f t="array" ref="C8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2">
        <f>YEAR(AllDataCorrected[[#This Row],[Date]])</f>
        <v>2024</v>
      </c>
      <c r="F88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2" t="str">
        <f>_xlfn.XLOOKUP(AllDataCorrected[[#This Row],[Location Name]], Locations[Location Name],Locations[Group As])</f>
        <v>Site 1  :  Middle Street</v>
      </c>
      <c r="H882" t="e" vm="2">
        <f>_xlfn.XLOOKUP(AllDataCorrected[[#This Row],[Site Name]],LocationsKey[Site Name],LocationsKey[District])</f>
        <v>#VALUE!</v>
      </c>
      <c r="I882" t="e" vm="11">
        <f>_xlfn.XLOOKUP(AllDataCorrected[[#This Row],[Site Name]],LocationsKey[Site Name],LocationsKey[Town])</f>
        <v>#VALUE!</v>
      </c>
      <c r="J882" t="str">
        <f>_xlfn.XLOOKUP(AllDataCorrected[[#This Row],[Site Name]],LocationsKey[Site Name], LocationsKey[Waterway])</f>
        <v>Fosseway Brook</v>
      </c>
      <c r="K882" t="s">
        <v>1373</v>
      </c>
      <c r="L882">
        <f>_xlfn.XLOOKUP(AllDataCorrected[[#This Row],[Site Name]],Tables!$B$12:$B$78, Tables!C$12:C$78)</f>
        <v>52.090077380952394</v>
      </c>
      <c r="M882">
        <f>_xlfn.XLOOKUP(AllDataCorrected[[#This Row],[Site Name]],Tables!$B$12:$B$78, Tables!D$12:D$78)</f>
        <v>-1.6926051666666673</v>
      </c>
      <c r="N882" t="s">
        <v>66</v>
      </c>
      <c r="O882">
        <v>585</v>
      </c>
      <c r="P882">
        <v>15.4</v>
      </c>
      <c r="Q882">
        <v>2</v>
      </c>
      <c r="R882" t="str">
        <f>IF(AllDataCorrected[[#This Row],[Nitrate (PPM)]]&gt;2, "4. Very high (&gt;2ppm)", IF(AllDataCorrected[[#This Row],[Nitrate (PPM)]]&gt;1, "3. High (1-2ppm)", IF(AllDataCorrected[[#This Row],[Nitrate (PPM)]]&gt;0.5, "2. Some evidence (0.5-1ppm)", IF(AllDataCorrected[[#This Row],[Nitrate (PPM)]]&gt;=0, "1. No evidence (&lt;0.5ppm)"))))</f>
        <v>3. High (1-2ppm)</v>
      </c>
      <c r="S882">
        <v>0.41</v>
      </c>
      <c r="T8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882" t="s">
        <v>1418</v>
      </c>
    </row>
    <row r="883" spans="1:22" x14ac:dyDescent="0.25">
      <c r="A883" t="s">
        <v>1777</v>
      </c>
      <c r="B883" s="2">
        <v>45444</v>
      </c>
      <c r="C883" t="str" cm="1">
        <f t="array" ref="C8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3">
        <f>YEAR(AllDataCorrected[[#This Row],[Date]])</f>
        <v>2024</v>
      </c>
      <c r="F88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3" t="str">
        <f>_xlfn.XLOOKUP(AllDataCorrected[[#This Row],[Location Name]], Locations[Location Name],Locations[Group As])</f>
        <v>Site 2  :  Cross Leys culvert</v>
      </c>
      <c r="H883" t="e" vm="2">
        <f>_xlfn.XLOOKUP(AllDataCorrected[[#This Row],[Site Name]],LocationsKey[Site Name],LocationsKey[District])</f>
        <v>#VALUE!</v>
      </c>
      <c r="I883" t="e" vm="11">
        <f>_xlfn.XLOOKUP(AllDataCorrected[[#This Row],[Site Name]],LocationsKey[Site Name],LocationsKey[Town])</f>
        <v>#VALUE!</v>
      </c>
      <c r="J883" t="str">
        <f>_xlfn.XLOOKUP(AllDataCorrected[[#This Row],[Site Name]],LocationsKey[Site Name], LocationsKey[Waterway])</f>
        <v>Fosseway Brook</v>
      </c>
      <c r="K883" t="s">
        <v>1860</v>
      </c>
      <c r="L883">
        <f>_xlfn.XLOOKUP(AllDataCorrected[[#This Row],[Site Name]],Tables!$B$12:$B$78, Tables!C$12:C$78)</f>
        <v>52.092990199999988</v>
      </c>
      <c r="M883">
        <f>_xlfn.XLOOKUP(AllDataCorrected[[#This Row],[Site Name]],Tables!$B$12:$B$78, Tables!D$12:D$78)</f>
        <v>-1.6862810999999998</v>
      </c>
      <c r="N883" t="s">
        <v>66</v>
      </c>
      <c r="O883">
        <v>627</v>
      </c>
      <c r="P883">
        <v>14.6</v>
      </c>
      <c r="Q883">
        <v>2</v>
      </c>
      <c r="R883" t="str">
        <f>IF(AllDataCorrected[[#This Row],[Nitrate (PPM)]]&gt;2, "4. Very high (&gt;2ppm)", IF(AllDataCorrected[[#This Row],[Nitrate (PPM)]]&gt;1, "3. High (1-2ppm)", IF(AllDataCorrected[[#This Row],[Nitrate (PPM)]]&gt;0.5, "2. Some evidence (0.5-1ppm)", IF(AllDataCorrected[[#This Row],[Nitrate (PPM)]]&gt;=0, "1. No evidence (&lt;0.5ppm)"))))</f>
        <v>3. High (1-2ppm)</v>
      </c>
      <c r="S883">
        <v>0.38</v>
      </c>
      <c r="T8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3">
        <v>0</v>
      </c>
      <c r="V883" t="s">
        <v>1915</v>
      </c>
    </row>
    <row r="884" spans="1:22" x14ac:dyDescent="0.25">
      <c r="A884" t="s">
        <v>1416</v>
      </c>
      <c r="B884" s="2">
        <v>45444</v>
      </c>
      <c r="C884" t="str" cm="1">
        <f t="array" ref="C8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4">
        <f>YEAR(AllDataCorrected[[#This Row],[Date]])</f>
        <v>2024</v>
      </c>
      <c r="F88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4" t="str">
        <f>_xlfn.XLOOKUP(AllDataCorrected[[#This Row],[Location Name]], Locations[Location Name],Locations[Group As])</f>
        <v>Site 2  :  Cross Leys culvert</v>
      </c>
      <c r="H884" t="e" vm="2">
        <f>_xlfn.XLOOKUP(AllDataCorrected[[#This Row],[Site Name]],LocationsKey[Site Name],LocationsKey[District])</f>
        <v>#VALUE!</v>
      </c>
      <c r="I884" t="e" vm="11">
        <f>_xlfn.XLOOKUP(AllDataCorrected[[#This Row],[Site Name]],LocationsKey[Site Name],LocationsKey[Town])</f>
        <v>#VALUE!</v>
      </c>
      <c r="J884" t="str">
        <f>_xlfn.XLOOKUP(AllDataCorrected[[#This Row],[Site Name]],LocationsKey[Site Name], LocationsKey[Waterway])</f>
        <v>Fosseway Brook</v>
      </c>
      <c r="K884" t="s">
        <v>1371</v>
      </c>
      <c r="L884">
        <f>_xlfn.XLOOKUP(AllDataCorrected[[#This Row],[Site Name]],Tables!$B$12:$B$78, Tables!C$12:C$78)</f>
        <v>52.092990199999988</v>
      </c>
      <c r="M884">
        <f>_xlfn.XLOOKUP(AllDataCorrected[[#This Row],[Site Name]],Tables!$B$12:$B$78, Tables!D$12:D$78)</f>
        <v>-1.6862810999999998</v>
      </c>
      <c r="N884" t="s">
        <v>66</v>
      </c>
      <c r="O884">
        <v>627</v>
      </c>
      <c r="P884">
        <v>14.6</v>
      </c>
      <c r="Q884">
        <v>2</v>
      </c>
      <c r="R884" t="str">
        <f>IF(AllDataCorrected[[#This Row],[Nitrate (PPM)]]&gt;2, "4. Very high (&gt;2ppm)", IF(AllDataCorrected[[#This Row],[Nitrate (PPM)]]&gt;1, "3. High (1-2ppm)", IF(AllDataCorrected[[#This Row],[Nitrate (PPM)]]&gt;0.5, "2. Some evidence (0.5-1ppm)", IF(AllDataCorrected[[#This Row],[Nitrate (PPM)]]&gt;=0, "1. No evidence (&lt;0.5ppm)"))))</f>
        <v>3. High (1-2ppm)</v>
      </c>
      <c r="S884">
        <v>0.38</v>
      </c>
      <c r="T8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885" spans="1:22" x14ac:dyDescent="0.25">
      <c r="A885" t="s">
        <v>1778</v>
      </c>
      <c r="B885" s="2">
        <v>45444</v>
      </c>
      <c r="C885" t="str" cm="1">
        <f t="array" ref="C8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5">
        <f>YEAR(AllDataCorrected[[#This Row],[Date]])</f>
        <v>2024</v>
      </c>
      <c r="F88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5" t="str">
        <f>_xlfn.XLOOKUP(AllDataCorrected[[#This Row],[Location Name]], Locations[Location Name],Locations[Group As])</f>
        <v>Site 3  :  Severn Trent Water processing plant outflow</v>
      </c>
      <c r="H885" t="e" vm="2">
        <f>_xlfn.XLOOKUP(AllDataCorrected[[#This Row],[Site Name]],LocationsKey[Site Name],LocationsKey[District])</f>
        <v>#VALUE!</v>
      </c>
      <c r="I885" t="e" vm="11">
        <f>_xlfn.XLOOKUP(AllDataCorrected[[#This Row],[Site Name]],LocationsKey[Site Name],LocationsKey[Town])</f>
        <v>#VALUE!</v>
      </c>
      <c r="J885" t="str">
        <f>_xlfn.XLOOKUP(AllDataCorrected[[#This Row],[Site Name]],LocationsKey[Site Name], LocationsKey[Waterway])</f>
        <v>Fosseway Brook</v>
      </c>
      <c r="K885" t="s">
        <v>1861</v>
      </c>
      <c r="L885">
        <f>_xlfn.XLOOKUP(AllDataCorrected[[#This Row],[Site Name]],Tables!$B$12:$B$78, Tables!C$12:C$78)</f>
        <v>52.094341024390218</v>
      </c>
      <c r="M885">
        <f>_xlfn.XLOOKUP(AllDataCorrected[[#This Row],[Site Name]],Tables!$B$12:$B$78, Tables!D$12:D$78)</f>
        <v>-1.6731015853658531</v>
      </c>
      <c r="N885" t="s">
        <v>29</v>
      </c>
      <c r="O885">
        <v>839</v>
      </c>
      <c r="P885">
        <v>15</v>
      </c>
      <c r="Q885">
        <v>8</v>
      </c>
      <c r="R885" t="str">
        <f>IF(AllDataCorrected[[#This Row],[Nitrate (PPM)]]&gt;2, "4. Very high (&gt;2ppm)", IF(AllDataCorrected[[#This Row],[Nitrate (PPM)]]&gt;1, "3. High (1-2ppm)", IF(AllDataCorrected[[#This Row],[Nitrate (PPM)]]&gt;0.5, "2. Some evidence (0.5-1ppm)", IF(AllDataCorrected[[#This Row],[Nitrate (PPM)]]&gt;=0, "1. No evidence (&lt;0.5ppm)"))))</f>
        <v>4. Very high (&gt;2ppm)</v>
      </c>
      <c r="S885">
        <v>2.5</v>
      </c>
      <c r="T8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5">
        <v>0</v>
      </c>
      <c r="V885" t="s">
        <v>1916</v>
      </c>
    </row>
    <row r="886" spans="1:22" x14ac:dyDescent="0.25">
      <c r="A886" t="s">
        <v>1415</v>
      </c>
      <c r="B886" s="2">
        <v>45444</v>
      </c>
      <c r="C886" t="str" cm="1">
        <f t="array" ref="C8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6">
        <f>YEAR(AllDataCorrected[[#This Row],[Date]])</f>
        <v>2024</v>
      </c>
      <c r="F88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6" t="str">
        <f>_xlfn.XLOOKUP(AllDataCorrected[[#This Row],[Location Name]], Locations[Location Name],Locations[Group As])</f>
        <v>Site 3  :  Severn Trent Water processing plant outflow</v>
      </c>
      <c r="H886" t="e" vm="2">
        <f>_xlfn.XLOOKUP(AllDataCorrected[[#This Row],[Site Name]],LocationsKey[Site Name],LocationsKey[District])</f>
        <v>#VALUE!</v>
      </c>
      <c r="I886" t="e" vm="11">
        <f>_xlfn.XLOOKUP(AllDataCorrected[[#This Row],[Site Name]],LocationsKey[Site Name],LocationsKey[Town])</f>
        <v>#VALUE!</v>
      </c>
      <c r="J886" t="str">
        <f>_xlfn.XLOOKUP(AllDataCorrected[[#This Row],[Site Name]],LocationsKey[Site Name], LocationsKey[Waterway])</f>
        <v>Fosseway Brook</v>
      </c>
      <c r="K886" t="s">
        <v>1368</v>
      </c>
      <c r="L886">
        <f>_xlfn.XLOOKUP(AllDataCorrected[[#This Row],[Site Name]],Tables!$B$12:$B$78, Tables!C$12:C$78)</f>
        <v>52.094341024390218</v>
      </c>
      <c r="M886">
        <f>_xlfn.XLOOKUP(AllDataCorrected[[#This Row],[Site Name]],Tables!$B$12:$B$78, Tables!D$12:D$78)</f>
        <v>-1.6731015853658531</v>
      </c>
      <c r="N886" t="s">
        <v>29</v>
      </c>
      <c r="O886">
        <v>839</v>
      </c>
      <c r="P886">
        <v>15</v>
      </c>
      <c r="Q886">
        <v>8</v>
      </c>
      <c r="R886" t="str">
        <f>IF(AllDataCorrected[[#This Row],[Nitrate (PPM)]]&gt;2, "4. Very high (&gt;2ppm)", IF(AllDataCorrected[[#This Row],[Nitrate (PPM)]]&gt;1, "3. High (1-2ppm)", IF(AllDataCorrected[[#This Row],[Nitrate (PPM)]]&gt;0.5, "2. Some evidence (0.5-1ppm)", IF(AllDataCorrected[[#This Row],[Nitrate (PPM)]]&gt;=0, "1. No evidence (&lt;0.5ppm)"))))</f>
        <v>4. Very high (&gt;2ppm)</v>
      </c>
      <c r="S886">
        <v>2.5</v>
      </c>
      <c r="T8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87" spans="1:22" x14ac:dyDescent="0.25">
      <c r="A887" t="s">
        <v>1196</v>
      </c>
      <c r="B887" s="2">
        <v>45445</v>
      </c>
      <c r="C887" t="str" cm="1">
        <f t="array" ref="C8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7">
        <f>YEAR(AllDataCorrected[[#This Row],[Date]])</f>
        <v>2024</v>
      </c>
      <c r="E887" s="1">
        <v>0.39583333333333331</v>
      </c>
      <c r="F8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7" t="str">
        <f>_xlfn.XLOOKUP(AllDataCorrected[[#This Row],[Location Name]], Locations[Location Name],Locations[Group As])</f>
        <v>Sherbourne Brook 1</v>
      </c>
      <c r="H887" t="e" vm="2">
        <f>_xlfn.XLOOKUP(AllDataCorrected[[#This Row],[Site Name]],LocationsKey[Site Name],LocationsKey[District])</f>
        <v>#VALUE!</v>
      </c>
      <c r="I887" t="e" vm="16">
        <f>_xlfn.XLOOKUP(AllDataCorrected[[#This Row],[Site Name]],LocationsKey[Site Name],LocationsKey[Town])</f>
        <v>#VALUE!</v>
      </c>
      <c r="J887" t="str">
        <f>_xlfn.XLOOKUP(AllDataCorrected[[#This Row],[Site Name]],LocationsKey[Site Name], LocationsKey[Waterway])</f>
        <v>Sherbourne Brook</v>
      </c>
      <c r="K887" t="s">
        <v>570</v>
      </c>
      <c r="L887">
        <f>_xlfn.XLOOKUP(AllDataCorrected[[#This Row],[Site Name]],Tables!$B$12:$B$78, Tables!C$12:C$78)</f>
        <v>52.252500000000033</v>
      </c>
      <c r="M887">
        <f>_xlfn.XLOOKUP(AllDataCorrected[[#This Row],[Site Name]],Tables!$B$12:$B$78, Tables!D$12:D$78)</f>
        <v>-1.6685000000000012</v>
      </c>
      <c r="N887" t="s">
        <v>23</v>
      </c>
      <c r="O887">
        <v>1090</v>
      </c>
      <c r="P887">
        <v>13.6</v>
      </c>
      <c r="Q887">
        <v>10</v>
      </c>
      <c r="R887" t="str">
        <f>IF(AllDataCorrected[[#This Row],[Nitrate (PPM)]]&gt;2, "4. Very high (&gt;2ppm)", IF(AllDataCorrected[[#This Row],[Nitrate (PPM)]]&gt;1, "3. High (1-2ppm)", IF(AllDataCorrected[[#This Row],[Nitrate (PPM)]]&gt;0.5, "2. Some evidence (0.5-1ppm)", IF(AllDataCorrected[[#This Row],[Nitrate (PPM)]]&gt;=0, "1. No evidence (&lt;0.5ppm)"))))</f>
        <v>4. Very high (&gt;2ppm)</v>
      </c>
      <c r="S887">
        <v>0.28999999999999998</v>
      </c>
      <c r="T8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7">
        <v>0.2</v>
      </c>
    </row>
    <row r="888" spans="1:22" x14ac:dyDescent="0.25">
      <c r="A888" t="s">
        <v>1195</v>
      </c>
      <c r="B888" s="2">
        <v>45445</v>
      </c>
      <c r="C888" t="str" cm="1">
        <f t="array" ref="C8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8">
        <f>YEAR(AllDataCorrected[[#This Row],[Date]])</f>
        <v>2024</v>
      </c>
      <c r="E888" s="1">
        <v>0.40625</v>
      </c>
      <c r="F8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8" t="str">
        <f>_xlfn.XLOOKUP(AllDataCorrected[[#This Row],[Location Name]], Locations[Location Name],Locations[Group As])</f>
        <v>Bell Brook 1</v>
      </c>
      <c r="H888" t="e" vm="2">
        <f>_xlfn.XLOOKUP(AllDataCorrected[[#This Row],[Site Name]],LocationsKey[Site Name],LocationsKey[District])</f>
        <v>#VALUE!</v>
      </c>
      <c r="I888" t="e" vm="15">
        <f>_xlfn.XLOOKUP(AllDataCorrected[[#This Row],[Site Name]],LocationsKey[Site Name],LocationsKey[Town])</f>
        <v>#VALUE!</v>
      </c>
      <c r="J888" t="str">
        <f>_xlfn.XLOOKUP(AllDataCorrected[[#This Row],[Site Name]],LocationsKey[Site Name], LocationsKey[Waterway])</f>
        <v>Bell Brook</v>
      </c>
      <c r="K888" t="s">
        <v>534</v>
      </c>
      <c r="L888">
        <f>_xlfn.XLOOKUP(AllDataCorrected[[#This Row],[Site Name]],Tables!$B$12:$B$78, Tables!C$12:C$78)</f>
        <v>52.24489999999998</v>
      </c>
      <c r="M888">
        <f>_xlfn.XLOOKUP(AllDataCorrected[[#This Row],[Site Name]],Tables!$B$12:$B$78, Tables!D$12:D$78)</f>
        <v>-1.6617000000000013</v>
      </c>
      <c r="N888" t="s">
        <v>23</v>
      </c>
      <c r="O888">
        <v>762</v>
      </c>
      <c r="P888">
        <v>15.4</v>
      </c>
      <c r="Q888">
        <v>4</v>
      </c>
      <c r="R888" t="str">
        <f>IF(AllDataCorrected[[#This Row],[Nitrate (PPM)]]&gt;2, "4. Very high (&gt;2ppm)", IF(AllDataCorrected[[#This Row],[Nitrate (PPM)]]&gt;1, "3. High (1-2ppm)", IF(AllDataCorrected[[#This Row],[Nitrate (PPM)]]&gt;0.5, "2. Some evidence (0.5-1ppm)", IF(AllDataCorrected[[#This Row],[Nitrate (PPM)]]&gt;=0, "1. No evidence (&lt;0.5ppm)"))))</f>
        <v>4. Very high (&gt;2ppm)</v>
      </c>
      <c r="S888">
        <v>0.48</v>
      </c>
      <c r="T8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8">
        <v>0.2</v>
      </c>
    </row>
    <row r="889" spans="1:22" x14ac:dyDescent="0.25">
      <c r="A889" t="s">
        <v>1197</v>
      </c>
      <c r="B889" s="2">
        <v>45445</v>
      </c>
      <c r="C889" t="str" cm="1">
        <f t="array" ref="C8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9">
        <f>YEAR(AllDataCorrected[[#This Row],[Date]])</f>
        <v>2024</v>
      </c>
      <c r="E889" s="1">
        <v>0.47916666666666669</v>
      </c>
      <c r="F8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9" t="str">
        <f>_xlfn.XLOOKUP(AllDataCorrected[[#This Row],[Location Name]], Locations[Location Name],Locations[Group As])</f>
        <v>Fell Mill Footbridge</v>
      </c>
      <c r="H889" t="e" vm="2">
        <f>_xlfn.XLOOKUP(AllDataCorrected[[#This Row],[Site Name]],LocationsKey[Site Name],LocationsKey[District])</f>
        <v>#VALUE!</v>
      </c>
      <c r="I889" t="e" vm="10">
        <f>_xlfn.XLOOKUP(AllDataCorrected[[#This Row],[Site Name]],LocationsKey[Site Name],LocationsKey[Town])</f>
        <v>#VALUE!</v>
      </c>
      <c r="J889" t="str">
        <f>_xlfn.XLOOKUP(AllDataCorrected[[#This Row],[Site Name]],LocationsKey[Site Name], LocationsKey[Waterway])</f>
        <v>Stour</v>
      </c>
      <c r="K889" t="s">
        <v>818</v>
      </c>
      <c r="L889">
        <f>_xlfn.XLOOKUP(AllDataCorrected[[#This Row],[Site Name]],Tables!$B$12:$B$78, Tables!C$12:C$78)</f>
        <v>52.067966827586183</v>
      </c>
      <c r="M889">
        <f>_xlfn.XLOOKUP(AllDataCorrected[[#This Row],[Site Name]],Tables!$B$12:$B$78, Tables!D$12:D$78)</f>
        <v>-1.6118101379310343</v>
      </c>
      <c r="N889" t="s">
        <v>29</v>
      </c>
      <c r="O889">
        <v>63.5</v>
      </c>
      <c r="P889">
        <v>13.8</v>
      </c>
      <c r="Q889">
        <v>10</v>
      </c>
      <c r="R889" t="str">
        <f>IF(AllDataCorrected[[#This Row],[Nitrate (PPM)]]&gt;2, "4. Very high (&gt;2ppm)", IF(AllDataCorrected[[#This Row],[Nitrate (PPM)]]&gt;1, "3. High (1-2ppm)", IF(AllDataCorrected[[#This Row],[Nitrate (PPM)]]&gt;0.5, "2. Some evidence (0.5-1ppm)", IF(AllDataCorrected[[#This Row],[Nitrate (PPM)]]&gt;=0, "1. No evidence (&lt;0.5ppm)"))))</f>
        <v>4. Very high (&gt;2ppm)</v>
      </c>
      <c r="S889">
        <v>0.37</v>
      </c>
      <c r="T8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9">
        <v>1.22</v>
      </c>
    </row>
    <row r="890" spans="1:22" x14ac:dyDescent="0.25">
      <c r="A890" t="s">
        <v>1198</v>
      </c>
      <c r="B890" s="2">
        <v>45445</v>
      </c>
      <c r="C890" t="str" cm="1">
        <f t="array" ref="C8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0">
        <f>YEAR(AllDataCorrected[[#This Row],[Date]])</f>
        <v>2024</v>
      </c>
      <c r="E890" s="1">
        <v>0.82638888888888884</v>
      </c>
      <c r="F89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90" t="str">
        <f>_xlfn.XLOOKUP(AllDataCorrected[[#This Row],[Location Name]], Locations[Location Name],Locations[Group As])</f>
        <v>Black Bear</v>
      </c>
      <c r="H890" t="e" vm="1">
        <f>_xlfn.XLOOKUP(AllDataCorrected[[#This Row],[Site Name]],LocationsKey[Site Name],LocationsKey[District])</f>
        <v>#VALUE!</v>
      </c>
      <c r="I890" t="e" vm="1">
        <f>_xlfn.XLOOKUP(AllDataCorrected[[#This Row],[Site Name]],LocationsKey[Site Name],LocationsKey[Town])</f>
        <v>#VALUE!</v>
      </c>
      <c r="J890" t="str">
        <f>_xlfn.XLOOKUP(AllDataCorrected[[#This Row],[Site Name]],LocationsKey[Site Name], LocationsKey[Waterway])</f>
        <v>Avon</v>
      </c>
      <c r="K890" t="s">
        <v>1045</v>
      </c>
      <c r="L890">
        <f>_xlfn.XLOOKUP(AllDataCorrected[[#This Row],[Site Name]],Tables!$B$12:$B$78, Tables!C$12:C$78)</f>
        <v>51.997435214285723</v>
      </c>
      <c r="M890">
        <f>_xlfn.XLOOKUP(AllDataCorrected[[#This Row],[Site Name]],Tables!$B$12:$B$78, Tables!D$12:D$78)</f>
        <v>-2.1562056785714288</v>
      </c>
      <c r="N890" t="s">
        <v>23</v>
      </c>
      <c r="O890">
        <v>904</v>
      </c>
      <c r="P890">
        <v>18</v>
      </c>
      <c r="Q890">
        <v>10</v>
      </c>
      <c r="R890" t="str">
        <f>IF(AllDataCorrected[[#This Row],[Nitrate (PPM)]]&gt;2, "4. Very high (&gt;2ppm)", IF(AllDataCorrected[[#This Row],[Nitrate (PPM)]]&gt;1, "3. High (1-2ppm)", IF(AllDataCorrected[[#This Row],[Nitrate (PPM)]]&gt;0.5, "2. Some evidence (0.5-1ppm)", IF(AllDataCorrected[[#This Row],[Nitrate (PPM)]]&gt;=0, "1. No evidence (&lt;0.5ppm)"))))</f>
        <v>4. Very high (&gt;2ppm)</v>
      </c>
      <c r="S890">
        <v>2.4900000000000002</v>
      </c>
      <c r="T8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0">
        <v>0</v>
      </c>
    </row>
    <row r="891" spans="1:22" x14ac:dyDescent="0.25">
      <c r="A891" t="s">
        <v>1202</v>
      </c>
      <c r="B891" s="2">
        <v>45446</v>
      </c>
      <c r="C891" t="str" cm="1">
        <f t="array" ref="C8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1">
        <f>YEAR(AllDataCorrected[[#This Row],[Date]])</f>
        <v>2024</v>
      </c>
      <c r="E891" s="1">
        <v>0.3923611111111111</v>
      </c>
      <c r="F8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1" t="str">
        <f>_xlfn.XLOOKUP(AllDataCorrected[[#This Row],[Location Name]], Locations[Location Name],Locations[Group As])</f>
        <v>Stour Stretton-on-Fosse Village</v>
      </c>
      <c r="H891" t="e" vm="2">
        <f>_xlfn.XLOOKUP(AllDataCorrected[[#This Row],[Site Name]],LocationsKey[Site Name],LocationsKey[District])</f>
        <v>#VALUE!</v>
      </c>
      <c r="I891" t="e" vm="14">
        <f>_xlfn.XLOOKUP(AllDataCorrected[[#This Row],[Site Name]],LocationsKey[Site Name],LocationsKey[Town])</f>
        <v>#VALUE!</v>
      </c>
      <c r="J891" t="str">
        <f>_xlfn.XLOOKUP(AllDataCorrected[[#This Row],[Site Name]],LocationsKey[Site Name], LocationsKey[Waterway])</f>
        <v>Stour</v>
      </c>
      <c r="K891" t="s">
        <v>544</v>
      </c>
      <c r="L891">
        <f>_xlfn.XLOOKUP(AllDataCorrected[[#This Row],[Site Name]],Tables!$B$12:$B$78, Tables!C$12:C$78)</f>
        <v>52.046517558823524</v>
      </c>
      <c r="M891">
        <f>_xlfn.XLOOKUP(AllDataCorrected[[#This Row],[Site Name]],Tables!$B$12:$B$78, Tables!D$12:D$78)</f>
        <v>-1.6734143529411767</v>
      </c>
      <c r="N891" t="s">
        <v>66</v>
      </c>
      <c r="O891">
        <v>702</v>
      </c>
      <c r="P891">
        <v>14.2</v>
      </c>
      <c r="Q891">
        <v>0.5</v>
      </c>
      <c r="R89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891">
        <v>2.5</v>
      </c>
      <c r="T8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1">
        <v>0.15</v>
      </c>
      <c r="V891" t="s">
        <v>1203</v>
      </c>
    </row>
    <row r="892" spans="1:22" x14ac:dyDescent="0.25">
      <c r="A892" t="s">
        <v>1200</v>
      </c>
      <c r="B892" s="2">
        <v>45446</v>
      </c>
      <c r="C892" t="str" cm="1">
        <f t="array" ref="C8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2">
        <f>YEAR(AllDataCorrected[[#This Row],[Date]])</f>
        <v>2024</v>
      </c>
      <c r="E892" s="1">
        <v>0.40416666666666667</v>
      </c>
      <c r="F8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2" t="str">
        <f>_xlfn.XLOOKUP(AllDataCorrected[[#This Row],[Location Name]], Locations[Location Name],Locations[Group As])</f>
        <v>Stour Stretton-on-Fosse Sewage Works</v>
      </c>
      <c r="H892" t="e" vm="2">
        <f>_xlfn.XLOOKUP(AllDataCorrected[[#This Row],[Site Name]],LocationsKey[Site Name],LocationsKey[District])</f>
        <v>#VALUE!</v>
      </c>
      <c r="I892" t="e" vm="14">
        <f>_xlfn.XLOOKUP(AllDataCorrected[[#This Row],[Site Name]],LocationsKey[Site Name],LocationsKey[Town])</f>
        <v>#VALUE!</v>
      </c>
      <c r="J892" t="str">
        <f>_xlfn.XLOOKUP(AllDataCorrected[[#This Row],[Site Name]],LocationsKey[Site Name], LocationsKey[Waterway])</f>
        <v>Stour</v>
      </c>
      <c r="K892" t="s">
        <v>335</v>
      </c>
      <c r="L892">
        <f>_xlfn.XLOOKUP(AllDataCorrected[[#This Row],[Site Name]],Tables!$B$12:$B$78, Tables!C$12:C$78)</f>
        <v>52.045653647058806</v>
      </c>
      <c r="M892">
        <f>_xlfn.XLOOKUP(AllDataCorrected[[#This Row],[Site Name]],Tables!$B$12:$B$78, Tables!D$12:D$78)</f>
        <v>-1.6719221470588235</v>
      </c>
      <c r="N892" t="s">
        <v>29</v>
      </c>
      <c r="O892">
        <v>806</v>
      </c>
      <c r="P892">
        <v>14.9</v>
      </c>
      <c r="Q892">
        <v>2</v>
      </c>
      <c r="R892" t="str">
        <f>IF(AllDataCorrected[[#This Row],[Nitrate (PPM)]]&gt;2, "4. Very high (&gt;2ppm)", IF(AllDataCorrected[[#This Row],[Nitrate (PPM)]]&gt;1, "3. High (1-2ppm)", IF(AllDataCorrected[[#This Row],[Nitrate (PPM)]]&gt;0.5, "2. Some evidence (0.5-1ppm)", IF(AllDataCorrected[[#This Row],[Nitrate (PPM)]]&gt;=0, "1. No evidence (&lt;0.5ppm)"))))</f>
        <v>3. High (1-2ppm)</v>
      </c>
      <c r="S892">
        <v>2.5</v>
      </c>
      <c r="T8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2">
        <v>0.25</v>
      </c>
      <c r="V892" t="s">
        <v>1201</v>
      </c>
    </row>
    <row r="893" spans="1:22" x14ac:dyDescent="0.25">
      <c r="A893" t="s">
        <v>1199</v>
      </c>
      <c r="B893" s="2">
        <v>45446</v>
      </c>
      <c r="C893" t="str" cm="1">
        <f t="array" ref="C8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3">
        <f>YEAR(AllDataCorrected[[#This Row],[Date]])</f>
        <v>2024</v>
      </c>
      <c r="E893" s="1">
        <v>0.5</v>
      </c>
      <c r="F8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3" t="str">
        <f>_xlfn.XLOOKUP(AllDataCorrected[[#This Row],[Location Name]], Locations[Location Name],Locations[Group As])</f>
        <v>Carrant Bredon Rd</v>
      </c>
      <c r="H893" t="e" vm="1">
        <f>_xlfn.XLOOKUP(AllDataCorrected[[#This Row],[Site Name]],LocationsKey[Site Name],LocationsKey[District])</f>
        <v>#VALUE!</v>
      </c>
      <c r="I893" t="e" vm="1">
        <f>_xlfn.XLOOKUP(AllDataCorrected[[#This Row],[Site Name]],LocationsKey[Site Name],LocationsKey[Town])</f>
        <v>#VALUE!</v>
      </c>
      <c r="J893" t="str">
        <f>_xlfn.XLOOKUP(AllDataCorrected[[#This Row],[Site Name]],LocationsKey[Site Name], LocationsKey[Waterway])</f>
        <v>Carrant</v>
      </c>
      <c r="K893" t="s">
        <v>600</v>
      </c>
      <c r="L893">
        <f>_xlfn.XLOOKUP(AllDataCorrected[[#This Row],[Site Name]],Tables!$B$12:$B$78, Tables!C$12:C$78)</f>
        <v>51.996416567567572</v>
      </c>
      <c r="M893">
        <f>_xlfn.XLOOKUP(AllDataCorrected[[#This Row],[Site Name]],Tables!$B$12:$B$78, Tables!D$12:D$78)</f>
        <v>-2.1556626756756749</v>
      </c>
      <c r="N893" t="s">
        <v>23</v>
      </c>
      <c r="O893">
        <v>747</v>
      </c>
      <c r="P893">
        <v>17</v>
      </c>
      <c r="Q893">
        <v>7</v>
      </c>
      <c r="R893" t="str">
        <f>IF(AllDataCorrected[[#This Row],[Nitrate (PPM)]]&gt;2, "4. Very high (&gt;2ppm)", IF(AllDataCorrected[[#This Row],[Nitrate (PPM)]]&gt;1, "3. High (1-2ppm)", IF(AllDataCorrected[[#This Row],[Nitrate (PPM)]]&gt;0.5, "2. Some evidence (0.5-1ppm)", IF(AllDataCorrected[[#This Row],[Nitrate (PPM)]]&gt;=0, "1. No evidence (&lt;0.5ppm)"))))</f>
        <v>4. Very high (&gt;2ppm)</v>
      </c>
      <c r="S893">
        <v>0.31</v>
      </c>
      <c r="T8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3">
        <v>0.1</v>
      </c>
    </row>
    <row r="894" spans="1:22" x14ac:dyDescent="0.25">
      <c r="A894" t="s">
        <v>1208</v>
      </c>
      <c r="B894" s="2">
        <v>45447</v>
      </c>
      <c r="C894" t="str" cm="1">
        <f t="array" ref="C8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4">
        <f>YEAR(AllDataCorrected[[#This Row],[Date]])</f>
        <v>2024</v>
      </c>
      <c r="E894" s="1">
        <v>0.44861111111111113</v>
      </c>
      <c r="F8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4" t="str">
        <f>_xlfn.XLOOKUP(AllDataCorrected[[#This Row],[Location Name]], Locations[Location Name],Locations[Group As])</f>
        <v>Carrant Mitton Bridge</v>
      </c>
      <c r="H894" t="e" vm="1">
        <f>_xlfn.XLOOKUP(AllDataCorrected[[#This Row],[Site Name]],LocationsKey[Site Name],LocationsKey[District])</f>
        <v>#VALUE!</v>
      </c>
      <c r="I894" t="e" vm="1">
        <f>_xlfn.XLOOKUP(AllDataCorrected[[#This Row],[Site Name]],LocationsKey[Site Name],LocationsKey[Town])</f>
        <v>#VALUE!</v>
      </c>
      <c r="J894" t="str">
        <f>_xlfn.XLOOKUP(AllDataCorrected[[#This Row],[Site Name]],LocationsKey[Site Name], LocationsKey[Waterway])</f>
        <v>Carrant</v>
      </c>
      <c r="K894" t="s">
        <v>1209</v>
      </c>
      <c r="L894">
        <f>_xlfn.XLOOKUP(AllDataCorrected[[#This Row],[Site Name]],Tables!$B$12:$B$78, Tables!C$12:C$78)</f>
        <v>51.999974666666674</v>
      </c>
      <c r="M894">
        <f>_xlfn.XLOOKUP(AllDataCorrected[[#This Row],[Site Name]],Tables!$B$12:$B$78, Tables!D$12:D$78)</f>
        <v>-2.141273</v>
      </c>
      <c r="N894" t="s">
        <v>23</v>
      </c>
      <c r="O894">
        <v>721</v>
      </c>
      <c r="P894">
        <v>16.399999999999999</v>
      </c>
      <c r="Q894">
        <v>7</v>
      </c>
      <c r="R894" t="str">
        <f>IF(AllDataCorrected[[#This Row],[Nitrate (PPM)]]&gt;2, "4. Very high (&gt;2ppm)", IF(AllDataCorrected[[#This Row],[Nitrate (PPM)]]&gt;1, "3. High (1-2ppm)", IF(AllDataCorrected[[#This Row],[Nitrate (PPM)]]&gt;0.5, "2. Some evidence (0.5-1ppm)", IF(AllDataCorrected[[#This Row],[Nitrate (PPM)]]&gt;=0, "1. No evidence (&lt;0.5ppm)"))))</f>
        <v>4. Very high (&gt;2ppm)</v>
      </c>
      <c r="S894">
        <v>0.45</v>
      </c>
      <c r="T8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4">
        <v>0</v>
      </c>
    </row>
    <row r="895" spans="1:22" x14ac:dyDescent="0.25">
      <c r="A895" t="s">
        <v>1207</v>
      </c>
      <c r="B895" s="2">
        <v>45447</v>
      </c>
      <c r="C895" t="str" cm="1">
        <f t="array" ref="C8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5">
        <f>YEAR(AllDataCorrected[[#This Row],[Date]])</f>
        <v>2024</v>
      </c>
      <c r="E895" s="1">
        <v>0.46041666666666664</v>
      </c>
      <c r="F8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5" t="str">
        <f>_xlfn.XLOOKUP(AllDataCorrected[[#This Row],[Location Name]], Locations[Location Name],Locations[Group As])</f>
        <v>Carrant M5 Bridge</v>
      </c>
      <c r="H895" t="e" vm="1">
        <f>_xlfn.XLOOKUP(AllDataCorrected[[#This Row],[Site Name]],LocationsKey[Site Name],LocationsKey[District])</f>
        <v>#VALUE!</v>
      </c>
      <c r="I895" t="e" vm="1">
        <f>_xlfn.XLOOKUP(AllDataCorrected[[#This Row],[Site Name]],LocationsKey[Site Name],LocationsKey[Town])</f>
        <v>#VALUE!</v>
      </c>
      <c r="J895" t="str">
        <f>_xlfn.XLOOKUP(AllDataCorrected[[#This Row],[Site Name]],LocationsKey[Site Name], LocationsKey[Waterway])</f>
        <v>Carrant</v>
      </c>
      <c r="K895" t="s">
        <v>960</v>
      </c>
      <c r="L895">
        <f>_xlfn.XLOOKUP(AllDataCorrected[[#This Row],[Site Name]],Tables!$B$12:$B$78, Tables!C$12:C$78)</f>
        <v>52.011600000000001</v>
      </c>
      <c r="M895">
        <f>_xlfn.XLOOKUP(AllDataCorrected[[#This Row],[Site Name]],Tables!$B$12:$B$78, Tables!D$12:D$78)</f>
        <v>-2.1206</v>
      </c>
      <c r="N895" t="s">
        <v>23</v>
      </c>
      <c r="O895">
        <v>774</v>
      </c>
      <c r="P895">
        <v>16</v>
      </c>
      <c r="Q895">
        <v>7</v>
      </c>
      <c r="R895" t="str">
        <f>IF(AllDataCorrected[[#This Row],[Nitrate (PPM)]]&gt;2, "4. Very high (&gt;2ppm)", IF(AllDataCorrected[[#This Row],[Nitrate (PPM)]]&gt;1, "3. High (1-2ppm)", IF(AllDataCorrected[[#This Row],[Nitrate (PPM)]]&gt;0.5, "2. Some evidence (0.5-1ppm)", IF(AllDataCorrected[[#This Row],[Nitrate (PPM)]]&gt;=0, "1. No evidence (&lt;0.5ppm)"))))</f>
        <v>4. Very high (&gt;2ppm)</v>
      </c>
      <c r="S895">
        <v>0.19</v>
      </c>
      <c r="T8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5">
        <v>0</v>
      </c>
    </row>
    <row r="896" spans="1:22" x14ac:dyDescent="0.25">
      <c r="A896" t="s">
        <v>1205</v>
      </c>
      <c r="B896" s="2">
        <v>45447</v>
      </c>
      <c r="C896" t="str" cm="1">
        <f t="array" ref="C8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6">
        <f>YEAR(AllDataCorrected[[#This Row],[Date]])</f>
        <v>2024</v>
      </c>
      <c r="E896" s="1">
        <v>0.62291666666666667</v>
      </c>
      <c r="F8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6" t="str">
        <f>_xlfn.XLOOKUP(AllDataCorrected[[#This Row],[Location Name]], Locations[Location Name],Locations[Group As])</f>
        <v>Abbey Mill</v>
      </c>
      <c r="H896" t="e" vm="1">
        <f>_xlfn.XLOOKUP(AllDataCorrected[[#This Row],[Site Name]],LocationsKey[Site Name],LocationsKey[District])</f>
        <v>#VALUE!</v>
      </c>
      <c r="I896" t="e" vm="1">
        <f>_xlfn.XLOOKUP(AllDataCorrected[[#This Row],[Site Name]],LocationsKey[Site Name],LocationsKey[Town])</f>
        <v>#VALUE!</v>
      </c>
      <c r="J896" t="str">
        <f>_xlfn.XLOOKUP(AllDataCorrected[[#This Row],[Site Name]],LocationsKey[Site Name], LocationsKey[Waterway])</f>
        <v>Avon</v>
      </c>
      <c r="K896" t="s">
        <v>25</v>
      </c>
      <c r="L896">
        <f>_xlfn.XLOOKUP(AllDataCorrected[[#This Row],[Site Name]],Tables!$B$12:$B$78, Tables!C$12:C$78)</f>
        <v>51.991389555555564</v>
      </c>
      <c r="M896">
        <f>_xlfn.XLOOKUP(AllDataCorrected[[#This Row],[Site Name]],Tables!$B$12:$B$78, Tables!D$12:D$78)</f>
        <v>-2.1620794000000005</v>
      </c>
      <c r="N896" t="s">
        <v>23</v>
      </c>
      <c r="O896">
        <v>871</v>
      </c>
      <c r="P896">
        <v>17.600000000000001</v>
      </c>
      <c r="Q896">
        <v>6</v>
      </c>
      <c r="R896" t="str">
        <f>IF(AllDataCorrected[[#This Row],[Nitrate (PPM)]]&gt;2, "4. Very high (&gt;2ppm)", IF(AllDataCorrected[[#This Row],[Nitrate (PPM)]]&gt;1, "3. High (1-2ppm)", IF(AllDataCorrected[[#This Row],[Nitrate (PPM)]]&gt;0.5, "2. Some evidence (0.5-1ppm)", IF(AllDataCorrected[[#This Row],[Nitrate (PPM)]]&gt;=0, "1. No evidence (&lt;0.5ppm)"))))</f>
        <v>4. Very high (&gt;2ppm)</v>
      </c>
      <c r="S896">
        <v>0.71</v>
      </c>
      <c r="T8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6">
        <v>0.6</v>
      </c>
      <c r="V896" t="s">
        <v>1206</v>
      </c>
    </row>
    <row r="897" spans="1:22" x14ac:dyDescent="0.25">
      <c r="A897" t="s">
        <v>1204</v>
      </c>
      <c r="B897" s="2">
        <v>45447</v>
      </c>
      <c r="C897" t="str" cm="1">
        <f t="array" ref="C8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7">
        <f>YEAR(AllDataCorrected[[#This Row],[Date]])</f>
        <v>2024</v>
      </c>
      <c r="E897" s="1">
        <v>0.75</v>
      </c>
      <c r="F89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97" t="str">
        <f>_xlfn.XLOOKUP(AllDataCorrected[[#This Row],[Location Name]], Locations[Location Name],Locations[Group As])</f>
        <v>Lucy's Mill Bridge</v>
      </c>
      <c r="H897" t="e" vm="2">
        <f>_xlfn.XLOOKUP(AllDataCorrected[[#This Row],[Site Name]],LocationsKey[Site Name],LocationsKey[District])</f>
        <v>#VALUE!</v>
      </c>
      <c r="I897" t="e" vm="7">
        <f>_xlfn.XLOOKUP(AllDataCorrected[[#This Row],[Site Name]],LocationsKey[Site Name],LocationsKey[Town])</f>
        <v>#VALUE!</v>
      </c>
      <c r="J897" t="str">
        <f>_xlfn.XLOOKUP(AllDataCorrected[[#This Row],[Site Name]],LocationsKey[Site Name], LocationsKey[Waterway])</f>
        <v>Avon</v>
      </c>
      <c r="K897" t="s">
        <v>216</v>
      </c>
      <c r="L897">
        <f>_xlfn.XLOOKUP(AllDataCorrected[[#This Row],[Site Name]],Tables!$B$12:$B$78, Tables!C$12:C$78)</f>
        <v>52.183699000000011</v>
      </c>
      <c r="M897">
        <f>_xlfn.XLOOKUP(AllDataCorrected[[#This Row],[Site Name]],Tables!$B$12:$B$78, Tables!D$12:D$78)</f>
        <v>-1.7078160000000004</v>
      </c>
      <c r="N897" t="s">
        <v>29</v>
      </c>
      <c r="P897">
        <v>17.3</v>
      </c>
      <c r="Q897">
        <v>5</v>
      </c>
      <c r="R897" t="str">
        <f>IF(AllDataCorrected[[#This Row],[Nitrate (PPM)]]&gt;2, "4. Very high (&gt;2ppm)", IF(AllDataCorrected[[#This Row],[Nitrate (PPM)]]&gt;1, "3. High (1-2ppm)", IF(AllDataCorrected[[#This Row],[Nitrate (PPM)]]&gt;0.5, "2. Some evidence (0.5-1ppm)", IF(AllDataCorrected[[#This Row],[Nitrate (PPM)]]&gt;=0, "1. No evidence (&lt;0.5ppm)"))))</f>
        <v>4. Very high (&gt;2ppm)</v>
      </c>
      <c r="S897">
        <v>0.51</v>
      </c>
      <c r="T8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7">
        <v>0.7</v>
      </c>
    </row>
    <row r="898" spans="1:22" x14ac:dyDescent="0.25">
      <c r="A898" t="s">
        <v>1214</v>
      </c>
      <c r="B898" s="2">
        <v>45448</v>
      </c>
      <c r="C898" t="str" cm="1">
        <f t="array" ref="C8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8">
        <f>YEAR(AllDataCorrected[[#This Row],[Date]])</f>
        <v>2024</v>
      </c>
      <c r="E898" s="1">
        <v>0.50277777777777777</v>
      </c>
      <c r="F8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8" t="str">
        <f>_xlfn.XLOOKUP(AllDataCorrected[[#This Row],[Location Name]], Locations[Location Name],Locations[Group As])</f>
        <v>Twyning Fleet</v>
      </c>
      <c r="H898" t="e" vm="1">
        <f>_xlfn.XLOOKUP(AllDataCorrected[[#This Row],[Site Name]],LocationsKey[Site Name],LocationsKey[District])</f>
        <v>#VALUE!</v>
      </c>
      <c r="I898" t="str">
        <f>_xlfn.XLOOKUP(AllDataCorrected[[#This Row],[Site Name]],LocationsKey[Site Name],LocationsKey[Town])</f>
        <v>Twyning Green</v>
      </c>
      <c r="J898" t="str">
        <f>_xlfn.XLOOKUP(AllDataCorrected[[#This Row],[Site Name]],LocationsKey[Site Name], LocationsKey[Waterway])</f>
        <v>Avon</v>
      </c>
      <c r="K898" t="s">
        <v>54</v>
      </c>
      <c r="L898">
        <f>_xlfn.XLOOKUP(AllDataCorrected[[#This Row],[Site Name]],Tables!$B$12:$B$78, Tables!C$12:C$78)</f>
        <v>52.027190153846163</v>
      </c>
      <c r="M898">
        <f>_xlfn.XLOOKUP(AllDataCorrected[[#This Row],[Site Name]],Tables!$B$12:$B$78, Tables!D$12:D$78)</f>
        <v>-2.1406086923076924</v>
      </c>
      <c r="N898" t="s">
        <v>29</v>
      </c>
      <c r="O898">
        <v>9120</v>
      </c>
      <c r="P898">
        <v>17.8</v>
      </c>
      <c r="Q898">
        <v>7</v>
      </c>
      <c r="R898" t="str">
        <f>IF(AllDataCorrected[[#This Row],[Nitrate (PPM)]]&gt;2, "4. Very high (&gt;2ppm)", IF(AllDataCorrected[[#This Row],[Nitrate (PPM)]]&gt;1, "3. High (1-2ppm)", IF(AllDataCorrected[[#This Row],[Nitrate (PPM)]]&gt;0.5, "2. Some evidence (0.5-1ppm)", IF(AllDataCorrected[[#This Row],[Nitrate (PPM)]]&gt;=0, "1. No evidence (&lt;0.5ppm)"))))</f>
        <v>4. Very high (&gt;2ppm)</v>
      </c>
      <c r="S898">
        <v>0.67</v>
      </c>
      <c r="T8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8">
        <v>0</v>
      </c>
    </row>
    <row r="899" spans="1:22" x14ac:dyDescent="0.25">
      <c r="A899" t="s">
        <v>1212</v>
      </c>
      <c r="B899" s="2">
        <v>45448</v>
      </c>
      <c r="C899" t="str" cm="1">
        <f t="array" ref="C8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9">
        <f>YEAR(AllDataCorrected[[#This Row],[Date]])</f>
        <v>2024</v>
      </c>
      <c r="E899" s="1">
        <v>0.59375</v>
      </c>
      <c r="F8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9" t="str">
        <f>_xlfn.XLOOKUP(AllDataCorrected[[#This Row],[Location Name]], Locations[Location Name],Locations[Group As])</f>
        <v>Alveston Weir</v>
      </c>
      <c r="H899" t="e" vm="2">
        <f>_xlfn.XLOOKUP(AllDataCorrected[[#This Row],[Site Name]],LocationsKey[Site Name],LocationsKey[District])</f>
        <v>#VALUE!</v>
      </c>
      <c r="I899" t="e" vm="13">
        <f>_xlfn.XLOOKUP(AllDataCorrected[[#This Row],[Site Name]],LocationsKey[Site Name],LocationsKey[Town])</f>
        <v>#VALUE!</v>
      </c>
      <c r="J899" t="str">
        <f>_xlfn.XLOOKUP(AllDataCorrected[[#This Row],[Site Name]],LocationsKey[Site Name], LocationsKey[Waterway])</f>
        <v>Avon</v>
      </c>
      <c r="K899" t="s">
        <v>286</v>
      </c>
      <c r="L899">
        <f>_xlfn.XLOOKUP(AllDataCorrected[[#This Row],[Site Name]],Tables!$B$12:$B$78, Tables!C$12:C$78)</f>
        <v>52.212366690476216</v>
      </c>
      <c r="M899">
        <f>_xlfn.XLOOKUP(AllDataCorrected[[#This Row],[Site Name]],Tables!$B$12:$B$78, Tables!D$12:D$78)</f>
        <v>-1.6602567619047619</v>
      </c>
      <c r="N899" t="s">
        <v>29</v>
      </c>
      <c r="O899">
        <v>826</v>
      </c>
      <c r="P899">
        <v>16.3</v>
      </c>
      <c r="Q899">
        <v>0</v>
      </c>
      <c r="R89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899">
        <v>0.8</v>
      </c>
      <c r="T8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9">
        <v>0</v>
      </c>
      <c r="V899" t="s">
        <v>1213</v>
      </c>
    </row>
    <row r="900" spans="1:22" x14ac:dyDescent="0.25">
      <c r="A900" t="s">
        <v>1215</v>
      </c>
      <c r="B900" s="2">
        <v>45448</v>
      </c>
      <c r="C900" t="str" cm="1">
        <f t="array" ref="C9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0">
        <f>YEAR(AllDataCorrected[[#This Row],[Date]])</f>
        <v>2024</v>
      </c>
      <c r="E900" s="1">
        <v>0.60138888888888886</v>
      </c>
      <c r="F9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0" t="str">
        <f>_xlfn.XLOOKUP(AllDataCorrected[[#This Row],[Location Name]], Locations[Location Name],Locations[Group As])</f>
        <v>Swiffen Bank</v>
      </c>
      <c r="H900" t="e" vm="2">
        <f>_xlfn.XLOOKUP(AllDataCorrected[[#This Row],[Site Name]],LocationsKey[Site Name],LocationsKey[District])</f>
        <v>#VALUE!</v>
      </c>
      <c r="I900" t="e" vm="13">
        <f>_xlfn.XLOOKUP(AllDataCorrected[[#This Row],[Site Name]],LocationsKey[Site Name],LocationsKey[Town])</f>
        <v>#VALUE!</v>
      </c>
      <c r="J900" t="str">
        <f>_xlfn.XLOOKUP(AllDataCorrected[[#This Row],[Site Name]],LocationsKey[Site Name], LocationsKey[Waterway])</f>
        <v>Avon</v>
      </c>
      <c r="K900" t="s">
        <v>284</v>
      </c>
      <c r="L900">
        <f>_xlfn.XLOOKUP(AllDataCorrected[[#This Row],[Site Name]],Tables!$B$12:$B$78, Tables!C$12:C$78)</f>
        <v>52.206446825000015</v>
      </c>
      <c r="M900">
        <f>_xlfn.XLOOKUP(AllDataCorrected[[#This Row],[Site Name]],Tables!$B$12:$B$78, Tables!D$12:D$78)</f>
        <v>-1.6541684000000003</v>
      </c>
      <c r="N900" t="s">
        <v>29</v>
      </c>
      <c r="O900">
        <v>826</v>
      </c>
      <c r="P900">
        <v>16.3</v>
      </c>
      <c r="Q900">
        <v>5</v>
      </c>
      <c r="R900" t="str">
        <f>IF(AllDataCorrected[[#This Row],[Nitrate (PPM)]]&gt;2, "4. Very high (&gt;2ppm)", IF(AllDataCorrected[[#This Row],[Nitrate (PPM)]]&gt;1, "3. High (1-2ppm)", IF(AllDataCorrected[[#This Row],[Nitrate (PPM)]]&gt;0.5, "2. Some evidence (0.5-1ppm)", IF(AllDataCorrected[[#This Row],[Nitrate (PPM)]]&gt;=0, "1. No evidence (&lt;0.5ppm)"))))</f>
        <v>4. Very high (&gt;2ppm)</v>
      </c>
      <c r="S900">
        <v>0.8</v>
      </c>
      <c r="T9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0">
        <v>0</v>
      </c>
    </row>
    <row r="901" spans="1:22" x14ac:dyDescent="0.25">
      <c r="A901" t="s">
        <v>1210</v>
      </c>
      <c r="B901" s="2">
        <v>45448</v>
      </c>
      <c r="C901" t="str" cm="1">
        <f t="array" ref="C9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1">
        <f>YEAR(AllDataCorrected[[#This Row],[Date]])</f>
        <v>2024</v>
      </c>
      <c r="E901" s="1">
        <v>0.72916666666666663</v>
      </c>
      <c r="F9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1" t="str">
        <f>_xlfn.XLOOKUP(AllDataCorrected[[#This Row],[Location Name]], Locations[Location Name],Locations[Group As])</f>
        <v>Stour Newbold Mill</v>
      </c>
      <c r="H901" t="e" vm="2">
        <f>_xlfn.XLOOKUP(AllDataCorrected[[#This Row],[Site Name]],LocationsKey[Site Name],LocationsKey[District])</f>
        <v>#VALUE!</v>
      </c>
      <c r="I901" t="e" vm="8">
        <f>_xlfn.XLOOKUP(AllDataCorrected[[#This Row],[Site Name]],LocationsKey[Site Name],LocationsKey[Town])</f>
        <v>#VALUE!</v>
      </c>
      <c r="J901" t="str">
        <f>_xlfn.XLOOKUP(AllDataCorrected[[#This Row],[Site Name]],LocationsKey[Site Name], LocationsKey[Waterway])</f>
        <v>Stour</v>
      </c>
      <c r="K901" t="s">
        <v>140</v>
      </c>
      <c r="L901">
        <f>_xlfn.XLOOKUP(AllDataCorrected[[#This Row],[Site Name]],Tables!$B$12:$B$78, Tables!C$12:C$78)</f>
        <v>52.113052370370362</v>
      </c>
      <c r="M901">
        <f>_xlfn.XLOOKUP(AllDataCorrected[[#This Row],[Site Name]],Tables!$B$12:$B$78, Tables!D$12:D$78)</f>
        <v>-1.6333685185185185</v>
      </c>
      <c r="N901" t="s">
        <v>29</v>
      </c>
      <c r="O901">
        <v>645</v>
      </c>
      <c r="P901">
        <v>17.8</v>
      </c>
      <c r="Q901">
        <v>2</v>
      </c>
      <c r="R901" t="str">
        <f>IF(AllDataCorrected[[#This Row],[Nitrate (PPM)]]&gt;2, "4. Very high (&gt;2ppm)", IF(AllDataCorrected[[#This Row],[Nitrate (PPM)]]&gt;1, "3. High (1-2ppm)", IF(AllDataCorrected[[#This Row],[Nitrate (PPM)]]&gt;0.5, "2. Some evidence (0.5-1ppm)", IF(AllDataCorrected[[#This Row],[Nitrate (PPM)]]&gt;=0, "1. No evidence (&lt;0.5ppm)"))))</f>
        <v>3. High (1-2ppm)</v>
      </c>
      <c r="S901">
        <v>0.45</v>
      </c>
      <c r="T9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1">
        <v>2.5</v>
      </c>
      <c r="V901" t="s">
        <v>1211</v>
      </c>
    </row>
    <row r="902" spans="1:22" x14ac:dyDescent="0.25">
      <c r="A902" t="s">
        <v>1217</v>
      </c>
      <c r="B902" s="2">
        <v>45449</v>
      </c>
      <c r="C902" t="str" cm="1">
        <f t="array" ref="C9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2">
        <f>YEAR(AllDataCorrected[[#This Row],[Date]])</f>
        <v>2024</v>
      </c>
      <c r="E902" s="1">
        <v>0.34722222222222221</v>
      </c>
      <c r="F9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2" t="str">
        <f>_xlfn.XLOOKUP(AllDataCorrected[[#This Row],[Location Name]], Locations[Location Name],Locations[Group As])</f>
        <v>Swilgate</v>
      </c>
      <c r="H902" t="e" vm="1">
        <f>_xlfn.XLOOKUP(AllDataCorrected[[#This Row],[Site Name]],LocationsKey[Site Name],LocationsKey[District])</f>
        <v>#VALUE!</v>
      </c>
      <c r="I902" t="e" vm="1">
        <f>_xlfn.XLOOKUP(AllDataCorrected[[#This Row],[Site Name]],LocationsKey[Site Name],LocationsKey[Town])</f>
        <v>#VALUE!</v>
      </c>
      <c r="J902" t="str">
        <f>_xlfn.XLOOKUP(AllDataCorrected[[#This Row],[Site Name]],LocationsKey[Site Name], LocationsKey[Waterway])</f>
        <v>Swilgate</v>
      </c>
      <c r="K902" t="s">
        <v>84</v>
      </c>
      <c r="L902">
        <f>_xlfn.XLOOKUP(AllDataCorrected[[#This Row],[Site Name]],Tables!$B$12:$B$78, Tables!C$12:C$78)</f>
        <v>51.9885442</v>
      </c>
      <c r="M902">
        <f>_xlfn.XLOOKUP(AllDataCorrected[[#This Row],[Site Name]],Tables!$B$12:$B$78, Tables!D$12:D$78)</f>
        <v>-2.1639010000000001</v>
      </c>
      <c r="N902" t="s">
        <v>23</v>
      </c>
      <c r="O902">
        <v>918</v>
      </c>
      <c r="P902">
        <v>14</v>
      </c>
      <c r="Q902">
        <v>4</v>
      </c>
      <c r="R902" t="str">
        <f>IF(AllDataCorrected[[#This Row],[Nitrate (PPM)]]&gt;2, "4. Very high (&gt;2ppm)", IF(AllDataCorrected[[#This Row],[Nitrate (PPM)]]&gt;1, "3. High (1-2ppm)", IF(AllDataCorrected[[#This Row],[Nitrate (PPM)]]&gt;0.5, "2. Some evidence (0.5-1ppm)", IF(AllDataCorrected[[#This Row],[Nitrate (PPM)]]&gt;=0, "1. No evidence (&lt;0.5ppm)"))))</f>
        <v>4. Very high (&gt;2ppm)</v>
      </c>
      <c r="S902">
        <v>0.68</v>
      </c>
      <c r="T9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2">
        <v>0</v>
      </c>
    </row>
    <row r="903" spans="1:22" x14ac:dyDescent="0.25">
      <c r="A903" t="s">
        <v>1216</v>
      </c>
      <c r="B903" s="2">
        <v>45449</v>
      </c>
      <c r="C903" t="str" cm="1">
        <f t="array" ref="C9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3">
        <f>YEAR(AllDataCorrected[[#This Row],[Date]])</f>
        <v>2024</v>
      </c>
      <c r="E903" s="1">
        <v>0.78472222222222221</v>
      </c>
      <c r="F9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03" t="str">
        <f>_xlfn.XLOOKUP(AllDataCorrected[[#This Row],[Location Name]], Locations[Location Name],Locations[Group As])</f>
        <v>Preston-on-Stour River Bridge</v>
      </c>
      <c r="H903" t="e" vm="2">
        <f>_xlfn.XLOOKUP(AllDataCorrected[[#This Row],[Site Name]],LocationsKey[Site Name],LocationsKey[District])</f>
        <v>#VALUE!</v>
      </c>
      <c r="I903" t="e" vm="9">
        <f>_xlfn.XLOOKUP(AllDataCorrected[[#This Row],[Site Name]],LocationsKey[Site Name],LocationsKey[Town])</f>
        <v>#VALUE!</v>
      </c>
      <c r="J903" t="str">
        <f>_xlfn.XLOOKUP(AllDataCorrected[[#This Row],[Site Name]],LocationsKey[Site Name], LocationsKey[Waterway])</f>
        <v>Stour</v>
      </c>
      <c r="K903" t="s">
        <v>163</v>
      </c>
      <c r="L903">
        <f>_xlfn.XLOOKUP(AllDataCorrected[[#This Row],[Site Name]],Tables!$B$12:$B$78, Tables!C$12:C$78)</f>
        <v>52.146529500000007</v>
      </c>
      <c r="M903">
        <f>_xlfn.XLOOKUP(AllDataCorrected[[#This Row],[Site Name]],Tables!$B$12:$B$78, Tables!D$12:D$78)</f>
        <v>-1.6996899999999999</v>
      </c>
      <c r="N903" t="s">
        <v>29</v>
      </c>
      <c r="O903">
        <v>644</v>
      </c>
      <c r="P903">
        <v>15.6</v>
      </c>
      <c r="Q903">
        <v>6</v>
      </c>
      <c r="R903" t="str">
        <f>IF(AllDataCorrected[[#This Row],[Nitrate (PPM)]]&gt;2, "4. Very high (&gt;2ppm)", IF(AllDataCorrected[[#This Row],[Nitrate (PPM)]]&gt;1, "3. High (1-2ppm)", IF(AllDataCorrected[[#This Row],[Nitrate (PPM)]]&gt;0.5, "2. Some evidence (0.5-1ppm)", IF(AllDataCorrected[[#This Row],[Nitrate (PPM)]]&gt;=0, "1. No evidence (&lt;0.5ppm)"))))</f>
        <v>4. Very high (&gt;2ppm)</v>
      </c>
      <c r="S903">
        <v>0.27</v>
      </c>
      <c r="T9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3">
        <v>1</v>
      </c>
    </row>
    <row r="904" spans="1:22" x14ac:dyDescent="0.25">
      <c r="A904" t="s">
        <v>1224</v>
      </c>
      <c r="B904" s="2">
        <v>45450</v>
      </c>
      <c r="C904" t="str" cm="1">
        <f t="array" ref="C9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4">
        <f>YEAR(AllDataCorrected[[#This Row],[Date]])</f>
        <v>2024</v>
      </c>
      <c r="E904" s="1">
        <v>0.33888888888888891</v>
      </c>
      <c r="F9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4" t="str">
        <f>_xlfn.XLOOKUP(AllDataCorrected[[#This Row],[Location Name]], Locations[Location Name],Locations[Group As])</f>
        <v>Lower Lode</v>
      </c>
      <c r="H904" t="e" vm="1">
        <f>_xlfn.XLOOKUP(AllDataCorrected[[#This Row],[Site Name]],LocationsKey[Site Name],LocationsKey[District])</f>
        <v>#VALUE!</v>
      </c>
      <c r="I904" t="e" vm="1">
        <f>_xlfn.XLOOKUP(AllDataCorrected[[#This Row],[Site Name]],LocationsKey[Site Name],LocationsKey[Town])</f>
        <v>#VALUE!</v>
      </c>
      <c r="J904" t="str">
        <f>_xlfn.XLOOKUP(AllDataCorrected[[#This Row],[Site Name]],LocationsKey[Site Name], LocationsKey[Waterway])</f>
        <v>Avon</v>
      </c>
      <c r="K904" t="s">
        <v>592</v>
      </c>
      <c r="L904">
        <f>_xlfn.XLOOKUP(AllDataCorrected[[#This Row],[Site Name]],Tables!$B$12:$B$78, Tables!C$12:C$78)</f>
        <v>51.984954782608689</v>
      </c>
      <c r="M904">
        <f>_xlfn.XLOOKUP(AllDataCorrected[[#This Row],[Site Name]],Tables!$B$12:$B$78, Tables!D$12:D$78)</f>
        <v>-2.1744283478260868</v>
      </c>
      <c r="N904" t="s">
        <v>29</v>
      </c>
      <c r="O904">
        <v>8150</v>
      </c>
      <c r="P904">
        <v>16.8</v>
      </c>
      <c r="Q904">
        <v>10</v>
      </c>
      <c r="R904" t="str">
        <f>IF(AllDataCorrected[[#This Row],[Nitrate (PPM)]]&gt;2, "4. Very high (&gt;2ppm)", IF(AllDataCorrected[[#This Row],[Nitrate (PPM)]]&gt;1, "3. High (1-2ppm)", IF(AllDataCorrected[[#This Row],[Nitrate (PPM)]]&gt;0.5, "2. Some evidence (0.5-1ppm)", IF(AllDataCorrected[[#This Row],[Nitrate (PPM)]]&gt;=0, "1. No evidence (&lt;0.5ppm)"))))</f>
        <v>4. Very high (&gt;2ppm)</v>
      </c>
      <c r="S904">
        <v>0.6</v>
      </c>
      <c r="T9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4">
        <v>-1</v>
      </c>
    </row>
    <row r="905" spans="1:22" x14ac:dyDescent="0.25">
      <c r="A905" t="s">
        <v>1222</v>
      </c>
      <c r="B905" s="2">
        <v>45450</v>
      </c>
      <c r="C905" t="str" cm="1">
        <f t="array" ref="C9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5">
        <f>YEAR(AllDataCorrected[[#This Row],[Date]])</f>
        <v>2024</v>
      </c>
      <c r="E905" s="1">
        <v>0.4375</v>
      </c>
      <c r="F9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5" t="str">
        <f>_xlfn.XLOOKUP(AllDataCorrected[[#This Row],[Location Name]], Locations[Location Name],Locations[Group As])</f>
        <v>Swillgate TNR 2nd bridge</v>
      </c>
      <c r="H905" t="e" vm="1">
        <f>_xlfn.XLOOKUP(AllDataCorrected[[#This Row],[Site Name]],LocationsKey[Site Name],LocationsKey[District])</f>
        <v>#VALUE!</v>
      </c>
      <c r="I905" t="e" vm="1">
        <f>_xlfn.XLOOKUP(AllDataCorrected[[#This Row],[Site Name]],LocationsKey[Site Name],LocationsKey[Town])</f>
        <v>#VALUE!</v>
      </c>
      <c r="J905" t="str">
        <f>_xlfn.XLOOKUP(AllDataCorrected[[#This Row],[Site Name]],LocationsKey[Site Name], LocationsKey[Waterway])</f>
        <v>Swilgate</v>
      </c>
      <c r="K905" t="s">
        <v>1223</v>
      </c>
      <c r="L905">
        <f>_xlfn.XLOOKUP(AllDataCorrected[[#This Row],[Site Name]],Tables!$B$12:$B$78, Tables!C$12:C$78)</f>
        <v>51.980561000000002</v>
      </c>
      <c r="M905">
        <f>_xlfn.XLOOKUP(AllDataCorrected[[#This Row],[Site Name]],Tables!$B$12:$B$78, Tables!D$12:D$78)</f>
        <v>-2.150067</v>
      </c>
      <c r="N905" t="s">
        <v>23</v>
      </c>
      <c r="O905">
        <v>851</v>
      </c>
      <c r="P905">
        <v>15.3</v>
      </c>
      <c r="Q905">
        <v>8</v>
      </c>
      <c r="R905" t="str">
        <f>IF(AllDataCorrected[[#This Row],[Nitrate (PPM)]]&gt;2, "4. Very high (&gt;2ppm)", IF(AllDataCorrected[[#This Row],[Nitrate (PPM)]]&gt;1, "3. High (1-2ppm)", IF(AllDataCorrected[[#This Row],[Nitrate (PPM)]]&gt;0.5, "2. Some evidence (0.5-1ppm)", IF(AllDataCorrected[[#This Row],[Nitrate (PPM)]]&gt;=0, "1. No evidence (&lt;0.5ppm)"))))</f>
        <v>4. Very high (&gt;2ppm)</v>
      </c>
      <c r="S905">
        <v>0.7</v>
      </c>
      <c r="T9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5">
        <v>0</v>
      </c>
    </row>
    <row r="906" spans="1:22" x14ac:dyDescent="0.25">
      <c r="A906" t="s">
        <v>1220</v>
      </c>
      <c r="B906" s="2">
        <v>45450</v>
      </c>
      <c r="C906" t="str" cm="1">
        <f t="array" ref="C9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6">
        <f>YEAR(AllDataCorrected[[#This Row],[Date]])</f>
        <v>2024</v>
      </c>
      <c r="E906" s="1">
        <v>0.50416666666666665</v>
      </c>
      <c r="F9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6" t="str">
        <f>_xlfn.XLOOKUP(AllDataCorrected[[#This Row],[Location Name]], Locations[Location Name],Locations[Group As])</f>
        <v>Walcot Lane, Bow Brook Ford</v>
      </c>
      <c r="H906" t="e" vm="17">
        <f>_xlfn.XLOOKUP(AllDataCorrected[[#This Row],[Site Name]],LocationsKey[Site Name],LocationsKey[District])</f>
        <v>#VALUE!</v>
      </c>
      <c r="I906" t="e" vm="18">
        <f>_xlfn.XLOOKUP(AllDataCorrected[[#This Row],[Site Name]],LocationsKey[Site Name],LocationsKey[Town])</f>
        <v>#VALUE!</v>
      </c>
      <c r="J906" t="str">
        <f>_xlfn.XLOOKUP(AllDataCorrected[[#This Row],[Site Name]],LocationsKey[Site Name], LocationsKey[Waterway])</f>
        <v>Bow Brook</v>
      </c>
      <c r="K906" t="s">
        <v>732</v>
      </c>
      <c r="L906">
        <f>_xlfn.XLOOKUP(AllDataCorrected[[#This Row],[Site Name]],Tables!$B$12:$B$78, Tables!C$12:C$78)</f>
        <v>52.130499999999998</v>
      </c>
      <c r="M906">
        <f>_xlfn.XLOOKUP(AllDataCorrected[[#This Row],[Site Name]],Tables!$B$12:$B$78, Tables!D$12:D$78)</f>
        <v>-2.0787</v>
      </c>
      <c r="N906" t="s">
        <v>23</v>
      </c>
      <c r="O906">
        <v>119</v>
      </c>
      <c r="P906">
        <v>15.6</v>
      </c>
      <c r="Q906">
        <v>5</v>
      </c>
      <c r="R906" t="str">
        <f>IF(AllDataCorrected[[#This Row],[Nitrate (PPM)]]&gt;2, "4. Very high (&gt;2ppm)", IF(AllDataCorrected[[#This Row],[Nitrate (PPM)]]&gt;1, "3. High (1-2ppm)", IF(AllDataCorrected[[#This Row],[Nitrate (PPM)]]&gt;0.5, "2. Some evidence (0.5-1ppm)", IF(AllDataCorrected[[#This Row],[Nitrate (PPM)]]&gt;=0, "1. No evidence (&lt;0.5ppm)"))))</f>
        <v>4. Very high (&gt;2ppm)</v>
      </c>
      <c r="S906">
        <v>1.26</v>
      </c>
      <c r="T9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6">
        <v>0.2</v>
      </c>
      <c r="V906" t="s">
        <v>1221</v>
      </c>
    </row>
    <row r="907" spans="1:22" x14ac:dyDescent="0.25">
      <c r="A907" t="s">
        <v>1219</v>
      </c>
      <c r="B907" s="2">
        <v>45450</v>
      </c>
      <c r="C907" t="str" cm="1">
        <f t="array" ref="C9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7">
        <f>YEAR(AllDataCorrected[[#This Row],[Date]])</f>
        <v>2024</v>
      </c>
      <c r="E907" s="1">
        <v>0.57708333333333328</v>
      </c>
      <c r="F9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7" t="str">
        <f>_xlfn.XLOOKUP(AllDataCorrected[[#This Row],[Location Name]], Locations[Location Name],Locations[Group As])</f>
        <v>Black Bear</v>
      </c>
      <c r="H907" t="e" vm="1">
        <f>_xlfn.XLOOKUP(AllDataCorrected[[#This Row],[Site Name]],LocationsKey[Site Name],LocationsKey[District])</f>
        <v>#VALUE!</v>
      </c>
      <c r="I907" t="e" vm="1">
        <f>_xlfn.XLOOKUP(AllDataCorrected[[#This Row],[Site Name]],LocationsKey[Site Name],LocationsKey[Town])</f>
        <v>#VALUE!</v>
      </c>
      <c r="J907" t="str">
        <f>_xlfn.XLOOKUP(AllDataCorrected[[#This Row],[Site Name]],LocationsKey[Site Name], LocationsKey[Waterway])</f>
        <v>Avon</v>
      </c>
      <c r="K907" t="s">
        <v>1045</v>
      </c>
      <c r="L907">
        <f>_xlfn.XLOOKUP(AllDataCorrected[[#This Row],[Site Name]],Tables!$B$12:$B$78, Tables!C$12:C$78)</f>
        <v>51.997435214285723</v>
      </c>
      <c r="M907">
        <f>_xlfn.XLOOKUP(AllDataCorrected[[#This Row],[Site Name]],Tables!$B$12:$B$78, Tables!D$12:D$78)</f>
        <v>-2.1562056785714288</v>
      </c>
      <c r="N907" t="s">
        <v>23</v>
      </c>
      <c r="O907">
        <v>922</v>
      </c>
      <c r="P907">
        <v>18</v>
      </c>
      <c r="Q907">
        <v>9</v>
      </c>
      <c r="R907" t="str">
        <f>IF(AllDataCorrected[[#This Row],[Nitrate (PPM)]]&gt;2, "4. Very high (&gt;2ppm)", IF(AllDataCorrected[[#This Row],[Nitrate (PPM)]]&gt;1, "3. High (1-2ppm)", IF(AllDataCorrected[[#This Row],[Nitrate (PPM)]]&gt;0.5, "2. Some evidence (0.5-1ppm)", IF(AllDataCorrected[[#This Row],[Nitrate (PPM)]]&gt;=0, "1. No evidence (&lt;0.5ppm)"))))</f>
        <v>4. Very high (&gt;2ppm)</v>
      </c>
      <c r="S907">
        <v>1.81</v>
      </c>
      <c r="T9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7">
        <v>0</v>
      </c>
    </row>
    <row r="908" spans="1:22" x14ac:dyDescent="0.25">
      <c r="A908" t="s">
        <v>1218</v>
      </c>
      <c r="B908" s="2">
        <v>45450</v>
      </c>
      <c r="C908" t="str" cm="1">
        <f t="array" ref="C9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8">
        <f>YEAR(AllDataCorrected[[#This Row],[Date]])</f>
        <v>2024</v>
      </c>
      <c r="E908" s="1">
        <v>0.70833333333333337</v>
      </c>
      <c r="F9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8" t="str">
        <f>_xlfn.XLOOKUP(AllDataCorrected[[#This Row],[Location Name]], Locations[Location Name],Locations[Group As])</f>
        <v>Stour Willington</v>
      </c>
      <c r="H908" t="e" vm="2">
        <f>_xlfn.XLOOKUP(AllDataCorrected[[#This Row],[Site Name]],LocationsKey[Site Name],LocationsKey[District])</f>
        <v>#VALUE!</v>
      </c>
      <c r="I908" t="str">
        <f>_xlfn.XLOOKUP(AllDataCorrected[[#This Row],[Site Name]],LocationsKey[Site Name],LocationsKey[Town])</f>
        <v>Willington</v>
      </c>
      <c r="J908" t="str">
        <f>_xlfn.XLOOKUP(AllDataCorrected[[#This Row],[Site Name]],LocationsKey[Site Name], LocationsKey[Waterway])</f>
        <v>Stour</v>
      </c>
      <c r="K908" t="s">
        <v>517</v>
      </c>
      <c r="L908">
        <f>_xlfn.XLOOKUP(AllDataCorrected[[#This Row],[Site Name]],Tables!$B$12:$B$78, Tables!C$12:C$78)</f>
        <v>52.053154375000005</v>
      </c>
      <c r="M908">
        <f>_xlfn.XLOOKUP(AllDataCorrected[[#This Row],[Site Name]],Tables!$B$12:$B$78, Tables!D$12:D$78)</f>
        <v>-1.6191991562500001</v>
      </c>
      <c r="N908" t="s">
        <v>23</v>
      </c>
      <c r="O908">
        <v>614</v>
      </c>
      <c r="P908">
        <v>15.7</v>
      </c>
      <c r="Q908">
        <v>2</v>
      </c>
      <c r="R908" t="str">
        <f>IF(AllDataCorrected[[#This Row],[Nitrate (PPM)]]&gt;2, "4. Very high (&gt;2ppm)", IF(AllDataCorrected[[#This Row],[Nitrate (PPM)]]&gt;1, "3. High (1-2ppm)", IF(AllDataCorrected[[#This Row],[Nitrate (PPM)]]&gt;0.5, "2. Some evidence (0.5-1ppm)", IF(AllDataCorrected[[#This Row],[Nitrate (PPM)]]&gt;=0, "1. No evidence (&lt;0.5ppm)"))))</f>
        <v>3. High (1-2ppm)</v>
      </c>
      <c r="S908">
        <v>0.33</v>
      </c>
      <c r="T9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8">
        <v>0.5</v>
      </c>
    </row>
    <row r="909" spans="1:22" x14ac:dyDescent="0.25">
      <c r="A909" t="s">
        <v>1227</v>
      </c>
      <c r="B909" s="2">
        <v>45451</v>
      </c>
      <c r="C909" t="str" cm="1">
        <f t="array" ref="C9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9">
        <f>YEAR(AllDataCorrected[[#This Row],[Date]])</f>
        <v>2024</v>
      </c>
      <c r="E909" s="1">
        <v>0.39583333333333331</v>
      </c>
      <c r="F9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9" t="str">
        <f>_xlfn.XLOOKUP(AllDataCorrected[[#This Row],[Location Name]], Locations[Location Name],Locations[Group As])</f>
        <v>Stratford RSC</v>
      </c>
      <c r="H909" t="e" vm="2">
        <f>_xlfn.XLOOKUP(AllDataCorrected[[#This Row],[Site Name]],LocationsKey[Site Name],LocationsKey[District])</f>
        <v>#VALUE!</v>
      </c>
      <c r="I909" t="e" vm="7">
        <f>_xlfn.XLOOKUP(AllDataCorrected[[#This Row],[Site Name]],LocationsKey[Site Name],LocationsKey[Town])</f>
        <v>#VALUE!</v>
      </c>
      <c r="J909" t="str">
        <f>_xlfn.XLOOKUP(AllDataCorrected[[#This Row],[Site Name]],LocationsKey[Site Name], LocationsKey[Waterway])</f>
        <v>Avon</v>
      </c>
      <c r="K909" t="s">
        <v>1228</v>
      </c>
      <c r="L909">
        <f>_xlfn.XLOOKUP(AllDataCorrected[[#This Row],[Site Name]],Tables!$B$12:$B$78, Tables!C$12:C$78)</f>
        <v>52.1907</v>
      </c>
      <c r="M909">
        <f>_xlfn.XLOOKUP(AllDataCorrected[[#This Row],[Site Name]],Tables!$B$12:$B$78, Tables!D$12:D$78)</f>
        <v>-1.7032</v>
      </c>
      <c r="N909" t="s">
        <v>1229</v>
      </c>
      <c r="O909">
        <v>726</v>
      </c>
      <c r="P909">
        <v>17.600000000000001</v>
      </c>
      <c r="Q909">
        <v>20</v>
      </c>
      <c r="R909" t="str">
        <f>IF(AllDataCorrected[[#This Row],[Nitrate (PPM)]]&gt;2, "4. Very high (&gt;2ppm)", IF(AllDataCorrected[[#This Row],[Nitrate (PPM)]]&gt;1, "3. High (1-2ppm)", IF(AllDataCorrected[[#This Row],[Nitrate (PPM)]]&gt;0.5, "2. Some evidence (0.5-1ppm)", IF(AllDataCorrected[[#This Row],[Nitrate (PPM)]]&gt;=0, "1. No evidence (&lt;0.5ppm)"))))</f>
        <v>4. Very high (&gt;2ppm)</v>
      </c>
      <c r="S909">
        <v>0.51</v>
      </c>
      <c r="T9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9">
        <v>0</v>
      </c>
      <c r="V909" t="s">
        <v>1230</v>
      </c>
    </row>
    <row r="910" spans="1:22" x14ac:dyDescent="0.25">
      <c r="A910" t="s">
        <v>1232</v>
      </c>
      <c r="B910" s="2">
        <v>45451</v>
      </c>
      <c r="C910" t="str" cm="1">
        <f t="array" ref="C9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0">
        <f>YEAR(AllDataCorrected[[#This Row],[Date]])</f>
        <v>2024</v>
      </c>
      <c r="E910" s="1">
        <v>0.4236111111111111</v>
      </c>
      <c r="F9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0" t="str">
        <f>_xlfn.XLOOKUP(AllDataCorrected[[#This Row],[Location Name]], Locations[Location Name],Locations[Group As])</f>
        <v>Piddle Brook Wyre Piddle Bridge</v>
      </c>
      <c r="H910" t="e" vm="17">
        <f>_xlfn.XLOOKUP(AllDataCorrected[[#This Row],[Site Name]],LocationsKey[Site Name],LocationsKey[District])</f>
        <v>#VALUE!</v>
      </c>
      <c r="I910" t="e" vm="20">
        <f>_xlfn.XLOOKUP(AllDataCorrected[[#This Row],[Site Name]],LocationsKey[Site Name],LocationsKey[Town])</f>
        <v>#VALUE!</v>
      </c>
      <c r="J910" t="str">
        <f>_xlfn.XLOOKUP(AllDataCorrected[[#This Row],[Site Name]],LocationsKey[Site Name], LocationsKey[Waterway])</f>
        <v>Piddle Brook</v>
      </c>
      <c r="K910" t="s">
        <v>744</v>
      </c>
      <c r="L910">
        <f>_xlfn.XLOOKUP(AllDataCorrected[[#This Row],[Site Name]],Tables!$B$12:$B$78, Tables!C$12:C$78)</f>
        <v>52.126401720000004</v>
      </c>
      <c r="M910">
        <f>_xlfn.XLOOKUP(AllDataCorrected[[#This Row],[Site Name]],Tables!$B$12:$B$78, Tables!D$12:D$78)</f>
        <v>-2.0565162000000003</v>
      </c>
      <c r="N910" t="s">
        <v>23</v>
      </c>
      <c r="O910">
        <v>1530</v>
      </c>
      <c r="P910">
        <v>13.8</v>
      </c>
      <c r="Q910">
        <v>10</v>
      </c>
      <c r="R910" t="str">
        <f>IF(AllDataCorrected[[#This Row],[Nitrate (PPM)]]&gt;2, "4. Very high (&gt;2ppm)", IF(AllDataCorrected[[#This Row],[Nitrate (PPM)]]&gt;1, "3. High (1-2ppm)", IF(AllDataCorrected[[#This Row],[Nitrate (PPM)]]&gt;0.5, "2. Some evidence (0.5-1ppm)", IF(AllDataCorrected[[#This Row],[Nitrate (PPM)]]&gt;=0, "1. No evidence (&lt;0.5ppm)"))))</f>
        <v>4. Very high (&gt;2ppm)</v>
      </c>
      <c r="S910">
        <v>0.75</v>
      </c>
      <c r="T9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0">
        <v>0.18</v>
      </c>
      <c r="V910" t="s">
        <v>1233</v>
      </c>
    </row>
    <row r="911" spans="1:22" x14ac:dyDescent="0.25">
      <c r="A911" t="s">
        <v>1237</v>
      </c>
      <c r="B911" s="2">
        <v>45451</v>
      </c>
      <c r="C911" t="str" cm="1">
        <f t="array" ref="C9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1">
        <f>YEAR(AllDataCorrected[[#This Row],[Date]])</f>
        <v>2024</v>
      </c>
      <c r="E911" s="1">
        <v>0.4513888888888889</v>
      </c>
      <c r="F9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1" t="str">
        <f>_xlfn.XLOOKUP(AllDataCorrected[[#This Row],[Location Name]], Locations[Location Name],Locations[Group As])</f>
        <v>Pitch 16</v>
      </c>
      <c r="H911" t="e" vm="2">
        <f>_xlfn.XLOOKUP(AllDataCorrected[[#This Row],[Site Name]],LocationsKey[Site Name],LocationsKey[District])</f>
        <v>#VALUE!</v>
      </c>
      <c r="I911" t="e" vm="7">
        <f>_xlfn.XLOOKUP(AllDataCorrected[[#This Row],[Site Name]],LocationsKey[Site Name],LocationsKey[Town])</f>
        <v>#VALUE!</v>
      </c>
      <c r="J911" t="str">
        <f>_xlfn.XLOOKUP(AllDataCorrected[[#This Row],[Site Name]],LocationsKey[Site Name], LocationsKey[Waterway])</f>
        <v>Avon</v>
      </c>
      <c r="K911" t="s">
        <v>69</v>
      </c>
      <c r="L911">
        <f>_xlfn.XLOOKUP(AllDataCorrected[[#This Row],[Site Name]],Tables!$B$12:$B$78, Tables!C$12:C$78)</f>
        <v>52.17355294117646</v>
      </c>
      <c r="M911">
        <f>_xlfn.XLOOKUP(AllDataCorrected[[#This Row],[Site Name]],Tables!$B$12:$B$78, Tables!D$12:D$78)</f>
        <v>-1.7433199411764708</v>
      </c>
      <c r="N911" t="s">
        <v>29</v>
      </c>
      <c r="O911">
        <v>939</v>
      </c>
      <c r="P911">
        <v>17.399999999999999</v>
      </c>
      <c r="Q911">
        <v>9</v>
      </c>
      <c r="R911" t="str">
        <f>IF(AllDataCorrected[[#This Row],[Nitrate (PPM)]]&gt;2, "4. Very high (&gt;2ppm)", IF(AllDataCorrected[[#This Row],[Nitrate (PPM)]]&gt;1, "3. High (1-2ppm)", IF(AllDataCorrected[[#This Row],[Nitrate (PPM)]]&gt;0.5, "2. Some evidence (0.5-1ppm)", IF(AllDataCorrected[[#This Row],[Nitrate (PPM)]]&gt;=0, "1. No evidence (&lt;0.5ppm)"))))</f>
        <v>4. Very high (&gt;2ppm)</v>
      </c>
      <c r="S911">
        <v>0.59</v>
      </c>
      <c r="T9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1">
        <v>0.68</v>
      </c>
    </row>
    <row r="912" spans="1:22" x14ac:dyDescent="0.25">
      <c r="A912" t="s">
        <v>1234</v>
      </c>
      <c r="B912" s="2">
        <v>45451</v>
      </c>
      <c r="C912" t="str" cm="1">
        <f t="array" ref="C9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2">
        <f>YEAR(AllDataCorrected[[#This Row],[Date]])</f>
        <v>2024</v>
      </c>
      <c r="E912" s="1">
        <v>0.45833333333333331</v>
      </c>
      <c r="F9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2" t="str">
        <f>_xlfn.XLOOKUP(AllDataCorrected[[#This Row],[Location Name]], Locations[Location Name],Locations[Group As])</f>
        <v>Avon Smiths Meadow Wyre Piddle</v>
      </c>
      <c r="H912" t="e" vm="17">
        <f>_xlfn.XLOOKUP(AllDataCorrected[[#This Row],[Site Name]],LocationsKey[Site Name],LocationsKey[District])</f>
        <v>#VALUE!</v>
      </c>
      <c r="I912" t="e" vm="20">
        <f>_xlfn.XLOOKUP(AllDataCorrected[[#This Row],[Site Name]],LocationsKey[Site Name],LocationsKey[Town])</f>
        <v>#VALUE!</v>
      </c>
      <c r="J912" t="str">
        <f>_xlfn.XLOOKUP(AllDataCorrected[[#This Row],[Site Name]],LocationsKey[Site Name], LocationsKey[Waterway])</f>
        <v>Avon</v>
      </c>
      <c r="K912" t="s">
        <v>741</v>
      </c>
      <c r="L912">
        <f>_xlfn.XLOOKUP(AllDataCorrected[[#This Row],[Site Name]],Tables!$B$12:$B$78, Tables!C$12:C$78)</f>
        <v>52.123045961538452</v>
      </c>
      <c r="M912">
        <f>_xlfn.XLOOKUP(AllDataCorrected[[#This Row],[Site Name]],Tables!$B$12:$B$78, Tables!D$12:D$78)</f>
        <v>-2.0572161923076919</v>
      </c>
      <c r="N912" t="s">
        <v>23</v>
      </c>
      <c r="O912">
        <v>936</v>
      </c>
      <c r="P912">
        <v>15.8</v>
      </c>
      <c r="Q912">
        <v>10</v>
      </c>
      <c r="R912" t="str">
        <f>IF(AllDataCorrected[[#This Row],[Nitrate (PPM)]]&gt;2, "4. Very high (&gt;2ppm)", IF(AllDataCorrected[[#This Row],[Nitrate (PPM)]]&gt;1, "3. High (1-2ppm)", IF(AllDataCorrected[[#This Row],[Nitrate (PPM)]]&gt;0.5, "2. Some evidence (0.5-1ppm)", IF(AllDataCorrected[[#This Row],[Nitrate (PPM)]]&gt;=0, "1. No evidence (&lt;0.5ppm)"))))</f>
        <v>4. Very high (&gt;2ppm)</v>
      </c>
      <c r="S912">
        <v>0.78</v>
      </c>
      <c r="T9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2">
        <v>0.59</v>
      </c>
      <c r="V912" t="s">
        <v>1235</v>
      </c>
    </row>
    <row r="913" spans="1:22" x14ac:dyDescent="0.25">
      <c r="A913" t="s">
        <v>1236</v>
      </c>
      <c r="B913" s="2">
        <v>45451</v>
      </c>
      <c r="C913" t="str" cm="1">
        <f t="array" ref="C9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3">
        <f>YEAR(AllDataCorrected[[#This Row],[Date]])</f>
        <v>2024</v>
      </c>
      <c r="E913" s="1">
        <v>0.47638888888888886</v>
      </c>
      <c r="F9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3" t="str">
        <f>_xlfn.XLOOKUP(AllDataCorrected[[#This Row],[Location Name]], Locations[Location Name],Locations[Group As])</f>
        <v>Avonbank Drive</v>
      </c>
      <c r="H913" t="e" vm="2">
        <f>_xlfn.XLOOKUP(AllDataCorrected[[#This Row],[Site Name]],LocationsKey[Site Name],LocationsKey[District])</f>
        <v>#VALUE!</v>
      </c>
      <c r="I913" t="e" vm="7">
        <f>_xlfn.XLOOKUP(AllDataCorrected[[#This Row],[Site Name]],LocationsKey[Site Name],LocationsKey[Town])</f>
        <v>#VALUE!</v>
      </c>
      <c r="J913" t="str">
        <f>_xlfn.XLOOKUP(AllDataCorrected[[#This Row],[Site Name]],LocationsKey[Site Name], LocationsKey[Waterway])</f>
        <v>Avon</v>
      </c>
      <c r="K913" t="s">
        <v>325</v>
      </c>
      <c r="L913">
        <f>_xlfn.XLOOKUP(AllDataCorrected[[#This Row],[Site Name]],Tables!$B$12:$B$78, Tables!C$12:C$78)</f>
        <v>52.177054657142854</v>
      </c>
      <c r="M913">
        <f>_xlfn.XLOOKUP(AllDataCorrected[[#This Row],[Site Name]],Tables!$B$12:$B$78, Tables!D$12:D$78)</f>
        <v>-1.7358669999999996</v>
      </c>
      <c r="N913" t="s">
        <v>66</v>
      </c>
      <c r="O913">
        <v>943</v>
      </c>
      <c r="P913">
        <v>17.2</v>
      </c>
      <c r="Q913">
        <v>10</v>
      </c>
      <c r="R913" t="str">
        <f>IF(AllDataCorrected[[#This Row],[Nitrate (PPM)]]&gt;2, "4. Very high (&gt;2ppm)", IF(AllDataCorrected[[#This Row],[Nitrate (PPM)]]&gt;1, "3. High (1-2ppm)", IF(AllDataCorrected[[#This Row],[Nitrate (PPM)]]&gt;0.5, "2. Some evidence (0.5-1ppm)", IF(AllDataCorrected[[#This Row],[Nitrate (PPM)]]&gt;=0, "1. No evidence (&lt;0.5ppm)"))))</f>
        <v>4. Very high (&gt;2ppm)</v>
      </c>
      <c r="S913">
        <v>0.67</v>
      </c>
      <c r="T9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3">
        <v>0.68</v>
      </c>
    </row>
    <row r="914" spans="1:22" x14ac:dyDescent="0.25">
      <c r="A914" t="s">
        <v>1231</v>
      </c>
      <c r="B914" s="2">
        <v>45451</v>
      </c>
      <c r="C914" t="str" cm="1">
        <f t="array" ref="C9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4">
        <f>YEAR(AllDataCorrected[[#This Row],[Date]])</f>
        <v>2024</v>
      </c>
      <c r="E914" s="1">
        <v>0.6875</v>
      </c>
      <c r="F9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4" t="str">
        <f>_xlfn.XLOOKUP(AllDataCorrected[[#This Row],[Location Name]], Locations[Location Name],Locations[Group As])</f>
        <v>Carrant Bredon Rd</v>
      </c>
      <c r="H914" t="e" vm="1">
        <f>_xlfn.XLOOKUP(AllDataCorrected[[#This Row],[Site Name]],LocationsKey[Site Name],LocationsKey[District])</f>
        <v>#VALUE!</v>
      </c>
      <c r="I914" t="e" vm="1">
        <f>_xlfn.XLOOKUP(AllDataCorrected[[#This Row],[Site Name]],LocationsKey[Site Name],LocationsKey[Town])</f>
        <v>#VALUE!</v>
      </c>
      <c r="J914" t="str">
        <f>_xlfn.XLOOKUP(AllDataCorrected[[#This Row],[Site Name]],LocationsKey[Site Name], LocationsKey[Waterway])</f>
        <v>Carrant</v>
      </c>
      <c r="K914" t="s">
        <v>600</v>
      </c>
      <c r="L914">
        <f>_xlfn.XLOOKUP(AllDataCorrected[[#This Row],[Site Name]],Tables!$B$12:$B$78, Tables!C$12:C$78)</f>
        <v>51.996416567567572</v>
      </c>
      <c r="M914">
        <f>_xlfn.XLOOKUP(AllDataCorrected[[#This Row],[Site Name]],Tables!$B$12:$B$78, Tables!D$12:D$78)</f>
        <v>-2.1556626756756749</v>
      </c>
      <c r="N914" t="s">
        <v>23</v>
      </c>
      <c r="O914">
        <v>749</v>
      </c>
      <c r="P914">
        <v>15.5</v>
      </c>
      <c r="Q914">
        <v>5</v>
      </c>
      <c r="R914" t="str">
        <f>IF(AllDataCorrected[[#This Row],[Nitrate (PPM)]]&gt;2, "4. Very high (&gt;2ppm)", IF(AllDataCorrected[[#This Row],[Nitrate (PPM)]]&gt;1, "3. High (1-2ppm)", IF(AllDataCorrected[[#This Row],[Nitrate (PPM)]]&gt;0.5, "2. Some evidence (0.5-1ppm)", IF(AllDataCorrected[[#This Row],[Nitrate (PPM)]]&gt;=0, "1. No evidence (&lt;0.5ppm)"))))</f>
        <v>4. Very high (&gt;2ppm)</v>
      </c>
      <c r="S914">
        <v>0.36</v>
      </c>
      <c r="T9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4">
        <v>0</v>
      </c>
    </row>
    <row r="915" spans="1:22" x14ac:dyDescent="0.25">
      <c r="A915" t="s">
        <v>1226</v>
      </c>
      <c r="B915" s="2">
        <v>45451</v>
      </c>
      <c r="C915" t="str" cm="1">
        <f t="array" ref="C9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5">
        <f>YEAR(AllDataCorrected[[#This Row],[Date]])</f>
        <v>2024</v>
      </c>
      <c r="E915" s="1">
        <v>0.72916666666666663</v>
      </c>
      <c r="F9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5" t="str">
        <f>_xlfn.XLOOKUP(AllDataCorrected[[#This Row],[Location Name]], Locations[Location Name],Locations[Group As])</f>
        <v>Sherbourne Brook 1</v>
      </c>
      <c r="H915" t="e" vm="2">
        <f>_xlfn.XLOOKUP(AllDataCorrected[[#This Row],[Site Name]],LocationsKey[Site Name],LocationsKey[District])</f>
        <v>#VALUE!</v>
      </c>
      <c r="I915" t="e" vm="16">
        <f>_xlfn.XLOOKUP(AllDataCorrected[[#This Row],[Site Name]],LocationsKey[Site Name],LocationsKey[Town])</f>
        <v>#VALUE!</v>
      </c>
      <c r="J915" t="str">
        <f>_xlfn.XLOOKUP(AllDataCorrected[[#This Row],[Site Name]],LocationsKey[Site Name], LocationsKey[Waterway])</f>
        <v>Sherbourne Brook</v>
      </c>
      <c r="K915" t="s">
        <v>570</v>
      </c>
      <c r="L915">
        <f>_xlfn.XLOOKUP(AllDataCorrected[[#This Row],[Site Name]],Tables!$B$12:$B$78, Tables!C$12:C$78)</f>
        <v>52.252500000000033</v>
      </c>
      <c r="M915">
        <f>_xlfn.XLOOKUP(AllDataCorrected[[#This Row],[Site Name]],Tables!$B$12:$B$78, Tables!D$12:D$78)</f>
        <v>-1.6685000000000012</v>
      </c>
      <c r="N915" t="s">
        <v>23</v>
      </c>
      <c r="O915">
        <v>1070</v>
      </c>
      <c r="P915">
        <v>14.3</v>
      </c>
      <c r="Q915">
        <v>10</v>
      </c>
      <c r="R915" t="str">
        <f>IF(AllDataCorrected[[#This Row],[Nitrate (PPM)]]&gt;2, "4. Very high (&gt;2ppm)", IF(AllDataCorrected[[#This Row],[Nitrate (PPM)]]&gt;1, "3. High (1-2ppm)", IF(AllDataCorrected[[#This Row],[Nitrate (PPM)]]&gt;0.5, "2. Some evidence (0.5-1ppm)", IF(AllDataCorrected[[#This Row],[Nitrate (PPM)]]&gt;=0, "1. No evidence (&lt;0.5ppm)"))))</f>
        <v>4. Very high (&gt;2ppm)</v>
      </c>
      <c r="S915">
        <v>0.37</v>
      </c>
      <c r="T9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5">
        <v>0.2</v>
      </c>
    </row>
    <row r="916" spans="1:22" x14ac:dyDescent="0.25">
      <c r="A916" t="s">
        <v>1225</v>
      </c>
      <c r="B916" s="2">
        <v>45451</v>
      </c>
      <c r="C916" t="str" cm="1">
        <f t="array" ref="C9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6">
        <f>YEAR(AllDataCorrected[[#This Row],[Date]])</f>
        <v>2024</v>
      </c>
      <c r="E916" s="1">
        <v>0.73958333333333337</v>
      </c>
      <c r="F9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6" t="str">
        <f>_xlfn.XLOOKUP(AllDataCorrected[[#This Row],[Location Name]], Locations[Location Name],Locations[Group As])</f>
        <v>Bell Brook 1</v>
      </c>
      <c r="H916" t="e" vm="2">
        <f>_xlfn.XLOOKUP(AllDataCorrected[[#This Row],[Site Name]],LocationsKey[Site Name],LocationsKey[District])</f>
        <v>#VALUE!</v>
      </c>
      <c r="I916" t="e" vm="15">
        <f>_xlfn.XLOOKUP(AllDataCorrected[[#This Row],[Site Name]],LocationsKey[Site Name],LocationsKey[Town])</f>
        <v>#VALUE!</v>
      </c>
      <c r="J916" t="str">
        <f>_xlfn.XLOOKUP(AllDataCorrected[[#This Row],[Site Name]],LocationsKey[Site Name], LocationsKey[Waterway])</f>
        <v>Bell Brook</v>
      </c>
      <c r="K916" t="s">
        <v>534</v>
      </c>
      <c r="L916">
        <f>_xlfn.XLOOKUP(AllDataCorrected[[#This Row],[Site Name]],Tables!$B$12:$B$78, Tables!C$12:C$78)</f>
        <v>52.24489999999998</v>
      </c>
      <c r="M916">
        <f>_xlfn.XLOOKUP(AllDataCorrected[[#This Row],[Site Name]],Tables!$B$12:$B$78, Tables!D$12:D$78)</f>
        <v>-1.6617000000000013</v>
      </c>
      <c r="N916" t="s">
        <v>23</v>
      </c>
      <c r="O916">
        <v>821</v>
      </c>
      <c r="P916">
        <v>15.8</v>
      </c>
      <c r="Q916">
        <v>5</v>
      </c>
      <c r="R916" t="str">
        <f>IF(AllDataCorrected[[#This Row],[Nitrate (PPM)]]&gt;2, "4. Very high (&gt;2ppm)", IF(AllDataCorrected[[#This Row],[Nitrate (PPM)]]&gt;1, "3. High (1-2ppm)", IF(AllDataCorrected[[#This Row],[Nitrate (PPM)]]&gt;0.5, "2. Some evidence (0.5-1ppm)", IF(AllDataCorrected[[#This Row],[Nitrate (PPM)]]&gt;=0, "1. No evidence (&lt;0.5ppm)"))))</f>
        <v>4. Very high (&gt;2ppm)</v>
      </c>
      <c r="S916">
        <v>0.48</v>
      </c>
      <c r="T9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6">
        <v>0.2</v>
      </c>
    </row>
    <row r="917" spans="1:22" x14ac:dyDescent="0.25">
      <c r="A917" t="s">
        <v>1238</v>
      </c>
      <c r="B917" s="2">
        <v>45452</v>
      </c>
      <c r="C917" t="str" cm="1">
        <f t="array" ref="C9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7">
        <f>YEAR(AllDataCorrected[[#This Row],[Date]])</f>
        <v>2024</v>
      </c>
      <c r="E917" s="1">
        <v>0.82777777777777772</v>
      </c>
      <c r="F91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17" t="str">
        <f>_xlfn.XLOOKUP(AllDataCorrected[[#This Row],[Location Name]], Locations[Location Name],Locations[Group As])</f>
        <v>The Ford, Langley</v>
      </c>
      <c r="H917" t="e" vm="2">
        <f>_xlfn.XLOOKUP(AllDataCorrected[[#This Row],[Site Name]],LocationsKey[Site Name],LocationsKey[District])</f>
        <v>#VALUE!</v>
      </c>
      <c r="I917" t="str">
        <f>_xlfn.XLOOKUP(AllDataCorrected[[#This Row],[Site Name]],LocationsKey[Site Name],LocationsKey[Town])</f>
        <v>Langley</v>
      </c>
      <c r="J917" t="str">
        <f>_xlfn.XLOOKUP(AllDataCorrected[[#This Row],[Site Name]],LocationsKey[Site Name], LocationsKey[Waterway])</f>
        <v>Langley Ford</v>
      </c>
      <c r="K917" t="s">
        <v>557</v>
      </c>
      <c r="L917">
        <f>_xlfn.XLOOKUP(AllDataCorrected[[#This Row],[Site Name]],Tables!$B$12:$B$78, Tables!C$12:C$78)</f>
        <v>52.261724821428579</v>
      </c>
      <c r="M917">
        <f>_xlfn.XLOOKUP(AllDataCorrected[[#This Row],[Site Name]],Tables!$B$12:$B$78, Tables!D$12:D$78)</f>
        <v>-1.719408857142857</v>
      </c>
      <c r="N917" t="s">
        <v>29</v>
      </c>
      <c r="O917">
        <v>811</v>
      </c>
      <c r="P917">
        <v>12.5</v>
      </c>
      <c r="Q917">
        <v>5</v>
      </c>
      <c r="R917" t="str">
        <f>IF(AllDataCorrected[[#This Row],[Nitrate (PPM)]]&gt;2, "4. Very high (&gt;2ppm)", IF(AllDataCorrected[[#This Row],[Nitrate (PPM)]]&gt;1, "3. High (1-2ppm)", IF(AllDataCorrected[[#This Row],[Nitrate (PPM)]]&gt;0.5, "2. Some evidence (0.5-1ppm)", IF(AllDataCorrected[[#This Row],[Nitrate (PPM)]]&gt;=0, "1. No evidence (&lt;0.5ppm)"))))</f>
        <v>4. Very high (&gt;2ppm)</v>
      </c>
      <c r="S917">
        <v>0.56000000000000005</v>
      </c>
      <c r="T9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7">
        <v>0.15</v>
      </c>
    </row>
    <row r="918" spans="1:22" x14ac:dyDescent="0.25">
      <c r="A918" t="s">
        <v>1785</v>
      </c>
      <c r="B918" s="2">
        <v>45452</v>
      </c>
      <c r="C918" t="str" cm="1">
        <f t="array" ref="C9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8">
        <f>YEAR(AllDataCorrected[[#This Row],[Date]])</f>
        <v>2024</v>
      </c>
      <c r="F9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18" t="str">
        <f>_xlfn.XLOOKUP(AllDataCorrected[[#This Row],[Location Name]], Locations[Location Name],Locations[Group As])</f>
        <v>Site 1  :  Middle Street</v>
      </c>
      <c r="H918" t="e" vm="2">
        <f>_xlfn.XLOOKUP(AllDataCorrected[[#This Row],[Site Name]],LocationsKey[Site Name],LocationsKey[District])</f>
        <v>#VALUE!</v>
      </c>
      <c r="I918" t="e" vm="11">
        <f>_xlfn.XLOOKUP(AllDataCorrected[[#This Row],[Site Name]],LocationsKey[Site Name],LocationsKey[Town])</f>
        <v>#VALUE!</v>
      </c>
      <c r="J918" t="str">
        <f>_xlfn.XLOOKUP(AllDataCorrected[[#This Row],[Site Name]],LocationsKey[Site Name], LocationsKey[Waterway])</f>
        <v>Fosseway Brook</v>
      </c>
      <c r="K918" t="s">
        <v>1859</v>
      </c>
      <c r="L918">
        <f>_xlfn.XLOOKUP(AllDataCorrected[[#This Row],[Site Name]],Tables!$B$12:$B$78, Tables!C$12:C$78)</f>
        <v>52.090077380952394</v>
      </c>
      <c r="M918">
        <f>_xlfn.XLOOKUP(AllDataCorrected[[#This Row],[Site Name]],Tables!$B$12:$B$78, Tables!D$12:D$78)</f>
        <v>-1.6926051666666673</v>
      </c>
      <c r="N918" t="s">
        <v>66</v>
      </c>
      <c r="O918">
        <v>640</v>
      </c>
      <c r="P918">
        <v>17.2</v>
      </c>
      <c r="Q918">
        <v>2</v>
      </c>
      <c r="R918" t="str">
        <f>IF(AllDataCorrected[[#This Row],[Nitrate (PPM)]]&gt;2, "4. Very high (&gt;2ppm)", IF(AllDataCorrected[[#This Row],[Nitrate (PPM)]]&gt;1, "3. High (1-2ppm)", IF(AllDataCorrected[[#This Row],[Nitrate (PPM)]]&gt;0.5, "2. Some evidence (0.5-1ppm)", IF(AllDataCorrected[[#This Row],[Nitrate (PPM)]]&gt;=0, "1. No evidence (&lt;0.5ppm)"))))</f>
        <v>3. High (1-2ppm)</v>
      </c>
      <c r="S918">
        <v>0.13</v>
      </c>
      <c r="T9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8">
        <v>0</v>
      </c>
      <c r="V918" t="s">
        <v>1918</v>
      </c>
    </row>
    <row r="919" spans="1:22" x14ac:dyDescent="0.25">
      <c r="A919" t="s">
        <v>1406</v>
      </c>
      <c r="B919" s="2">
        <v>45452</v>
      </c>
      <c r="C919" t="str" cm="1">
        <f t="array" ref="C9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9">
        <f>YEAR(AllDataCorrected[[#This Row],[Date]])</f>
        <v>2024</v>
      </c>
      <c r="F9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19" t="str">
        <f>_xlfn.XLOOKUP(AllDataCorrected[[#This Row],[Location Name]], Locations[Location Name],Locations[Group As])</f>
        <v>Site 1  :  Middle Street</v>
      </c>
      <c r="H919" t="e" vm="2">
        <f>_xlfn.XLOOKUP(AllDataCorrected[[#This Row],[Site Name]],LocationsKey[Site Name],LocationsKey[District])</f>
        <v>#VALUE!</v>
      </c>
      <c r="I919" t="e" vm="11">
        <f>_xlfn.XLOOKUP(AllDataCorrected[[#This Row],[Site Name]],LocationsKey[Site Name],LocationsKey[Town])</f>
        <v>#VALUE!</v>
      </c>
      <c r="J919" t="str">
        <f>_xlfn.XLOOKUP(AllDataCorrected[[#This Row],[Site Name]],LocationsKey[Site Name], LocationsKey[Waterway])</f>
        <v>Fosseway Brook</v>
      </c>
      <c r="K919" t="s">
        <v>1373</v>
      </c>
      <c r="L919">
        <f>_xlfn.XLOOKUP(AllDataCorrected[[#This Row],[Site Name]],Tables!$B$12:$B$78, Tables!C$12:C$78)</f>
        <v>52.090077380952394</v>
      </c>
      <c r="M919">
        <f>_xlfn.XLOOKUP(AllDataCorrected[[#This Row],[Site Name]],Tables!$B$12:$B$78, Tables!D$12:D$78)</f>
        <v>-1.6926051666666673</v>
      </c>
      <c r="N919" t="s">
        <v>66</v>
      </c>
      <c r="O919">
        <v>640</v>
      </c>
      <c r="P919">
        <v>17.2</v>
      </c>
      <c r="Q919">
        <v>2</v>
      </c>
      <c r="R919" t="str">
        <f>IF(AllDataCorrected[[#This Row],[Nitrate (PPM)]]&gt;2, "4. Very high (&gt;2ppm)", IF(AllDataCorrected[[#This Row],[Nitrate (PPM)]]&gt;1, "3. High (1-2ppm)", IF(AllDataCorrected[[#This Row],[Nitrate (PPM)]]&gt;0.5, "2. Some evidence (0.5-1ppm)", IF(AllDataCorrected[[#This Row],[Nitrate (PPM)]]&gt;=0, "1. No evidence (&lt;0.5ppm)"))))</f>
        <v>3. High (1-2ppm)</v>
      </c>
      <c r="S919">
        <v>0.13</v>
      </c>
      <c r="T9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919" t="s">
        <v>1407</v>
      </c>
    </row>
    <row r="920" spans="1:22" x14ac:dyDescent="0.25">
      <c r="A920" t="s">
        <v>1786</v>
      </c>
      <c r="B920" s="2">
        <v>45452</v>
      </c>
      <c r="C920" t="str" cm="1">
        <f t="array" ref="C9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0">
        <f>YEAR(AllDataCorrected[[#This Row],[Date]])</f>
        <v>2024</v>
      </c>
      <c r="F9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0" t="str">
        <f>_xlfn.XLOOKUP(AllDataCorrected[[#This Row],[Location Name]], Locations[Location Name],Locations[Group As])</f>
        <v>Site 2  :  Cross Leys culvert</v>
      </c>
      <c r="H920" t="e" vm="2">
        <f>_xlfn.XLOOKUP(AllDataCorrected[[#This Row],[Site Name]],LocationsKey[Site Name],LocationsKey[District])</f>
        <v>#VALUE!</v>
      </c>
      <c r="I920" t="e" vm="11">
        <f>_xlfn.XLOOKUP(AllDataCorrected[[#This Row],[Site Name]],LocationsKey[Site Name],LocationsKey[Town])</f>
        <v>#VALUE!</v>
      </c>
      <c r="J920" t="str">
        <f>_xlfn.XLOOKUP(AllDataCorrected[[#This Row],[Site Name]],LocationsKey[Site Name], LocationsKey[Waterway])</f>
        <v>Fosseway Brook</v>
      </c>
      <c r="K920" t="s">
        <v>1860</v>
      </c>
      <c r="L920">
        <f>_xlfn.XLOOKUP(AllDataCorrected[[#This Row],[Site Name]],Tables!$B$12:$B$78, Tables!C$12:C$78)</f>
        <v>52.092990199999988</v>
      </c>
      <c r="M920">
        <f>_xlfn.XLOOKUP(AllDataCorrected[[#This Row],[Site Name]],Tables!$B$12:$B$78, Tables!D$12:D$78)</f>
        <v>-1.6862810999999998</v>
      </c>
      <c r="N920" t="s">
        <v>66</v>
      </c>
      <c r="O920">
        <v>742</v>
      </c>
      <c r="P920">
        <v>13.3</v>
      </c>
      <c r="Q920">
        <v>2</v>
      </c>
      <c r="R920" t="str">
        <f>IF(AllDataCorrected[[#This Row],[Nitrate (PPM)]]&gt;2, "4. Very high (&gt;2ppm)", IF(AllDataCorrected[[#This Row],[Nitrate (PPM)]]&gt;1, "3. High (1-2ppm)", IF(AllDataCorrected[[#This Row],[Nitrate (PPM)]]&gt;0.5, "2. Some evidence (0.5-1ppm)", IF(AllDataCorrected[[#This Row],[Nitrate (PPM)]]&gt;=0, "1. No evidence (&lt;0.5ppm)"))))</f>
        <v>3. High (1-2ppm)</v>
      </c>
      <c r="S920">
        <v>0.59</v>
      </c>
      <c r="T9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0">
        <v>0</v>
      </c>
      <c r="V920" t="s">
        <v>1909</v>
      </c>
    </row>
    <row r="921" spans="1:22" x14ac:dyDescent="0.25">
      <c r="A921" t="s">
        <v>1405</v>
      </c>
      <c r="B921" s="2">
        <v>45452</v>
      </c>
      <c r="C921" t="str" cm="1">
        <f t="array" ref="C9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1">
        <f>YEAR(AllDataCorrected[[#This Row],[Date]])</f>
        <v>2024</v>
      </c>
      <c r="F92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1" t="str">
        <f>_xlfn.XLOOKUP(AllDataCorrected[[#This Row],[Location Name]], Locations[Location Name],Locations[Group As])</f>
        <v>Site 2  :  Cross Leys culvert</v>
      </c>
      <c r="H921" t="e" vm="2">
        <f>_xlfn.XLOOKUP(AllDataCorrected[[#This Row],[Site Name]],LocationsKey[Site Name],LocationsKey[District])</f>
        <v>#VALUE!</v>
      </c>
      <c r="I921" t="e" vm="11">
        <f>_xlfn.XLOOKUP(AllDataCorrected[[#This Row],[Site Name]],LocationsKey[Site Name],LocationsKey[Town])</f>
        <v>#VALUE!</v>
      </c>
      <c r="J921" t="str">
        <f>_xlfn.XLOOKUP(AllDataCorrected[[#This Row],[Site Name]],LocationsKey[Site Name], LocationsKey[Waterway])</f>
        <v>Fosseway Brook</v>
      </c>
      <c r="K921" t="s">
        <v>1371</v>
      </c>
      <c r="L921">
        <f>_xlfn.XLOOKUP(AllDataCorrected[[#This Row],[Site Name]],Tables!$B$12:$B$78, Tables!C$12:C$78)</f>
        <v>52.092990199999988</v>
      </c>
      <c r="M921">
        <f>_xlfn.XLOOKUP(AllDataCorrected[[#This Row],[Site Name]],Tables!$B$12:$B$78, Tables!D$12:D$78)</f>
        <v>-1.6862810999999998</v>
      </c>
      <c r="N921" t="s">
        <v>66</v>
      </c>
      <c r="O921">
        <v>742</v>
      </c>
      <c r="P921">
        <v>13.3</v>
      </c>
      <c r="Q921">
        <v>2</v>
      </c>
      <c r="R921" t="str">
        <f>IF(AllDataCorrected[[#This Row],[Nitrate (PPM)]]&gt;2, "4. Very high (&gt;2ppm)", IF(AllDataCorrected[[#This Row],[Nitrate (PPM)]]&gt;1, "3. High (1-2ppm)", IF(AllDataCorrected[[#This Row],[Nitrate (PPM)]]&gt;0.5, "2. Some evidence (0.5-1ppm)", IF(AllDataCorrected[[#This Row],[Nitrate (PPM)]]&gt;=0, "1. No evidence (&lt;0.5ppm)"))))</f>
        <v>3. High (1-2ppm)</v>
      </c>
      <c r="S921">
        <v>0.59</v>
      </c>
      <c r="T9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22" spans="1:22" x14ac:dyDescent="0.25">
      <c r="A922" t="s">
        <v>1787</v>
      </c>
      <c r="B922" s="2">
        <v>45452</v>
      </c>
      <c r="C922" t="str" cm="1">
        <f t="array" ref="C9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2">
        <f>YEAR(AllDataCorrected[[#This Row],[Date]])</f>
        <v>2024</v>
      </c>
      <c r="F92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2" t="str">
        <f>_xlfn.XLOOKUP(AllDataCorrected[[#This Row],[Location Name]], Locations[Location Name],Locations[Group As])</f>
        <v>Site 3  :  Severn Trent Water processing plant outflow</v>
      </c>
      <c r="H922" t="e" vm="2">
        <f>_xlfn.XLOOKUP(AllDataCorrected[[#This Row],[Site Name]],LocationsKey[Site Name],LocationsKey[District])</f>
        <v>#VALUE!</v>
      </c>
      <c r="I922" t="e" vm="11">
        <f>_xlfn.XLOOKUP(AllDataCorrected[[#This Row],[Site Name]],LocationsKey[Site Name],LocationsKey[Town])</f>
        <v>#VALUE!</v>
      </c>
      <c r="J922" t="str">
        <f>_xlfn.XLOOKUP(AllDataCorrected[[#This Row],[Site Name]],LocationsKey[Site Name], LocationsKey[Waterway])</f>
        <v>Fosseway Brook</v>
      </c>
      <c r="K922" t="s">
        <v>1861</v>
      </c>
      <c r="L922">
        <f>_xlfn.XLOOKUP(AllDataCorrected[[#This Row],[Site Name]],Tables!$B$12:$B$78, Tables!C$12:C$78)</f>
        <v>52.094341024390218</v>
      </c>
      <c r="M922">
        <f>_xlfn.XLOOKUP(AllDataCorrected[[#This Row],[Site Name]],Tables!$B$12:$B$78, Tables!D$12:D$78)</f>
        <v>-1.6731015853658531</v>
      </c>
      <c r="N922" t="s">
        <v>29</v>
      </c>
      <c r="O922">
        <v>923</v>
      </c>
      <c r="P922">
        <v>15.7</v>
      </c>
      <c r="Q922">
        <v>10</v>
      </c>
      <c r="R922" t="str">
        <f>IF(AllDataCorrected[[#This Row],[Nitrate (PPM)]]&gt;2, "4. Very high (&gt;2ppm)", IF(AllDataCorrected[[#This Row],[Nitrate (PPM)]]&gt;1, "3. High (1-2ppm)", IF(AllDataCorrected[[#This Row],[Nitrate (PPM)]]&gt;0.5, "2. Some evidence (0.5-1ppm)", IF(AllDataCorrected[[#This Row],[Nitrate (PPM)]]&gt;=0, "1. No evidence (&lt;0.5ppm)"))))</f>
        <v>4. Very high (&gt;2ppm)</v>
      </c>
      <c r="S922">
        <v>2.5</v>
      </c>
      <c r="T9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2">
        <v>0</v>
      </c>
      <c r="V922" t="s">
        <v>1910</v>
      </c>
    </row>
    <row r="923" spans="1:22" x14ac:dyDescent="0.25">
      <c r="A923" t="s">
        <v>1404</v>
      </c>
      <c r="B923" s="2">
        <v>45452</v>
      </c>
      <c r="C923" t="str" cm="1">
        <f t="array" ref="C9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3">
        <f>YEAR(AllDataCorrected[[#This Row],[Date]])</f>
        <v>2024</v>
      </c>
      <c r="F9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3" t="str">
        <f>_xlfn.XLOOKUP(AllDataCorrected[[#This Row],[Location Name]], Locations[Location Name],Locations[Group As])</f>
        <v>Site 3  :  Severn Trent Water processing plant outflow</v>
      </c>
      <c r="H923" t="e" vm="2">
        <f>_xlfn.XLOOKUP(AllDataCorrected[[#This Row],[Site Name]],LocationsKey[Site Name],LocationsKey[District])</f>
        <v>#VALUE!</v>
      </c>
      <c r="I923" t="e" vm="11">
        <f>_xlfn.XLOOKUP(AllDataCorrected[[#This Row],[Site Name]],LocationsKey[Site Name],LocationsKey[Town])</f>
        <v>#VALUE!</v>
      </c>
      <c r="J923" t="str">
        <f>_xlfn.XLOOKUP(AllDataCorrected[[#This Row],[Site Name]],LocationsKey[Site Name], LocationsKey[Waterway])</f>
        <v>Fosseway Brook</v>
      </c>
      <c r="K923" t="s">
        <v>1368</v>
      </c>
      <c r="L923">
        <f>_xlfn.XLOOKUP(AllDataCorrected[[#This Row],[Site Name]],Tables!$B$12:$B$78, Tables!C$12:C$78)</f>
        <v>52.094341024390218</v>
      </c>
      <c r="M923">
        <f>_xlfn.XLOOKUP(AllDataCorrected[[#This Row],[Site Name]],Tables!$B$12:$B$78, Tables!D$12:D$78)</f>
        <v>-1.6731015853658531</v>
      </c>
      <c r="N923" t="s">
        <v>29</v>
      </c>
      <c r="O923">
        <v>923</v>
      </c>
      <c r="P923">
        <v>15.7</v>
      </c>
      <c r="Q923">
        <v>10</v>
      </c>
      <c r="R923" t="str">
        <f>IF(AllDataCorrected[[#This Row],[Nitrate (PPM)]]&gt;2, "4. Very high (&gt;2ppm)", IF(AllDataCorrected[[#This Row],[Nitrate (PPM)]]&gt;1, "3. High (1-2ppm)", IF(AllDataCorrected[[#This Row],[Nitrate (PPM)]]&gt;0.5, "2. Some evidence (0.5-1ppm)", IF(AllDataCorrected[[#This Row],[Nitrate (PPM)]]&gt;=0, "1. No evidence (&lt;0.5ppm)"))))</f>
        <v>4. Very high (&gt;2ppm)</v>
      </c>
      <c r="S923">
        <v>2.5</v>
      </c>
      <c r="T9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24" spans="1:22" x14ac:dyDescent="0.25">
      <c r="A924" t="s">
        <v>1241</v>
      </c>
      <c r="B924" s="2">
        <v>45453</v>
      </c>
      <c r="C924" t="str" cm="1">
        <f t="array" ref="C9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4">
        <f>YEAR(AllDataCorrected[[#This Row],[Date]])</f>
        <v>2024</v>
      </c>
      <c r="E924" s="1">
        <v>0.73333333333333328</v>
      </c>
      <c r="F9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4" t="str">
        <f>_xlfn.XLOOKUP(AllDataCorrected[[#This Row],[Location Name]], Locations[Location Name],Locations[Group As])</f>
        <v>Stour Stretton-on-Fosse Village</v>
      </c>
      <c r="H924" t="e" vm="2">
        <f>_xlfn.XLOOKUP(AllDataCorrected[[#This Row],[Site Name]],LocationsKey[Site Name],LocationsKey[District])</f>
        <v>#VALUE!</v>
      </c>
      <c r="I924" t="e" vm="14">
        <f>_xlfn.XLOOKUP(AllDataCorrected[[#This Row],[Site Name]],LocationsKey[Site Name],LocationsKey[Town])</f>
        <v>#VALUE!</v>
      </c>
      <c r="J924" t="str">
        <f>_xlfn.XLOOKUP(AllDataCorrected[[#This Row],[Site Name]],LocationsKey[Site Name], LocationsKey[Waterway])</f>
        <v>Stour</v>
      </c>
      <c r="K924" t="s">
        <v>544</v>
      </c>
      <c r="L924">
        <f>_xlfn.XLOOKUP(AllDataCorrected[[#This Row],[Site Name]],Tables!$B$12:$B$78, Tables!C$12:C$78)</f>
        <v>52.046517558823524</v>
      </c>
      <c r="M924">
        <f>_xlfn.XLOOKUP(AllDataCorrected[[#This Row],[Site Name]],Tables!$B$12:$B$78, Tables!D$12:D$78)</f>
        <v>-1.6734143529411767</v>
      </c>
      <c r="N924" t="s">
        <v>66</v>
      </c>
      <c r="O924">
        <v>700</v>
      </c>
      <c r="P924">
        <v>12.7</v>
      </c>
      <c r="Q924">
        <v>2</v>
      </c>
      <c r="R924" t="str">
        <f>IF(AllDataCorrected[[#This Row],[Nitrate (PPM)]]&gt;2, "4. Very high (&gt;2ppm)", IF(AllDataCorrected[[#This Row],[Nitrate (PPM)]]&gt;1, "3. High (1-2ppm)", IF(AllDataCorrected[[#This Row],[Nitrate (PPM)]]&gt;0.5, "2. Some evidence (0.5-1ppm)", IF(AllDataCorrected[[#This Row],[Nitrate (PPM)]]&gt;=0, "1. No evidence (&lt;0.5ppm)"))))</f>
        <v>3. High (1-2ppm)</v>
      </c>
      <c r="S924">
        <v>2.5</v>
      </c>
      <c r="T9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4">
        <v>0.2</v>
      </c>
      <c r="V924" t="s">
        <v>1240</v>
      </c>
    </row>
    <row r="925" spans="1:22" x14ac:dyDescent="0.25">
      <c r="A925" t="s">
        <v>1239</v>
      </c>
      <c r="B925" s="2">
        <v>45453</v>
      </c>
      <c r="C925" t="str" cm="1">
        <f t="array" ref="C9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5">
        <f>YEAR(AllDataCorrected[[#This Row],[Date]])</f>
        <v>2024</v>
      </c>
      <c r="E925" s="1">
        <v>0.74513888888888891</v>
      </c>
      <c r="F9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5" t="str">
        <f>_xlfn.XLOOKUP(AllDataCorrected[[#This Row],[Location Name]], Locations[Location Name],Locations[Group As])</f>
        <v>Stour Stretton-on-Fosse Sewage Works</v>
      </c>
      <c r="H925" t="e" vm="2">
        <f>_xlfn.XLOOKUP(AllDataCorrected[[#This Row],[Site Name]],LocationsKey[Site Name],LocationsKey[District])</f>
        <v>#VALUE!</v>
      </c>
      <c r="I925" t="e" vm="14">
        <f>_xlfn.XLOOKUP(AllDataCorrected[[#This Row],[Site Name]],LocationsKey[Site Name],LocationsKey[Town])</f>
        <v>#VALUE!</v>
      </c>
      <c r="J925" t="str">
        <f>_xlfn.XLOOKUP(AllDataCorrected[[#This Row],[Site Name]],LocationsKey[Site Name], LocationsKey[Waterway])</f>
        <v>Stour</v>
      </c>
      <c r="K925" t="s">
        <v>335</v>
      </c>
      <c r="L925">
        <f>_xlfn.XLOOKUP(AllDataCorrected[[#This Row],[Site Name]],Tables!$B$12:$B$78, Tables!C$12:C$78)</f>
        <v>52.045653647058806</v>
      </c>
      <c r="M925">
        <f>_xlfn.XLOOKUP(AllDataCorrected[[#This Row],[Site Name]],Tables!$B$12:$B$78, Tables!D$12:D$78)</f>
        <v>-1.6719221470588235</v>
      </c>
      <c r="N925" t="s">
        <v>29</v>
      </c>
      <c r="O925">
        <v>823</v>
      </c>
      <c r="P925">
        <v>14.1</v>
      </c>
      <c r="Q925">
        <v>5</v>
      </c>
      <c r="R925" t="str">
        <f>IF(AllDataCorrected[[#This Row],[Nitrate (PPM)]]&gt;2, "4. Very high (&gt;2ppm)", IF(AllDataCorrected[[#This Row],[Nitrate (PPM)]]&gt;1, "3. High (1-2ppm)", IF(AllDataCorrected[[#This Row],[Nitrate (PPM)]]&gt;0.5, "2. Some evidence (0.5-1ppm)", IF(AllDataCorrected[[#This Row],[Nitrate (PPM)]]&gt;=0, "1. No evidence (&lt;0.5ppm)"))))</f>
        <v>4. Very high (&gt;2ppm)</v>
      </c>
      <c r="S925">
        <v>2.5</v>
      </c>
      <c r="T9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5">
        <v>0.3</v>
      </c>
      <c r="V925" t="s">
        <v>1240</v>
      </c>
    </row>
    <row r="926" spans="1:22" x14ac:dyDescent="0.25">
      <c r="A926" t="s">
        <v>1244</v>
      </c>
      <c r="B926" s="2">
        <v>45454</v>
      </c>
      <c r="C926" t="str" cm="1">
        <f t="array" ref="C9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6">
        <f>YEAR(AllDataCorrected[[#This Row],[Date]])</f>
        <v>2024</v>
      </c>
      <c r="E926" s="1">
        <v>0.44513888888888886</v>
      </c>
      <c r="F9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26" t="str">
        <f>_xlfn.XLOOKUP(AllDataCorrected[[#This Row],[Location Name]], Locations[Location Name],Locations[Group As])</f>
        <v>Carrant Mitton Path</v>
      </c>
      <c r="H926" t="e" vm="1">
        <f>_xlfn.XLOOKUP(AllDataCorrected[[#This Row],[Site Name]],LocationsKey[Site Name],LocationsKey[District])</f>
        <v>#VALUE!</v>
      </c>
      <c r="I926" t="e" vm="1">
        <f>_xlfn.XLOOKUP(AllDataCorrected[[#This Row],[Site Name]],LocationsKey[Site Name],LocationsKey[Town])</f>
        <v>#VALUE!</v>
      </c>
      <c r="J926" t="str">
        <f>_xlfn.XLOOKUP(AllDataCorrected[[#This Row],[Site Name]],LocationsKey[Site Name], LocationsKey[Waterway])</f>
        <v>Carrant</v>
      </c>
      <c r="K926" t="s">
        <v>958</v>
      </c>
      <c r="L926">
        <f>_xlfn.XLOOKUP(AllDataCorrected[[#This Row],[Site Name]],Tables!$B$12:$B$78, Tables!C$12:C$78)</f>
        <v>51.999946066666674</v>
      </c>
      <c r="M926">
        <f>_xlfn.XLOOKUP(AllDataCorrected[[#This Row],[Site Name]],Tables!$B$12:$B$78, Tables!D$12:D$78)</f>
        <v>-2.1414862000000006</v>
      </c>
      <c r="N926" t="s">
        <v>23</v>
      </c>
      <c r="O926">
        <v>707</v>
      </c>
      <c r="P926">
        <v>14.5</v>
      </c>
      <c r="Q926">
        <v>6</v>
      </c>
      <c r="R926" t="str">
        <f>IF(AllDataCorrected[[#This Row],[Nitrate (PPM)]]&gt;2, "4. Very high (&gt;2ppm)", IF(AllDataCorrected[[#This Row],[Nitrate (PPM)]]&gt;1, "3. High (1-2ppm)", IF(AllDataCorrected[[#This Row],[Nitrate (PPM)]]&gt;0.5, "2. Some evidence (0.5-1ppm)", IF(AllDataCorrected[[#This Row],[Nitrate (PPM)]]&gt;=0, "1. No evidence (&lt;0.5ppm)"))))</f>
        <v>4. Very high (&gt;2ppm)</v>
      </c>
      <c r="S926">
        <v>0.56000000000000005</v>
      </c>
      <c r="T9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6">
        <v>0</v>
      </c>
    </row>
    <row r="927" spans="1:22" x14ac:dyDescent="0.25">
      <c r="A927" t="s">
        <v>1243</v>
      </c>
      <c r="B927" s="2">
        <v>45454</v>
      </c>
      <c r="C927" t="str" cm="1">
        <f t="array" ref="C9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7">
        <f>YEAR(AllDataCorrected[[#This Row],[Date]])</f>
        <v>2024</v>
      </c>
      <c r="E927" s="1">
        <v>0.4597222222222222</v>
      </c>
      <c r="F9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27" t="str">
        <f>_xlfn.XLOOKUP(AllDataCorrected[[#This Row],[Location Name]], Locations[Location Name],Locations[Group As])</f>
        <v>Carrant M5 Bridge</v>
      </c>
      <c r="H927" t="e" vm="1">
        <f>_xlfn.XLOOKUP(AllDataCorrected[[#This Row],[Site Name]],LocationsKey[Site Name],LocationsKey[District])</f>
        <v>#VALUE!</v>
      </c>
      <c r="I927" t="e" vm="1">
        <f>_xlfn.XLOOKUP(AllDataCorrected[[#This Row],[Site Name]],LocationsKey[Site Name],LocationsKey[Town])</f>
        <v>#VALUE!</v>
      </c>
      <c r="J927" t="str">
        <f>_xlfn.XLOOKUP(AllDataCorrected[[#This Row],[Site Name]],LocationsKey[Site Name], LocationsKey[Waterway])</f>
        <v>Carrant</v>
      </c>
      <c r="K927" t="s">
        <v>960</v>
      </c>
      <c r="L927">
        <f>_xlfn.XLOOKUP(AllDataCorrected[[#This Row],[Site Name]],Tables!$B$12:$B$78, Tables!C$12:C$78)</f>
        <v>52.011600000000001</v>
      </c>
      <c r="M927">
        <f>_xlfn.XLOOKUP(AllDataCorrected[[#This Row],[Site Name]],Tables!$B$12:$B$78, Tables!D$12:D$78)</f>
        <v>-2.1206</v>
      </c>
      <c r="N927" t="s">
        <v>23</v>
      </c>
      <c r="O927">
        <v>779</v>
      </c>
      <c r="P927">
        <v>13.7</v>
      </c>
      <c r="Q927">
        <v>5</v>
      </c>
      <c r="R927" t="str">
        <f>IF(AllDataCorrected[[#This Row],[Nitrate (PPM)]]&gt;2, "4. Very high (&gt;2ppm)", IF(AllDataCorrected[[#This Row],[Nitrate (PPM)]]&gt;1, "3. High (1-2ppm)", IF(AllDataCorrected[[#This Row],[Nitrate (PPM)]]&gt;0.5, "2. Some evidence (0.5-1ppm)", IF(AllDataCorrected[[#This Row],[Nitrate (PPM)]]&gt;=0, "1. No evidence (&lt;0.5ppm)"))))</f>
        <v>4. Very high (&gt;2ppm)</v>
      </c>
      <c r="S927">
        <v>0.4</v>
      </c>
      <c r="T9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27">
        <v>0</v>
      </c>
    </row>
    <row r="928" spans="1:22" x14ac:dyDescent="0.25">
      <c r="A928" t="s">
        <v>1242</v>
      </c>
      <c r="B928" s="2">
        <v>45454</v>
      </c>
      <c r="C928" t="str" cm="1">
        <f t="array" ref="C9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8">
        <f>YEAR(AllDataCorrected[[#This Row],[Date]])</f>
        <v>2024</v>
      </c>
      <c r="E928" s="1">
        <v>0.61250000000000004</v>
      </c>
      <c r="F9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8" t="str">
        <f>_xlfn.XLOOKUP(AllDataCorrected[[#This Row],[Location Name]], Locations[Location Name],Locations[Group As])</f>
        <v>Abbey Mill</v>
      </c>
      <c r="H928" t="e" vm="1">
        <f>_xlfn.XLOOKUP(AllDataCorrected[[#This Row],[Site Name]],LocationsKey[Site Name],LocationsKey[District])</f>
        <v>#VALUE!</v>
      </c>
      <c r="I928" t="e" vm="1">
        <f>_xlfn.XLOOKUP(AllDataCorrected[[#This Row],[Site Name]],LocationsKey[Site Name],LocationsKey[Town])</f>
        <v>#VALUE!</v>
      </c>
      <c r="J928" t="str">
        <f>_xlfn.XLOOKUP(AllDataCorrected[[#This Row],[Site Name]],LocationsKey[Site Name], LocationsKey[Waterway])</f>
        <v>Avon</v>
      </c>
      <c r="K928" t="s">
        <v>25</v>
      </c>
      <c r="L928">
        <f>_xlfn.XLOOKUP(AllDataCorrected[[#This Row],[Site Name]],Tables!$B$12:$B$78, Tables!C$12:C$78)</f>
        <v>51.991389555555564</v>
      </c>
      <c r="M928">
        <f>_xlfn.XLOOKUP(AllDataCorrected[[#This Row],[Site Name]],Tables!$B$12:$B$78, Tables!D$12:D$78)</f>
        <v>-2.1620794000000005</v>
      </c>
      <c r="N928" t="s">
        <v>23</v>
      </c>
      <c r="O928">
        <v>979</v>
      </c>
      <c r="P928">
        <v>16.5</v>
      </c>
      <c r="Q928">
        <v>10</v>
      </c>
      <c r="R928" t="str">
        <f>IF(AllDataCorrected[[#This Row],[Nitrate (PPM)]]&gt;2, "4. Very high (&gt;2ppm)", IF(AllDataCorrected[[#This Row],[Nitrate (PPM)]]&gt;1, "3. High (1-2ppm)", IF(AllDataCorrected[[#This Row],[Nitrate (PPM)]]&gt;0.5, "2. Some evidence (0.5-1ppm)", IF(AllDataCorrected[[#This Row],[Nitrate (PPM)]]&gt;=0, "1. No evidence (&lt;0.5ppm)"))))</f>
        <v>4. Very high (&gt;2ppm)</v>
      </c>
      <c r="S928">
        <v>0.77</v>
      </c>
      <c r="T9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8">
        <v>0.6</v>
      </c>
    </row>
    <row r="929" spans="1:22" x14ac:dyDescent="0.25">
      <c r="A929" t="s">
        <v>1246</v>
      </c>
      <c r="B929" s="2">
        <v>45455</v>
      </c>
      <c r="C929" t="str" cm="1">
        <f t="array" ref="C9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9">
        <f>YEAR(AllDataCorrected[[#This Row],[Date]])</f>
        <v>2024</v>
      </c>
      <c r="E929" s="1">
        <v>0.59444444444444444</v>
      </c>
      <c r="F9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9" t="str">
        <f>_xlfn.XLOOKUP(AllDataCorrected[[#This Row],[Location Name]], Locations[Location Name],Locations[Group As])</f>
        <v>Alveston Weir</v>
      </c>
      <c r="H929" t="e" vm="2">
        <f>_xlfn.XLOOKUP(AllDataCorrected[[#This Row],[Site Name]],LocationsKey[Site Name],LocationsKey[District])</f>
        <v>#VALUE!</v>
      </c>
      <c r="I929" t="e" vm="13">
        <f>_xlfn.XLOOKUP(AllDataCorrected[[#This Row],[Site Name]],LocationsKey[Site Name],LocationsKey[Town])</f>
        <v>#VALUE!</v>
      </c>
      <c r="J929" t="str">
        <f>_xlfn.XLOOKUP(AllDataCorrected[[#This Row],[Site Name]],LocationsKey[Site Name], LocationsKey[Waterway])</f>
        <v>Avon</v>
      </c>
      <c r="K929" t="s">
        <v>286</v>
      </c>
      <c r="L929">
        <f>_xlfn.XLOOKUP(AllDataCorrected[[#This Row],[Site Name]],Tables!$B$12:$B$78, Tables!C$12:C$78)</f>
        <v>52.212366690476216</v>
      </c>
      <c r="M929">
        <f>_xlfn.XLOOKUP(AllDataCorrected[[#This Row],[Site Name]],Tables!$B$12:$B$78, Tables!D$12:D$78)</f>
        <v>-1.6602567619047619</v>
      </c>
      <c r="N929" t="s">
        <v>29</v>
      </c>
      <c r="O929">
        <v>858</v>
      </c>
      <c r="P929">
        <v>15.7</v>
      </c>
      <c r="Q929">
        <v>10</v>
      </c>
      <c r="R929" t="str">
        <f>IF(AllDataCorrected[[#This Row],[Nitrate (PPM)]]&gt;2, "4. Very high (&gt;2ppm)", IF(AllDataCorrected[[#This Row],[Nitrate (PPM)]]&gt;1, "3. High (1-2ppm)", IF(AllDataCorrected[[#This Row],[Nitrate (PPM)]]&gt;0.5, "2. Some evidence (0.5-1ppm)", IF(AllDataCorrected[[#This Row],[Nitrate (PPM)]]&gt;=0, "1. No evidence (&lt;0.5ppm)"))))</f>
        <v>4. Very high (&gt;2ppm)</v>
      </c>
      <c r="S929">
        <v>0.31</v>
      </c>
      <c r="T9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29">
        <v>0</v>
      </c>
      <c r="V929" t="s">
        <v>1247</v>
      </c>
    </row>
    <row r="930" spans="1:22" x14ac:dyDescent="0.25">
      <c r="A930" t="s">
        <v>1248</v>
      </c>
      <c r="B930" s="2">
        <v>45455</v>
      </c>
      <c r="C930" t="str" cm="1">
        <f t="array" ref="C9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0">
        <f>YEAR(AllDataCorrected[[#This Row],[Date]])</f>
        <v>2024</v>
      </c>
      <c r="E930" s="1">
        <v>0.60416666666666663</v>
      </c>
      <c r="F9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0" t="str">
        <f>_xlfn.XLOOKUP(AllDataCorrected[[#This Row],[Location Name]], Locations[Location Name],Locations[Group As])</f>
        <v>Swiffen Bank</v>
      </c>
      <c r="H930" t="e" vm="2">
        <f>_xlfn.XLOOKUP(AllDataCorrected[[#This Row],[Site Name]],LocationsKey[Site Name],LocationsKey[District])</f>
        <v>#VALUE!</v>
      </c>
      <c r="I930" t="e" vm="13">
        <f>_xlfn.XLOOKUP(AllDataCorrected[[#This Row],[Site Name]],LocationsKey[Site Name],LocationsKey[Town])</f>
        <v>#VALUE!</v>
      </c>
      <c r="J930" t="str">
        <f>_xlfn.XLOOKUP(AllDataCorrected[[#This Row],[Site Name]],LocationsKey[Site Name], LocationsKey[Waterway])</f>
        <v>Avon</v>
      </c>
      <c r="K930" t="s">
        <v>1249</v>
      </c>
      <c r="L930">
        <f>_xlfn.XLOOKUP(AllDataCorrected[[#This Row],[Site Name]],Tables!$B$12:$B$78, Tables!C$12:C$78)</f>
        <v>52.206446825000015</v>
      </c>
      <c r="M930">
        <f>_xlfn.XLOOKUP(AllDataCorrected[[#This Row],[Site Name]],Tables!$B$12:$B$78, Tables!D$12:D$78)</f>
        <v>-1.6541684000000003</v>
      </c>
      <c r="N930" t="s">
        <v>29</v>
      </c>
      <c r="O930">
        <v>729</v>
      </c>
      <c r="P930">
        <v>16.7</v>
      </c>
      <c r="Q930">
        <v>10</v>
      </c>
      <c r="R930" t="str">
        <f>IF(AllDataCorrected[[#This Row],[Nitrate (PPM)]]&gt;2, "4. Very high (&gt;2ppm)", IF(AllDataCorrected[[#This Row],[Nitrate (PPM)]]&gt;1, "3. High (1-2ppm)", IF(AllDataCorrected[[#This Row],[Nitrate (PPM)]]&gt;0.5, "2. Some evidence (0.5-1ppm)", IF(AllDataCorrected[[#This Row],[Nitrate (PPM)]]&gt;=0, "1. No evidence (&lt;0.5ppm)"))))</f>
        <v>4. Very high (&gt;2ppm)</v>
      </c>
      <c r="S930">
        <v>0.43</v>
      </c>
      <c r="T9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0">
        <v>0</v>
      </c>
      <c r="V930" t="s">
        <v>1250</v>
      </c>
    </row>
    <row r="931" spans="1:22" x14ac:dyDescent="0.25">
      <c r="A931" t="s">
        <v>1245</v>
      </c>
      <c r="B931" s="2">
        <v>45455</v>
      </c>
      <c r="C931" t="str" cm="1">
        <f t="array" ref="C9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1">
        <f>YEAR(AllDataCorrected[[#This Row],[Date]])</f>
        <v>2024</v>
      </c>
      <c r="E931" s="1">
        <v>0.66666666666666663</v>
      </c>
      <c r="F9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1" t="str">
        <f>_xlfn.XLOOKUP(AllDataCorrected[[#This Row],[Location Name]], Locations[Location Name],Locations[Group As])</f>
        <v>Stour Newbold Mill</v>
      </c>
      <c r="H931" t="e" vm="2">
        <f>_xlfn.XLOOKUP(AllDataCorrected[[#This Row],[Site Name]],LocationsKey[Site Name],LocationsKey[District])</f>
        <v>#VALUE!</v>
      </c>
      <c r="I931" t="e" vm="8">
        <f>_xlfn.XLOOKUP(AllDataCorrected[[#This Row],[Site Name]],LocationsKey[Site Name],LocationsKey[Town])</f>
        <v>#VALUE!</v>
      </c>
      <c r="J931" t="str">
        <f>_xlfn.XLOOKUP(AllDataCorrected[[#This Row],[Site Name]],LocationsKey[Site Name], LocationsKey[Waterway])</f>
        <v>Stour</v>
      </c>
      <c r="K931" t="s">
        <v>140</v>
      </c>
      <c r="L931">
        <f>_xlfn.XLOOKUP(AllDataCorrected[[#This Row],[Site Name]],Tables!$B$12:$B$78, Tables!C$12:C$78)</f>
        <v>52.113052370370362</v>
      </c>
      <c r="M931">
        <f>_xlfn.XLOOKUP(AllDataCorrected[[#This Row],[Site Name]],Tables!$B$12:$B$78, Tables!D$12:D$78)</f>
        <v>-1.6333685185185185</v>
      </c>
      <c r="N931" t="s">
        <v>29</v>
      </c>
      <c r="O931">
        <v>656</v>
      </c>
      <c r="P931">
        <v>16</v>
      </c>
      <c r="Q931">
        <v>2</v>
      </c>
      <c r="R931" t="str">
        <f>IF(AllDataCorrected[[#This Row],[Nitrate (PPM)]]&gt;2, "4. Very high (&gt;2ppm)", IF(AllDataCorrected[[#This Row],[Nitrate (PPM)]]&gt;1, "3. High (1-2ppm)", IF(AllDataCorrected[[#This Row],[Nitrate (PPM)]]&gt;0.5, "2. Some evidence (0.5-1ppm)", IF(AllDataCorrected[[#This Row],[Nitrate (PPM)]]&gt;=0, "1. No evidence (&lt;0.5ppm)"))))</f>
        <v>3. High (1-2ppm)</v>
      </c>
      <c r="S931">
        <v>0.22</v>
      </c>
      <c r="T9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1">
        <v>2</v>
      </c>
      <c r="V931" t="s">
        <v>529</v>
      </c>
    </row>
    <row r="932" spans="1:22" x14ac:dyDescent="0.25">
      <c r="A932" t="s">
        <v>1257</v>
      </c>
      <c r="B932" s="2">
        <v>45457</v>
      </c>
      <c r="C932" t="str" cm="1">
        <f t="array" ref="C9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2">
        <f>YEAR(AllDataCorrected[[#This Row],[Date]])</f>
        <v>2024</v>
      </c>
      <c r="E932" s="1">
        <v>0.39583333333333331</v>
      </c>
      <c r="F9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2" t="str">
        <f>_xlfn.XLOOKUP(AllDataCorrected[[#This Row],[Location Name]], Locations[Location Name],Locations[Group As])</f>
        <v>Sherbourne Brook 1</v>
      </c>
      <c r="H932" t="e" vm="2">
        <f>_xlfn.XLOOKUP(AllDataCorrected[[#This Row],[Site Name]],LocationsKey[Site Name],LocationsKey[District])</f>
        <v>#VALUE!</v>
      </c>
      <c r="I932" t="e" vm="16">
        <f>_xlfn.XLOOKUP(AllDataCorrected[[#This Row],[Site Name]],LocationsKey[Site Name],LocationsKey[Town])</f>
        <v>#VALUE!</v>
      </c>
      <c r="J932" t="str">
        <f>_xlfn.XLOOKUP(AllDataCorrected[[#This Row],[Site Name]],LocationsKey[Site Name], LocationsKey[Waterway])</f>
        <v>Sherbourne Brook</v>
      </c>
      <c r="K932" t="s">
        <v>570</v>
      </c>
      <c r="L932">
        <f>_xlfn.XLOOKUP(AllDataCorrected[[#This Row],[Site Name]],Tables!$B$12:$B$78, Tables!C$12:C$78)</f>
        <v>52.252500000000033</v>
      </c>
      <c r="M932">
        <f>_xlfn.XLOOKUP(AllDataCorrected[[#This Row],[Site Name]],Tables!$B$12:$B$78, Tables!D$12:D$78)</f>
        <v>-1.6685000000000012</v>
      </c>
      <c r="N932" t="s">
        <v>23</v>
      </c>
      <c r="O932">
        <v>1090</v>
      </c>
      <c r="P932">
        <v>13.6</v>
      </c>
      <c r="Q932">
        <v>15</v>
      </c>
      <c r="R932" t="str">
        <f>IF(AllDataCorrected[[#This Row],[Nitrate (PPM)]]&gt;2, "4. Very high (&gt;2ppm)", IF(AllDataCorrected[[#This Row],[Nitrate (PPM)]]&gt;1, "3. High (1-2ppm)", IF(AllDataCorrected[[#This Row],[Nitrate (PPM)]]&gt;0.5, "2. Some evidence (0.5-1ppm)", IF(AllDataCorrected[[#This Row],[Nitrate (PPM)]]&gt;=0, "1. No evidence (&lt;0.5ppm)"))))</f>
        <v>4. Very high (&gt;2ppm)</v>
      </c>
      <c r="S932">
        <v>0.26</v>
      </c>
      <c r="T9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2">
        <v>0.2</v>
      </c>
    </row>
    <row r="933" spans="1:22" x14ac:dyDescent="0.25">
      <c r="A933" t="s">
        <v>1256</v>
      </c>
      <c r="B933" s="2">
        <v>45457</v>
      </c>
      <c r="C933" t="str" cm="1">
        <f t="array" ref="C9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3">
        <f>YEAR(AllDataCorrected[[#This Row],[Date]])</f>
        <v>2024</v>
      </c>
      <c r="E933" s="1">
        <v>0.40625</v>
      </c>
      <c r="F9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3" t="str">
        <f>_xlfn.XLOOKUP(AllDataCorrected[[#This Row],[Location Name]], Locations[Location Name],Locations[Group As])</f>
        <v>Bell Brook 1</v>
      </c>
      <c r="H933" t="e" vm="2">
        <f>_xlfn.XLOOKUP(AllDataCorrected[[#This Row],[Site Name]],LocationsKey[Site Name],LocationsKey[District])</f>
        <v>#VALUE!</v>
      </c>
      <c r="I933" t="e" vm="15">
        <f>_xlfn.XLOOKUP(AllDataCorrected[[#This Row],[Site Name]],LocationsKey[Site Name],LocationsKey[Town])</f>
        <v>#VALUE!</v>
      </c>
      <c r="J933" t="str">
        <f>_xlfn.XLOOKUP(AllDataCorrected[[#This Row],[Site Name]],LocationsKey[Site Name], LocationsKey[Waterway])</f>
        <v>Bell Brook</v>
      </c>
      <c r="K933" t="s">
        <v>534</v>
      </c>
      <c r="L933">
        <f>_xlfn.XLOOKUP(AllDataCorrected[[#This Row],[Site Name]],Tables!$B$12:$B$78, Tables!C$12:C$78)</f>
        <v>52.24489999999998</v>
      </c>
      <c r="M933">
        <f>_xlfn.XLOOKUP(AllDataCorrected[[#This Row],[Site Name]],Tables!$B$12:$B$78, Tables!D$12:D$78)</f>
        <v>-1.6617000000000013</v>
      </c>
      <c r="N933" t="s">
        <v>23</v>
      </c>
      <c r="O933">
        <v>822</v>
      </c>
      <c r="P933">
        <v>14.6</v>
      </c>
      <c r="Q933">
        <v>5</v>
      </c>
      <c r="R933" t="str">
        <f>IF(AllDataCorrected[[#This Row],[Nitrate (PPM)]]&gt;2, "4. Very high (&gt;2ppm)", IF(AllDataCorrected[[#This Row],[Nitrate (PPM)]]&gt;1, "3. High (1-2ppm)", IF(AllDataCorrected[[#This Row],[Nitrate (PPM)]]&gt;0.5, "2. Some evidence (0.5-1ppm)", IF(AllDataCorrected[[#This Row],[Nitrate (PPM)]]&gt;=0, "1. No evidence (&lt;0.5ppm)"))))</f>
        <v>4. Very high (&gt;2ppm)</v>
      </c>
      <c r="S933">
        <v>0.65</v>
      </c>
      <c r="T9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3">
        <v>0.2</v>
      </c>
    </row>
    <row r="934" spans="1:22" x14ac:dyDescent="0.25">
      <c r="A934" t="s">
        <v>1254</v>
      </c>
      <c r="B934" s="2">
        <v>45457</v>
      </c>
      <c r="C934" t="str" cm="1">
        <f t="array" ref="C9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4">
        <f>YEAR(AllDataCorrected[[#This Row],[Date]])</f>
        <v>2024</v>
      </c>
      <c r="E934" s="1">
        <v>0.45763888888888887</v>
      </c>
      <c r="F9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4" t="str">
        <f>_xlfn.XLOOKUP(AllDataCorrected[[#This Row],[Location Name]], Locations[Location Name],Locations[Group As])</f>
        <v>Mill Bridge Peopleton</v>
      </c>
      <c r="H934" t="e" vm="17">
        <f>_xlfn.XLOOKUP(AllDataCorrected[[#This Row],[Site Name]],LocationsKey[Site Name],LocationsKey[District])</f>
        <v>#VALUE!</v>
      </c>
      <c r="I934" t="str">
        <f>_xlfn.XLOOKUP(AllDataCorrected[[#This Row],[Site Name]],LocationsKey[Site Name],LocationsKey[Town])</f>
        <v>Peopleton</v>
      </c>
      <c r="J934" t="str">
        <f>_xlfn.XLOOKUP(AllDataCorrected[[#This Row],[Site Name]],LocationsKey[Site Name], LocationsKey[Waterway])</f>
        <v>Bow Brook</v>
      </c>
      <c r="K934" t="s">
        <v>1255</v>
      </c>
      <c r="L934">
        <f>_xlfn.XLOOKUP(AllDataCorrected[[#This Row],[Site Name]],Tables!$B$12:$B$78, Tables!C$12:C$78)</f>
        <v>52.15202992857143</v>
      </c>
      <c r="M934">
        <f>_xlfn.XLOOKUP(AllDataCorrected[[#This Row],[Site Name]],Tables!$B$12:$B$78, Tables!D$12:D$78)</f>
        <v>-2.0954780000000004</v>
      </c>
      <c r="N934" t="s">
        <v>29</v>
      </c>
      <c r="O934">
        <v>119</v>
      </c>
      <c r="P934">
        <v>16</v>
      </c>
      <c r="Q934">
        <v>2</v>
      </c>
      <c r="R934" t="str">
        <f>IF(AllDataCorrected[[#This Row],[Nitrate (PPM)]]&gt;2, "4. Very high (&gt;2ppm)", IF(AllDataCorrected[[#This Row],[Nitrate (PPM)]]&gt;1, "3. High (1-2ppm)", IF(AllDataCorrected[[#This Row],[Nitrate (PPM)]]&gt;0.5, "2. Some evidence (0.5-1ppm)", IF(AllDataCorrected[[#This Row],[Nitrate (PPM)]]&gt;=0, "1. No evidence (&lt;0.5ppm)"))))</f>
        <v>3. High (1-2ppm)</v>
      </c>
      <c r="S934">
        <v>1.43</v>
      </c>
      <c r="T9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4">
        <v>0.3</v>
      </c>
    </row>
    <row r="935" spans="1:22" x14ac:dyDescent="0.25">
      <c r="A935" t="s">
        <v>1252</v>
      </c>
      <c r="B935" s="2">
        <v>45457</v>
      </c>
      <c r="C935" t="str" cm="1">
        <f t="array" ref="C9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5">
        <f>YEAR(AllDataCorrected[[#This Row],[Date]])</f>
        <v>2024</v>
      </c>
      <c r="E935" s="1">
        <v>0.59583333333333333</v>
      </c>
      <c r="F9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5" t="str">
        <f>_xlfn.XLOOKUP(AllDataCorrected[[#This Row],[Location Name]], Locations[Location Name],Locations[Group As])</f>
        <v>The Ford, Langley</v>
      </c>
      <c r="H935" t="e" vm="2">
        <f>_xlfn.XLOOKUP(AllDataCorrected[[#This Row],[Site Name]],LocationsKey[Site Name],LocationsKey[District])</f>
        <v>#VALUE!</v>
      </c>
      <c r="I935" t="str">
        <f>_xlfn.XLOOKUP(AllDataCorrected[[#This Row],[Site Name]],LocationsKey[Site Name],LocationsKey[Town])</f>
        <v>Langley</v>
      </c>
      <c r="J935" t="str">
        <f>_xlfn.XLOOKUP(AllDataCorrected[[#This Row],[Site Name]],LocationsKey[Site Name], LocationsKey[Waterway])</f>
        <v>Langley Ford</v>
      </c>
      <c r="K935" t="s">
        <v>557</v>
      </c>
      <c r="L935">
        <f>_xlfn.XLOOKUP(AllDataCorrected[[#This Row],[Site Name]],Tables!$B$12:$B$78, Tables!C$12:C$78)</f>
        <v>52.261724821428579</v>
      </c>
      <c r="M935">
        <f>_xlfn.XLOOKUP(AllDataCorrected[[#This Row],[Site Name]],Tables!$B$12:$B$78, Tables!D$12:D$78)</f>
        <v>-1.719408857142857</v>
      </c>
      <c r="N935" t="s">
        <v>29</v>
      </c>
      <c r="O935">
        <v>846</v>
      </c>
      <c r="P935">
        <v>13.6</v>
      </c>
      <c r="Q935">
        <v>5</v>
      </c>
      <c r="R935" t="str">
        <f>IF(AllDataCorrected[[#This Row],[Nitrate (PPM)]]&gt;2, "4. Very high (&gt;2ppm)", IF(AllDataCorrected[[#This Row],[Nitrate (PPM)]]&gt;1, "3. High (1-2ppm)", IF(AllDataCorrected[[#This Row],[Nitrate (PPM)]]&gt;0.5, "2. Some evidence (0.5-1ppm)", IF(AllDataCorrected[[#This Row],[Nitrate (PPM)]]&gt;=0, "1. No evidence (&lt;0.5ppm)"))))</f>
        <v>4. Very high (&gt;2ppm)</v>
      </c>
      <c r="S935">
        <v>0.6</v>
      </c>
      <c r="T9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5">
        <v>0.15</v>
      </c>
      <c r="V935" t="s">
        <v>1253</v>
      </c>
    </row>
    <row r="936" spans="1:22" x14ac:dyDescent="0.25">
      <c r="A936" t="s">
        <v>1251</v>
      </c>
      <c r="B936" s="2">
        <v>45457</v>
      </c>
      <c r="C936" t="str" cm="1">
        <f t="array" ref="C9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6">
        <f>YEAR(AllDataCorrected[[#This Row],[Date]])</f>
        <v>2024</v>
      </c>
      <c r="E936" s="1">
        <v>0.60416666666666663</v>
      </c>
      <c r="F9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6" t="str">
        <f>_xlfn.XLOOKUP(AllDataCorrected[[#This Row],[Location Name]], Locations[Location Name],Locations[Group As])</f>
        <v>Swilgate</v>
      </c>
      <c r="H936" t="e" vm="1">
        <f>_xlfn.XLOOKUP(AllDataCorrected[[#This Row],[Site Name]],LocationsKey[Site Name],LocationsKey[District])</f>
        <v>#VALUE!</v>
      </c>
      <c r="I936" t="e" vm="1">
        <f>_xlfn.XLOOKUP(AllDataCorrected[[#This Row],[Site Name]],LocationsKey[Site Name],LocationsKey[Town])</f>
        <v>#VALUE!</v>
      </c>
      <c r="J936" t="str">
        <f>_xlfn.XLOOKUP(AllDataCorrected[[#This Row],[Site Name]],LocationsKey[Site Name], LocationsKey[Waterway])</f>
        <v>Swilgate</v>
      </c>
      <c r="K936" t="s">
        <v>84</v>
      </c>
      <c r="L936">
        <f>_xlfn.XLOOKUP(AllDataCorrected[[#This Row],[Site Name]],Tables!$B$12:$B$78, Tables!C$12:C$78)</f>
        <v>51.9885442</v>
      </c>
      <c r="M936">
        <f>_xlfn.XLOOKUP(AllDataCorrected[[#This Row],[Site Name]],Tables!$B$12:$B$78, Tables!D$12:D$78)</f>
        <v>-2.1639010000000001</v>
      </c>
      <c r="N936" t="s">
        <v>23</v>
      </c>
      <c r="O936">
        <v>875</v>
      </c>
      <c r="P936">
        <v>16.100000000000001</v>
      </c>
      <c r="Q936">
        <v>7</v>
      </c>
      <c r="R936" t="str">
        <f>IF(AllDataCorrected[[#This Row],[Nitrate (PPM)]]&gt;2, "4. Very high (&gt;2ppm)", IF(AllDataCorrected[[#This Row],[Nitrate (PPM)]]&gt;1, "3. High (1-2ppm)", IF(AllDataCorrected[[#This Row],[Nitrate (PPM)]]&gt;0.5, "2. Some evidence (0.5-1ppm)", IF(AllDataCorrected[[#This Row],[Nitrate (PPM)]]&gt;=0, "1. No evidence (&lt;0.5ppm)"))))</f>
        <v>4. Very high (&gt;2ppm)</v>
      </c>
      <c r="S936">
        <v>1.25</v>
      </c>
      <c r="T9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6">
        <v>0</v>
      </c>
    </row>
    <row r="937" spans="1:22" x14ac:dyDescent="0.25">
      <c r="A937" t="s">
        <v>1262</v>
      </c>
      <c r="B937" s="2">
        <v>45458</v>
      </c>
      <c r="C937" t="str" cm="1">
        <f t="array" ref="C9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7">
        <f>YEAR(AllDataCorrected[[#This Row],[Date]])</f>
        <v>2024</v>
      </c>
      <c r="E937" s="1">
        <v>0.30208333333333331</v>
      </c>
      <c r="F9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7" t="str">
        <f>_xlfn.XLOOKUP(AllDataCorrected[[#This Row],[Location Name]], Locations[Location Name],Locations[Group As])</f>
        <v>Avon Smiths Meadow Wyre Piddle</v>
      </c>
      <c r="H937" t="e" vm="17">
        <f>_xlfn.XLOOKUP(AllDataCorrected[[#This Row],[Site Name]],LocationsKey[Site Name],LocationsKey[District])</f>
        <v>#VALUE!</v>
      </c>
      <c r="I937" t="e" vm="20">
        <f>_xlfn.XLOOKUP(AllDataCorrected[[#This Row],[Site Name]],LocationsKey[Site Name],LocationsKey[Town])</f>
        <v>#VALUE!</v>
      </c>
      <c r="J937" t="str">
        <f>_xlfn.XLOOKUP(AllDataCorrected[[#This Row],[Site Name]],LocationsKey[Site Name], LocationsKey[Waterway])</f>
        <v>Avon</v>
      </c>
      <c r="K937" t="s">
        <v>741</v>
      </c>
      <c r="L937">
        <f>_xlfn.XLOOKUP(AllDataCorrected[[#This Row],[Site Name]],Tables!$B$12:$B$78, Tables!C$12:C$78)</f>
        <v>52.123045961538452</v>
      </c>
      <c r="M937">
        <f>_xlfn.XLOOKUP(AllDataCorrected[[#This Row],[Site Name]],Tables!$B$12:$B$78, Tables!D$12:D$78)</f>
        <v>-2.0572161923076919</v>
      </c>
      <c r="N937" t="s">
        <v>23</v>
      </c>
      <c r="O937">
        <v>864</v>
      </c>
      <c r="P937">
        <v>15.9</v>
      </c>
      <c r="Q937">
        <v>10</v>
      </c>
      <c r="R937" t="str">
        <f>IF(AllDataCorrected[[#This Row],[Nitrate (PPM)]]&gt;2, "4. Very high (&gt;2ppm)", IF(AllDataCorrected[[#This Row],[Nitrate (PPM)]]&gt;1, "3. High (1-2ppm)", IF(AllDataCorrected[[#This Row],[Nitrate (PPM)]]&gt;0.5, "2. Some evidence (0.5-1ppm)", IF(AllDataCorrected[[#This Row],[Nitrate (PPM)]]&gt;=0, "1. No evidence (&lt;0.5ppm)"))))</f>
        <v>4. Very high (&gt;2ppm)</v>
      </c>
      <c r="S937">
        <v>0.73</v>
      </c>
      <c r="T9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7">
        <v>0.59</v>
      </c>
      <c r="V937" t="s">
        <v>1263</v>
      </c>
    </row>
    <row r="938" spans="1:22" x14ac:dyDescent="0.25">
      <c r="A938" t="s">
        <v>1260</v>
      </c>
      <c r="B938" s="2">
        <v>45458</v>
      </c>
      <c r="C938" t="str" cm="1">
        <f t="array" ref="C9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8">
        <f>YEAR(AllDataCorrected[[#This Row],[Date]])</f>
        <v>2024</v>
      </c>
      <c r="E938" s="1">
        <v>0.33333333333333331</v>
      </c>
      <c r="F9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8" t="str">
        <f>_xlfn.XLOOKUP(AllDataCorrected[[#This Row],[Location Name]], Locations[Location Name],Locations[Group As])</f>
        <v>Piddle Brook Wyre Piddle Bridge</v>
      </c>
      <c r="H938" t="e" vm="17">
        <f>_xlfn.XLOOKUP(AllDataCorrected[[#This Row],[Site Name]],LocationsKey[Site Name],LocationsKey[District])</f>
        <v>#VALUE!</v>
      </c>
      <c r="I938" t="e" vm="20">
        <f>_xlfn.XLOOKUP(AllDataCorrected[[#This Row],[Site Name]],LocationsKey[Site Name],LocationsKey[Town])</f>
        <v>#VALUE!</v>
      </c>
      <c r="J938" t="str">
        <f>_xlfn.XLOOKUP(AllDataCorrected[[#This Row],[Site Name]],LocationsKey[Site Name], LocationsKey[Waterway])</f>
        <v>Piddle Brook</v>
      </c>
      <c r="K938" t="s">
        <v>744</v>
      </c>
      <c r="L938">
        <f>_xlfn.XLOOKUP(AllDataCorrected[[#This Row],[Site Name]],Tables!$B$12:$B$78, Tables!C$12:C$78)</f>
        <v>52.126401720000004</v>
      </c>
      <c r="M938">
        <f>_xlfn.XLOOKUP(AllDataCorrected[[#This Row],[Site Name]],Tables!$B$12:$B$78, Tables!D$12:D$78)</f>
        <v>-2.0565162000000003</v>
      </c>
      <c r="N938" t="s">
        <v>23</v>
      </c>
      <c r="O938">
        <v>836</v>
      </c>
      <c r="P938">
        <v>13.1</v>
      </c>
      <c r="Q938">
        <v>8</v>
      </c>
      <c r="R938" t="str">
        <f>IF(AllDataCorrected[[#This Row],[Nitrate (PPM)]]&gt;2, "4. Very high (&gt;2ppm)", IF(AllDataCorrected[[#This Row],[Nitrate (PPM)]]&gt;1, "3. High (1-2ppm)", IF(AllDataCorrected[[#This Row],[Nitrate (PPM)]]&gt;0.5, "2. Some evidence (0.5-1ppm)", IF(AllDataCorrected[[#This Row],[Nitrate (PPM)]]&gt;=0, "1. No evidence (&lt;0.5ppm)"))))</f>
        <v>4. Very high (&gt;2ppm)</v>
      </c>
      <c r="S938">
        <v>1.03</v>
      </c>
      <c r="T9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8">
        <v>0.18</v>
      </c>
      <c r="V938" t="s">
        <v>1261</v>
      </c>
    </row>
    <row r="939" spans="1:22" x14ac:dyDescent="0.25">
      <c r="A939" t="s">
        <v>1259</v>
      </c>
      <c r="B939" s="2">
        <v>45458</v>
      </c>
      <c r="C939" t="str" cm="1">
        <f t="array" ref="C9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9">
        <f>YEAR(AllDataCorrected[[#This Row],[Date]])</f>
        <v>2024</v>
      </c>
      <c r="E939" s="1">
        <v>0.5</v>
      </c>
      <c r="F9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9" t="str">
        <f>_xlfn.XLOOKUP(AllDataCorrected[[#This Row],[Location Name]], Locations[Location Name],Locations[Group As])</f>
        <v>Carrant Bredon Rd</v>
      </c>
      <c r="H939" t="e" vm="1">
        <f>_xlfn.XLOOKUP(AllDataCorrected[[#This Row],[Site Name]],LocationsKey[Site Name],LocationsKey[District])</f>
        <v>#VALUE!</v>
      </c>
      <c r="I939" t="e" vm="1">
        <f>_xlfn.XLOOKUP(AllDataCorrected[[#This Row],[Site Name]],LocationsKey[Site Name],LocationsKey[Town])</f>
        <v>#VALUE!</v>
      </c>
      <c r="J939" t="str">
        <f>_xlfn.XLOOKUP(AllDataCorrected[[#This Row],[Site Name]],LocationsKey[Site Name], LocationsKey[Waterway])</f>
        <v>Carrant</v>
      </c>
      <c r="K939" t="s">
        <v>600</v>
      </c>
      <c r="L939">
        <f>_xlfn.XLOOKUP(AllDataCorrected[[#This Row],[Site Name]],Tables!$B$12:$B$78, Tables!C$12:C$78)</f>
        <v>51.996416567567572</v>
      </c>
      <c r="M939">
        <f>_xlfn.XLOOKUP(AllDataCorrected[[#This Row],[Site Name]],Tables!$B$12:$B$78, Tables!D$12:D$78)</f>
        <v>-2.1556626756756749</v>
      </c>
      <c r="N939" t="s">
        <v>23</v>
      </c>
      <c r="O939">
        <v>733</v>
      </c>
      <c r="P939">
        <v>14.5</v>
      </c>
      <c r="Q939">
        <v>5</v>
      </c>
      <c r="R939" t="str">
        <f>IF(AllDataCorrected[[#This Row],[Nitrate (PPM)]]&gt;2, "4. Very high (&gt;2ppm)", IF(AllDataCorrected[[#This Row],[Nitrate (PPM)]]&gt;1, "3. High (1-2ppm)", IF(AllDataCorrected[[#This Row],[Nitrate (PPM)]]&gt;0.5, "2. Some evidence (0.5-1ppm)", IF(AllDataCorrected[[#This Row],[Nitrate (PPM)]]&gt;=0, "1. No evidence (&lt;0.5ppm)"))))</f>
        <v>4. Very high (&gt;2ppm)</v>
      </c>
      <c r="S939">
        <v>0.33</v>
      </c>
      <c r="T9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9">
        <v>0.04</v>
      </c>
    </row>
    <row r="940" spans="1:22" x14ac:dyDescent="0.25">
      <c r="A940" t="s">
        <v>1258</v>
      </c>
      <c r="B940" s="2">
        <v>45458</v>
      </c>
      <c r="C940" t="str" cm="1">
        <f t="array" ref="C9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0">
        <f>YEAR(AllDataCorrected[[#This Row],[Date]])</f>
        <v>2024</v>
      </c>
      <c r="E940" s="1">
        <v>0.58333333333333337</v>
      </c>
      <c r="F9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0" t="str">
        <f>_xlfn.XLOOKUP(AllDataCorrected[[#This Row],[Location Name]], Locations[Location Name],Locations[Group As])</f>
        <v>Stour Willington</v>
      </c>
      <c r="H940" t="e" vm="2">
        <f>_xlfn.XLOOKUP(AllDataCorrected[[#This Row],[Site Name]],LocationsKey[Site Name],LocationsKey[District])</f>
        <v>#VALUE!</v>
      </c>
      <c r="I940" t="str">
        <f>_xlfn.XLOOKUP(AllDataCorrected[[#This Row],[Site Name]],LocationsKey[Site Name],LocationsKey[Town])</f>
        <v>Willington</v>
      </c>
      <c r="J940" t="str">
        <f>_xlfn.XLOOKUP(AllDataCorrected[[#This Row],[Site Name]],LocationsKey[Site Name], LocationsKey[Waterway])</f>
        <v>Stour</v>
      </c>
      <c r="K940" t="s">
        <v>517</v>
      </c>
      <c r="L940">
        <f>_xlfn.XLOOKUP(AllDataCorrected[[#This Row],[Site Name]],Tables!$B$12:$B$78, Tables!C$12:C$78)</f>
        <v>52.053154375000005</v>
      </c>
      <c r="M940">
        <f>_xlfn.XLOOKUP(AllDataCorrected[[#This Row],[Site Name]],Tables!$B$12:$B$78, Tables!D$12:D$78)</f>
        <v>-1.6191991562500001</v>
      </c>
      <c r="N940" t="s">
        <v>23</v>
      </c>
      <c r="O940">
        <v>605</v>
      </c>
      <c r="P940">
        <v>15.3</v>
      </c>
      <c r="Q940">
        <v>2</v>
      </c>
      <c r="R940" t="str">
        <f>IF(AllDataCorrected[[#This Row],[Nitrate (PPM)]]&gt;2, "4. Very high (&gt;2ppm)", IF(AllDataCorrected[[#This Row],[Nitrate (PPM)]]&gt;1, "3. High (1-2ppm)", IF(AllDataCorrected[[#This Row],[Nitrate (PPM)]]&gt;0.5, "2. Some evidence (0.5-1ppm)", IF(AllDataCorrected[[#This Row],[Nitrate (PPM)]]&gt;=0, "1. No evidence (&lt;0.5ppm)"))))</f>
        <v>3. High (1-2ppm)</v>
      </c>
      <c r="S940">
        <v>0.48</v>
      </c>
      <c r="T9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0">
        <v>0.5</v>
      </c>
    </row>
    <row r="941" spans="1:22" x14ac:dyDescent="0.25">
      <c r="A941" t="s">
        <v>1266</v>
      </c>
      <c r="B941" s="2">
        <v>45459</v>
      </c>
      <c r="C941" t="str" cm="1">
        <f t="array" ref="C9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1">
        <f>YEAR(AllDataCorrected[[#This Row],[Date]])</f>
        <v>2024</v>
      </c>
      <c r="E941" s="1">
        <v>0.37361111111111112</v>
      </c>
      <c r="F94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41" t="str">
        <f>_xlfn.XLOOKUP(AllDataCorrected[[#This Row],[Location Name]], Locations[Location Name],Locations[Group As])</f>
        <v>Lower Lode</v>
      </c>
      <c r="H941" t="e" vm="1">
        <f>_xlfn.XLOOKUP(AllDataCorrected[[#This Row],[Site Name]],LocationsKey[Site Name],LocationsKey[District])</f>
        <v>#VALUE!</v>
      </c>
      <c r="I941" t="e" vm="1">
        <f>_xlfn.XLOOKUP(AllDataCorrected[[#This Row],[Site Name]],LocationsKey[Site Name],LocationsKey[Town])</f>
        <v>#VALUE!</v>
      </c>
      <c r="J941" t="str">
        <f>_xlfn.XLOOKUP(AllDataCorrected[[#This Row],[Site Name]],LocationsKey[Site Name], LocationsKey[Waterway])</f>
        <v>Avon</v>
      </c>
      <c r="K941" t="s">
        <v>592</v>
      </c>
      <c r="L941">
        <f>_xlfn.XLOOKUP(AllDataCorrected[[#This Row],[Site Name]],Tables!$B$12:$B$78, Tables!C$12:C$78)</f>
        <v>51.984954782608689</v>
      </c>
      <c r="M941">
        <f>_xlfn.XLOOKUP(AllDataCorrected[[#This Row],[Site Name]],Tables!$B$12:$B$78, Tables!D$12:D$78)</f>
        <v>-2.1744283478260868</v>
      </c>
      <c r="N941" t="s">
        <v>29</v>
      </c>
      <c r="O941">
        <v>8400</v>
      </c>
      <c r="P941">
        <v>16.7</v>
      </c>
      <c r="Q941">
        <v>10</v>
      </c>
      <c r="R941" t="str">
        <f>IF(AllDataCorrected[[#This Row],[Nitrate (PPM)]]&gt;2, "4. Very high (&gt;2ppm)", IF(AllDataCorrected[[#This Row],[Nitrate (PPM)]]&gt;1, "3. High (1-2ppm)", IF(AllDataCorrected[[#This Row],[Nitrate (PPM)]]&gt;0.5, "2. Some evidence (0.5-1ppm)", IF(AllDataCorrected[[#This Row],[Nitrate (PPM)]]&gt;=0, "1. No evidence (&lt;0.5ppm)"))))</f>
        <v>4. Very high (&gt;2ppm)</v>
      </c>
      <c r="S941">
        <v>0.82</v>
      </c>
      <c r="T9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1">
        <v>1</v>
      </c>
    </row>
    <row r="942" spans="1:22" x14ac:dyDescent="0.25">
      <c r="A942" t="s">
        <v>1264</v>
      </c>
      <c r="B942" s="2">
        <v>45459</v>
      </c>
      <c r="C942" t="str" cm="1">
        <f t="array" ref="C9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2">
        <f>YEAR(AllDataCorrected[[#This Row],[Date]])</f>
        <v>2024</v>
      </c>
      <c r="E942" s="1">
        <v>0.61805555555555558</v>
      </c>
      <c r="F9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2" t="str">
        <f>_xlfn.XLOOKUP(AllDataCorrected[[#This Row],[Location Name]], Locations[Location Name],Locations[Group As])</f>
        <v>Fell Mill Footbridge</v>
      </c>
      <c r="H942" t="e" vm="2">
        <f>_xlfn.XLOOKUP(AllDataCorrected[[#This Row],[Site Name]],LocationsKey[Site Name],LocationsKey[District])</f>
        <v>#VALUE!</v>
      </c>
      <c r="I942" t="e" vm="10">
        <f>_xlfn.XLOOKUP(AllDataCorrected[[#This Row],[Site Name]],LocationsKey[Site Name],LocationsKey[Town])</f>
        <v>#VALUE!</v>
      </c>
      <c r="J942" t="str">
        <f>_xlfn.XLOOKUP(AllDataCorrected[[#This Row],[Site Name]],LocationsKey[Site Name], LocationsKey[Waterway])</f>
        <v>Stour</v>
      </c>
      <c r="K942" t="s">
        <v>818</v>
      </c>
      <c r="L942">
        <f>_xlfn.XLOOKUP(AllDataCorrected[[#This Row],[Site Name]],Tables!$B$12:$B$78, Tables!C$12:C$78)</f>
        <v>52.067966827586183</v>
      </c>
      <c r="M942">
        <f>_xlfn.XLOOKUP(AllDataCorrected[[#This Row],[Site Name]],Tables!$B$12:$B$78, Tables!D$12:D$78)</f>
        <v>-1.6118101379310343</v>
      </c>
      <c r="N942" t="s">
        <v>29</v>
      </c>
      <c r="O942">
        <v>614</v>
      </c>
      <c r="P942">
        <v>16.100000000000001</v>
      </c>
      <c r="Q942">
        <v>5</v>
      </c>
      <c r="R942" t="str">
        <f>IF(AllDataCorrected[[#This Row],[Nitrate (PPM)]]&gt;2, "4. Very high (&gt;2ppm)", IF(AllDataCorrected[[#This Row],[Nitrate (PPM)]]&gt;1, "3. High (1-2ppm)", IF(AllDataCorrected[[#This Row],[Nitrate (PPM)]]&gt;0.5, "2. Some evidence (0.5-1ppm)", IF(AllDataCorrected[[#This Row],[Nitrate (PPM)]]&gt;=0, "1. No evidence (&lt;0.5ppm)"))))</f>
        <v>4. Very high (&gt;2ppm)</v>
      </c>
      <c r="S942">
        <v>0.48</v>
      </c>
      <c r="T9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2">
        <v>2.1</v>
      </c>
    </row>
    <row r="943" spans="1:22" x14ac:dyDescent="0.25">
      <c r="A943" t="s">
        <v>1265</v>
      </c>
      <c r="B943" s="2">
        <v>45459</v>
      </c>
      <c r="C943" t="str" cm="1">
        <f t="array" ref="C9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3">
        <f>YEAR(AllDataCorrected[[#This Row],[Date]])</f>
        <v>2024</v>
      </c>
      <c r="E943" s="1">
        <v>0.77986111111111112</v>
      </c>
      <c r="F94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43" t="str">
        <f>_xlfn.XLOOKUP(AllDataCorrected[[#This Row],[Location Name]], Locations[Location Name],Locations[Group As])</f>
        <v>Black Bear</v>
      </c>
      <c r="H943" t="e" vm="1">
        <f>_xlfn.XLOOKUP(AllDataCorrected[[#This Row],[Site Name]],LocationsKey[Site Name],LocationsKey[District])</f>
        <v>#VALUE!</v>
      </c>
      <c r="I943" t="e" vm="1">
        <f>_xlfn.XLOOKUP(AllDataCorrected[[#This Row],[Site Name]],LocationsKey[Site Name],LocationsKey[Town])</f>
        <v>#VALUE!</v>
      </c>
      <c r="J943" t="str">
        <f>_xlfn.XLOOKUP(AllDataCorrected[[#This Row],[Site Name]],LocationsKey[Site Name], LocationsKey[Waterway])</f>
        <v>Avon</v>
      </c>
      <c r="K943" t="s">
        <v>1045</v>
      </c>
      <c r="L943">
        <f>_xlfn.XLOOKUP(AllDataCorrected[[#This Row],[Site Name]],Tables!$B$12:$B$78, Tables!C$12:C$78)</f>
        <v>51.997435214285723</v>
      </c>
      <c r="M943">
        <f>_xlfn.XLOOKUP(AllDataCorrected[[#This Row],[Site Name]],Tables!$B$12:$B$78, Tables!D$12:D$78)</f>
        <v>-2.1562056785714288</v>
      </c>
      <c r="N943" t="s">
        <v>23</v>
      </c>
      <c r="O943">
        <v>950</v>
      </c>
      <c r="P943">
        <v>17.600000000000001</v>
      </c>
      <c r="Q943">
        <v>9</v>
      </c>
      <c r="R943" t="str">
        <f>IF(AllDataCorrected[[#This Row],[Nitrate (PPM)]]&gt;2, "4. Very high (&gt;2ppm)", IF(AllDataCorrected[[#This Row],[Nitrate (PPM)]]&gt;1, "3. High (1-2ppm)", IF(AllDataCorrected[[#This Row],[Nitrate (PPM)]]&gt;0.5, "2. Some evidence (0.5-1ppm)", IF(AllDataCorrected[[#This Row],[Nitrate (PPM)]]&gt;=0, "1. No evidence (&lt;0.5ppm)"))))</f>
        <v>4. Very high (&gt;2ppm)</v>
      </c>
      <c r="S943">
        <v>0.65</v>
      </c>
      <c r="T9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3">
        <v>0</v>
      </c>
    </row>
    <row r="944" spans="1:22" x14ac:dyDescent="0.25">
      <c r="A944" t="s">
        <v>1797</v>
      </c>
      <c r="B944" s="2">
        <v>45459</v>
      </c>
      <c r="C944" t="str" cm="1">
        <f t="array" ref="C9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4">
        <f>YEAR(AllDataCorrected[[#This Row],[Date]])</f>
        <v>2024</v>
      </c>
      <c r="F94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4" t="str">
        <f>_xlfn.XLOOKUP(AllDataCorrected[[#This Row],[Location Name]], Locations[Location Name],Locations[Group As])</f>
        <v>Site 1  :  Middle Street</v>
      </c>
      <c r="H944" t="e" vm="2">
        <f>_xlfn.XLOOKUP(AllDataCorrected[[#This Row],[Site Name]],LocationsKey[Site Name],LocationsKey[District])</f>
        <v>#VALUE!</v>
      </c>
      <c r="I944" t="e" vm="11">
        <f>_xlfn.XLOOKUP(AllDataCorrected[[#This Row],[Site Name]],LocationsKey[Site Name],LocationsKey[Town])</f>
        <v>#VALUE!</v>
      </c>
      <c r="J944" t="str">
        <f>_xlfn.XLOOKUP(AllDataCorrected[[#This Row],[Site Name]],LocationsKey[Site Name], LocationsKey[Waterway])</f>
        <v>Fosseway Brook</v>
      </c>
      <c r="K944" t="s">
        <v>1859</v>
      </c>
      <c r="L944">
        <f>_xlfn.XLOOKUP(AllDataCorrected[[#This Row],[Site Name]],Tables!$B$12:$B$78, Tables!C$12:C$78)</f>
        <v>52.090077380952394</v>
      </c>
      <c r="M944">
        <f>_xlfn.XLOOKUP(AllDataCorrected[[#This Row],[Site Name]],Tables!$B$12:$B$78, Tables!D$12:D$78)</f>
        <v>-1.6926051666666673</v>
      </c>
      <c r="N944" t="s">
        <v>66</v>
      </c>
      <c r="O944">
        <v>630</v>
      </c>
      <c r="P944">
        <v>19.3</v>
      </c>
      <c r="Q944">
        <v>2</v>
      </c>
      <c r="R944" t="str">
        <f>IF(AllDataCorrected[[#This Row],[Nitrate (PPM)]]&gt;2, "4. Very high (&gt;2ppm)", IF(AllDataCorrected[[#This Row],[Nitrate (PPM)]]&gt;1, "3. High (1-2ppm)", IF(AllDataCorrected[[#This Row],[Nitrate (PPM)]]&gt;0.5, "2. Some evidence (0.5-1ppm)", IF(AllDataCorrected[[#This Row],[Nitrate (PPM)]]&gt;=0, "1. No evidence (&lt;0.5ppm)"))))</f>
        <v>3. High (1-2ppm)</v>
      </c>
      <c r="S944">
        <v>0.1</v>
      </c>
      <c r="T94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944">
        <v>0</v>
      </c>
      <c r="V944" t="s">
        <v>1909</v>
      </c>
    </row>
    <row r="945" spans="1:22" x14ac:dyDescent="0.25">
      <c r="A945" t="s">
        <v>1387</v>
      </c>
      <c r="B945" s="2">
        <v>45459</v>
      </c>
      <c r="C945" t="str" cm="1">
        <f t="array" ref="C9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5">
        <f>YEAR(AllDataCorrected[[#This Row],[Date]])</f>
        <v>2024</v>
      </c>
      <c r="F94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5" t="str">
        <f>_xlfn.XLOOKUP(AllDataCorrected[[#This Row],[Location Name]], Locations[Location Name],Locations[Group As])</f>
        <v>Site 1  :  Middle Street</v>
      </c>
      <c r="H945" t="e" vm="2">
        <f>_xlfn.XLOOKUP(AllDataCorrected[[#This Row],[Site Name]],LocationsKey[Site Name],LocationsKey[District])</f>
        <v>#VALUE!</v>
      </c>
      <c r="I945" t="e" vm="11">
        <f>_xlfn.XLOOKUP(AllDataCorrected[[#This Row],[Site Name]],LocationsKey[Site Name],LocationsKey[Town])</f>
        <v>#VALUE!</v>
      </c>
      <c r="J945" t="str">
        <f>_xlfn.XLOOKUP(AllDataCorrected[[#This Row],[Site Name]],LocationsKey[Site Name], LocationsKey[Waterway])</f>
        <v>Fosseway Brook</v>
      </c>
      <c r="K945" t="s">
        <v>1373</v>
      </c>
      <c r="L945">
        <f>_xlfn.XLOOKUP(AllDataCorrected[[#This Row],[Site Name]],Tables!$B$12:$B$78, Tables!C$12:C$78)</f>
        <v>52.090077380952394</v>
      </c>
      <c r="M945">
        <f>_xlfn.XLOOKUP(AllDataCorrected[[#This Row],[Site Name]],Tables!$B$12:$B$78, Tables!D$12:D$78)</f>
        <v>-1.6926051666666673</v>
      </c>
      <c r="N945" t="s">
        <v>66</v>
      </c>
      <c r="O945">
        <v>630</v>
      </c>
      <c r="P945">
        <v>19.3</v>
      </c>
      <c r="Q945">
        <v>2</v>
      </c>
      <c r="R945" t="str">
        <f>IF(AllDataCorrected[[#This Row],[Nitrate (PPM)]]&gt;2, "4. Very high (&gt;2ppm)", IF(AllDataCorrected[[#This Row],[Nitrate (PPM)]]&gt;1, "3. High (1-2ppm)", IF(AllDataCorrected[[#This Row],[Nitrate (PPM)]]&gt;0.5, "2. Some evidence (0.5-1ppm)", IF(AllDataCorrected[[#This Row],[Nitrate (PPM)]]&gt;=0, "1. No evidence (&lt;0.5ppm)"))))</f>
        <v>3. High (1-2ppm)</v>
      </c>
      <c r="S945">
        <v>0.1</v>
      </c>
      <c r="T94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946" spans="1:22" x14ac:dyDescent="0.25">
      <c r="A946" t="s">
        <v>1798</v>
      </c>
      <c r="B946" s="2">
        <v>45459</v>
      </c>
      <c r="C946" t="str" cm="1">
        <f t="array" ref="C9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6">
        <f>YEAR(AllDataCorrected[[#This Row],[Date]])</f>
        <v>2024</v>
      </c>
      <c r="F94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6" t="str">
        <f>_xlfn.XLOOKUP(AllDataCorrected[[#This Row],[Location Name]], Locations[Location Name],Locations[Group As])</f>
        <v>Site 2  :  Cross Leys culvert</v>
      </c>
      <c r="H946" t="e" vm="2">
        <f>_xlfn.XLOOKUP(AllDataCorrected[[#This Row],[Site Name]],LocationsKey[Site Name],LocationsKey[District])</f>
        <v>#VALUE!</v>
      </c>
      <c r="I946" t="e" vm="11">
        <f>_xlfn.XLOOKUP(AllDataCorrected[[#This Row],[Site Name]],LocationsKey[Site Name],LocationsKey[Town])</f>
        <v>#VALUE!</v>
      </c>
      <c r="J946" t="str">
        <f>_xlfn.XLOOKUP(AllDataCorrected[[#This Row],[Site Name]],LocationsKey[Site Name], LocationsKey[Waterway])</f>
        <v>Fosseway Brook</v>
      </c>
      <c r="K946" t="s">
        <v>1860</v>
      </c>
      <c r="L946">
        <f>_xlfn.XLOOKUP(AllDataCorrected[[#This Row],[Site Name]],Tables!$B$12:$B$78, Tables!C$12:C$78)</f>
        <v>52.092990199999988</v>
      </c>
      <c r="M946">
        <f>_xlfn.XLOOKUP(AllDataCorrected[[#This Row],[Site Name]],Tables!$B$12:$B$78, Tables!D$12:D$78)</f>
        <v>-1.6862810999999998</v>
      </c>
      <c r="N946" t="s">
        <v>66</v>
      </c>
      <c r="O946">
        <v>723</v>
      </c>
      <c r="P946">
        <v>17</v>
      </c>
      <c r="Q946">
        <v>2</v>
      </c>
      <c r="R946" t="str">
        <f>IF(AllDataCorrected[[#This Row],[Nitrate (PPM)]]&gt;2, "4. Very high (&gt;2ppm)", IF(AllDataCorrected[[#This Row],[Nitrate (PPM)]]&gt;1, "3. High (1-2ppm)", IF(AllDataCorrected[[#This Row],[Nitrate (PPM)]]&gt;0.5, "2. Some evidence (0.5-1ppm)", IF(AllDataCorrected[[#This Row],[Nitrate (PPM)]]&gt;=0, "1. No evidence (&lt;0.5ppm)"))))</f>
        <v>3. High (1-2ppm)</v>
      </c>
      <c r="S946">
        <v>0.41</v>
      </c>
      <c r="T9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6">
        <v>0</v>
      </c>
      <c r="V946" t="s">
        <v>1909</v>
      </c>
    </row>
    <row r="947" spans="1:22" x14ac:dyDescent="0.25">
      <c r="A947" t="s">
        <v>1386</v>
      </c>
      <c r="B947" s="2">
        <v>45459</v>
      </c>
      <c r="C947" t="str" cm="1">
        <f t="array" ref="C9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7">
        <f>YEAR(AllDataCorrected[[#This Row],[Date]])</f>
        <v>2024</v>
      </c>
      <c r="F94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7" t="str">
        <f>_xlfn.XLOOKUP(AllDataCorrected[[#This Row],[Location Name]], Locations[Location Name],Locations[Group As])</f>
        <v>Site 2  :  Cross Leys culvert</v>
      </c>
      <c r="H947" t="e" vm="2">
        <f>_xlfn.XLOOKUP(AllDataCorrected[[#This Row],[Site Name]],LocationsKey[Site Name],LocationsKey[District])</f>
        <v>#VALUE!</v>
      </c>
      <c r="I947" t="e" vm="11">
        <f>_xlfn.XLOOKUP(AllDataCorrected[[#This Row],[Site Name]],LocationsKey[Site Name],LocationsKey[Town])</f>
        <v>#VALUE!</v>
      </c>
      <c r="J947" t="str">
        <f>_xlfn.XLOOKUP(AllDataCorrected[[#This Row],[Site Name]],LocationsKey[Site Name], LocationsKey[Waterway])</f>
        <v>Fosseway Brook</v>
      </c>
      <c r="K947" t="s">
        <v>1371</v>
      </c>
      <c r="L947">
        <f>_xlfn.XLOOKUP(AllDataCorrected[[#This Row],[Site Name]],Tables!$B$12:$B$78, Tables!C$12:C$78)</f>
        <v>52.092990199999988</v>
      </c>
      <c r="M947">
        <f>_xlfn.XLOOKUP(AllDataCorrected[[#This Row],[Site Name]],Tables!$B$12:$B$78, Tables!D$12:D$78)</f>
        <v>-1.6862810999999998</v>
      </c>
      <c r="N947" t="s">
        <v>66</v>
      </c>
      <c r="O947">
        <v>723</v>
      </c>
      <c r="P947">
        <v>17</v>
      </c>
      <c r="Q947">
        <v>2</v>
      </c>
      <c r="R947" t="str">
        <f>IF(AllDataCorrected[[#This Row],[Nitrate (PPM)]]&gt;2, "4. Very high (&gt;2ppm)", IF(AllDataCorrected[[#This Row],[Nitrate (PPM)]]&gt;1, "3. High (1-2ppm)", IF(AllDataCorrected[[#This Row],[Nitrate (PPM)]]&gt;0.5, "2. Some evidence (0.5-1ppm)", IF(AllDataCorrected[[#This Row],[Nitrate (PPM)]]&gt;=0, "1. No evidence (&lt;0.5ppm)"))))</f>
        <v>3. High (1-2ppm)</v>
      </c>
      <c r="S947">
        <v>0.41</v>
      </c>
      <c r="T9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948" spans="1:22" x14ac:dyDescent="0.25">
      <c r="A948" t="s">
        <v>1799</v>
      </c>
      <c r="B948" s="2">
        <v>45459</v>
      </c>
      <c r="C948" t="str" cm="1">
        <f t="array" ref="C9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8">
        <f>YEAR(AllDataCorrected[[#This Row],[Date]])</f>
        <v>2024</v>
      </c>
      <c r="F94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8" t="str">
        <f>_xlfn.XLOOKUP(AllDataCorrected[[#This Row],[Location Name]], Locations[Location Name],Locations[Group As])</f>
        <v>Site 3  :  Severn Trent Water processing plant outflow</v>
      </c>
      <c r="H948" t="e" vm="2">
        <f>_xlfn.XLOOKUP(AllDataCorrected[[#This Row],[Site Name]],LocationsKey[Site Name],LocationsKey[District])</f>
        <v>#VALUE!</v>
      </c>
      <c r="I948" t="e" vm="11">
        <f>_xlfn.XLOOKUP(AllDataCorrected[[#This Row],[Site Name]],LocationsKey[Site Name],LocationsKey[Town])</f>
        <v>#VALUE!</v>
      </c>
      <c r="J948" t="str">
        <f>_xlfn.XLOOKUP(AllDataCorrected[[#This Row],[Site Name]],LocationsKey[Site Name], LocationsKey[Waterway])</f>
        <v>Fosseway Brook</v>
      </c>
      <c r="K948" t="s">
        <v>1861</v>
      </c>
      <c r="L948">
        <f>_xlfn.XLOOKUP(AllDataCorrected[[#This Row],[Site Name]],Tables!$B$12:$B$78, Tables!C$12:C$78)</f>
        <v>52.094341024390218</v>
      </c>
      <c r="M948">
        <f>_xlfn.XLOOKUP(AllDataCorrected[[#This Row],[Site Name]],Tables!$B$12:$B$78, Tables!D$12:D$78)</f>
        <v>-1.6731015853658531</v>
      </c>
      <c r="N948" t="s">
        <v>29</v>
      </c>
      <c r="O948">
        <v>935</v>
      </c>
      <c r="P948">
        <v>18</v>
      </c>
      <c r="Q948">
        <v>10</v>
      </c>
      <c r="R948" t="str">
        <f>IF(AllDataCorrected[[#This Row],[Nitrate (PPM)]]&gt;2, "4. Very high (&gt;2ppm)", IF(AllDataCorrected[[#This Row],[Nitrate (PPM)]]&gt;1, "3. High (1-2ppm)", IF(AllDataCorrected[[#This Row],[Nitrate (PPM)]]&gt;0.5, "2. Some evidence (0.5-1ppm)", IF(AllDataCorrected[[#This Row],[Nitrate (PPM)]]&gt;=0, "1. No evidence (&lt;0.5ppm)"))))</f>
        <v>4. Very high (&gt;2ppm)</v>
      </c>
      <c r="S948">
        <v>2.5</v>
      </c>
      <c r="T9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8">
        <v>0</v>
      </c>
      <c r="V948" t="s">
        <v>1910</v>
      </c>
    </row>
    <row r="949" spans="1:22" x14ac:dyDescent="0.25">
      <c r="A949" t="s">
        <v>1385</v>
      </c>
      <c r="B949" s="2">
        <v>45459</v>
      </c>
      <c r="C949" t="str" cm="1">
        <f t="array" ref="C9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9">
        <f>YEAR(AllDataCorrected[[#This Row],[Date]])</f>
        <v>2024</v>
      </c>
      <c r="F94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9" t="str">
        <f>_xlfn.XLOOKUP(AllDataCorrected[[#This Row],[Location Name]], Locations[Location Name],Locations[Group As])</f>
        <v>Site 3  :  Severn Trent Water processing plant outflow</v>
      </c>
      <c r="H949" t="e" vm="2">
        <f>_xlfn.XLOOKUP(AllDataCorrected[[#This Row],[Site Name]],LocationsKey[Site Name],LocationsKey[District])</f>
        <v>#VALUE!</v>
      </c>
      <c r="I949" t="e" vm="11">
        <f>_xlfn.XLOOKUP(AllDataCorrected[[#This Row],[Site Name]],LocationsKey[Site Name],LocationsKey[Town])</f>
        <v>#VALUE!</v>
      </c>
      <c r="J949" t="str">
        <f>_xlfn.XLOOKUP(AllDataCorrected[[#This Row],[Site Name]],LocationsKey[Site Name], LocationsKey[Waterway])</f>
        <v>Fosseway Brook</v>
      </c>
      <c r="K949" t="s">
        <v>1368</v>
      </c>
      <c r="L949">
        <f>_xlfn.XLOOKUP(AllDataCorrected[[#This Row],[Site Name]],Tables!$B$12:$B$78, Tables!C$12:C$78)</f>
        <v>52.094341024390218</v>
      </c>
      <c r="M949">
        <f>_xlfn.XLOOKUP(AllDataCorrected[[#This Row],[Site Name]],Tables!$B$12:$B$78, Tables!D$12:D$78)</f>
        <v>-1.6731015853658531</v>
      </c>
      <c r="N949" t="s">
        <v>29</v>
      </c>
      <c r="O949">
        <v>935</v>
      </c>
      <c r="P949">
        <v>18</v>
      </c>
      <c r="Q949">
        <v>10</v>
      </c>
      <c r="R949" t="str">
        <f>IF(AllDataCorrected[[#This Row],[Nitrate (PPM)]]&gt;2, "4. Very high (&gt;2ppm)", IF(AllDataCorrected[[#This Row],[Nitrate (PPM)]]&gt;1, "3. High (1-2ppm)", IF(AllDataCorrected[[#This Row],[Nitrate (PPM)]]&gt;0.5, "2. Some evidence (0.5-1ppm)", IF(AllDataCorrected[[#This Row],[Nitrate (PPM)]]&gt;=0, "1. No evidence (&lt;0.5ppm)"))))</f>
        <v>4. Very high (&gt;2ppm)</v>
      </c>
      <c r="S949">
        <v>2.5</v>
      </c>
      <c r="T9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50" spans="1:22" x14ac:dyDescent="0.25">
      <c r="A950" t="s">
        <v>1268</v>
      </c>
      <c r="B950" s="2">
        <v>45460</v>
      </c>
      <c r="C950" t="str" cm="1">
        <f t="array" ref="C9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0">
        <f>YEAR(AllDataCorrected[[#This Row],[Date]])</f>
        <v>2024</v>
      </c>
      <c r="E950" s="1">
        <v>0.41458333333333336</v>
      </c>
      <c r="F9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0" t="str">
        <f>_xlfn.XLOOKUP(AllDataCorrected[[#This Row],[Location Name]], Locations[Location Name],Locations[Group As])</f>
        <v>Stour Stretton-on-Fosse Village</v>
      </c>
      <c r="H950" t="e" vm="2">
        <f>_xlfn.XLOOKUP(AllDataCorrected[[#This Row],[Site Name]],LocationsKey[Site Name],LocationsKey[District])</f>
        <v>#VALUE!</v>
      </c>
      <c r="I950" t="e" vm="14">
        <f>_xlfn.XLOOKUP(AllDataCorrected[[#This Row],[Site Name]],LocationsKey[Site Name],LocationsKey[Town])</f>
        <v>#VALUE!</v>
      </c>
      <c r="J950" t="str">
        <f>_xlfn.XLOOKUP(AllDataCorrected[[#This Row],[Site Name]],LocationsKey[Site Name], LocationsKey[Waterway])</f>
        <v>Stour</v>
      </c>
      <c r="K950" t="s">
        <v>544</v>
      </c>
      <c r="L950">
        <f>_xlfn.XLOOKUP(AllDataCorrected[[#This Row],[Site Name]],Tables!$B$12:$B$78, Tables!C$12:C$78)</f>
        <v>52.046517558823524</v>
      </c>
      <c r="M950">
        <f>_xlfn.XLOOKUP(AllDataCorrected[[#This Row],[Site Name]],Tables!$B$12:$B$78, Tables!D$12:D$78)</f>
        <v>-1.6734143529411767</v>
      </c>
      <c r="N950" t="s">
        <v>66</v>
      </c>
      <c r="O950">
        <v>690</v>
      </c>
      <c r="P950">
        <v>12.6</v>
      </c>
      <c r="Q950">
        <v>0.5</v>
      </c>
      <c r="R95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50">
        <v>2.5</v>
      </c>
      <c r="T9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0">
        <v>0.2</v>
      </c>
      <c r="V950" t="s">
        <v>1269</v>
      </c>
    </row>
    <row r="951" spans="1:22" x14ac:dyDescent="0.25">
      <c r="A951" t="s">
        <v>1267</v>
      </c>
      <c r="B951" s="2">
        <v>45460</v>
      </c>
      <c r="C951" t="str" cm="1">
        <f t="array" ref="C9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1">
        <f>YEAR(AllDataCorrected[[#This Row],[Date]])</f>
        <v>2024</v>
      </c>
      <c r="E951" s="1">
        <v>0.42222222222222222</v>
      </c>
      <c r="F9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1" t="str">
        <f>_xlfn.XLOOKUP(AllDataCorrected[[#This Row],[Location Name]], Locations[Location Name],Locations[Group As])</f>
        <v>Stour Stretton-on-Fosse Sewage Works</v>
      </c>
      <c r="H951" t="e" vm="2">
        <f>_xlfn.XLOOKUP(AllDataCorrected[[#This Row],[Site Name]],LocationsKey[Site Name],LocationsKey[District])</f>
        <v>#VALUE!</v>
      </c>
      <c r="I951" t="e" vm="14">
        <f>_xlfn.XLOOKUP(AllDataCorrected[[#This Row],[Site Name]],LocationsKey[Site Name],LocationsKey[Town])</f>
        <v>#VALUE!</v>
      </c>
      <c r="J951" t="str">
        <f>_xlfn.XLOOKUP(AllDataCorrected[[#This Row],[Site Name]],LocationsKey[Site Name], LocationsKey[Waterway])</f>
        <v>Stour</v>
      </c>
      <c r="K951" t="s">
        <v>335</v>
      </c>
      <c r="L951">
        <f>_xlfn.XLOOKUP(AllDataCorrected[[#This Row],[Site Name]],Tables!$B$12:$B$78, Tables!C$12:C$78)</f>
        <v>52.045653647058806</v>
      </c>
      <c r="M951">
        <f>_xlfn.XLOOKUP(AllDataCorrected[[#This Row],[Site Name]],Tables!$B$12:$B$78, Tables!D$12:D$78)</f>
        <v>-1.6719221470588235</v>
      </c>
      <c r="N951" t="s">
        <v>29</v>
      </c>
      <c r="O951">
        <v>818</v>
      </c>
      <c r="P951">
        <v>14.4</v>
      </c>
      <c r="Q951">
        <v>2</v>
      </c>
      <c r="R951" t="str">
        <f>IF(AllDataCorrected[[#This Row],[Nitrate (PPM)]]&gt;2, "4. Very high (&gt;2ppm)", IF(AllDataCorrected[[#This Row],[Nitrate (PPM)]]&gt;1, "3. High (1-2ppm)", IF(AllDataCorrected[[#This Row],[Nitrate (PPM)]]&gt;0.5, "2. Some evidence (0.5-1ppm)", IF(AllDataCorrected[[#This Row],[Nitrate (PPM)]]&gt;=0, "1. No evidence (&lt;0.5ppm)"))))</f>
        <v>3. High (1-2ppm)</v>
      </c>
      <c r="S951">
        <v>2.5</v>
      </c>
      <c r="T9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1">
        <v>0.3</v>
      </c>
      <c r="V951" t="s">
        <v>1201</v>
      </c>
    </row>
    <row r="952" spans="1:22" x14ac:dyDescent="0.25">
      <c r="A952" t="s">
        <v>1272</v>
      </c>
      <c r="B952" s="2">
        <v>45461</v>
      </c>
      <c r="C952" t="str" cm="1">
        <f t="array" ref="C9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2">
        <f>YEAR(AllDataCorrected[[#This Row],[Date]])</f>
        <v>2024</v>
      </c>
      <c r="E952" s="1">
        <v>0.4513888888888889</v>
      </c>
      <c r="F9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2" t="str">
        <f>_xlfn.XLOOKUP(AllDataCorrected[[#This Row],[Location Name]], Locations[Location Name],Locations[Group As])</f>
        <v>Carrant Mitton Path</v>
      </c>
      <c r="H952" t="e" vm="1">
        <f>_xlfn.XLOOKUP(AllDataCorrected[[#This Row],[Site Name]],LocationsKey[Site Name],LocationsKey[District])</f>
        <v>#VALUE!</v>
      </c>
      <c r="I952" t="e" vm="1">
        <f>_xlfn.XLOOKUP(AllDataCorrected[[#This Row],[Site Name]],LocationsKey[Site Name],LocationsKey[Town])</f>
        <v>#VALUE!</v>
      </c>
      <c r="J952" t="str">
        <f>_xlfn.XLOOKUP(AllDataCorrected[[#This Row],[Site Name]],LocationsKey[Site Name], LocationsKey[Waterway])</f>
        <v>Carrant</v>
      </c>
      <c r="K952" t="s">
        <v>958</v>
      </c>
      <c r="L952">
        <f>_xlfn.XLOOKUP(AllDataCorrected[[#This Row],[Site Name]],Tables!$B$12:$B$78, Tables!C$12:C$78)</f>
        <v>51.999946066666674</v>
      </c>
      <c r="M952">
        <f>_xlfn.XLOOKUP(AllDataCorrected[[#This Row],[Site Name]],Tables!$B$12:$B$78, Tables!D$12:D$78)</f>
        <v>-2.1414862000000006</v>
      </c>
      <c r="N952" t="s">
        <v>23</v>
      </c>
      <c r="O952">
        <v>688</v>
      </c>
      <c r="P952">
        <v>16</v>
      </c>
      <c r="Q952">
        <v>4</v>
      </c>
      <c r="R952" t="str">
        <f>IF(AllDataCorrected[[#This Row],[Nitrate (PPM)]]&gt;2, "4. Very high (&gt;2ppm)", IF(AllDataCorrected[[#This Row],[Nitrate (PPM)]]&gt;1, "3. High (1-2ppm)", IF(AllDataCorrected[[#This Row],[Nitrate (PPM)]]&gt;0.5, "2. Some evidence (0.5-1ppm)", IF(AllDataCorrected[[#This Row],[Nitrate (PPM)]]&gt;=0, "1. No evidence (&lt;0.5ppm)"))))</f>
        <v>4. Very high (&gt;2ppm)</v>
      </c>
      <c r="S952">
        <v>0.56000000000000005</v>
      </c>
      <c r="T9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2">
        <v>0</v>
      </c>
    </row>
    <row r="953" spans="1:22" x14ac:dyDescent="0.25">
      <c r="A953" t="s">
        <v>1271</v>
      </c>
      <c r="B953" s="2">
        <v>45461</v>
      </c>
      <c r="C953" t="str" cm="1">
        <f t="array" ref="C9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3">
        <f>YEAR(AllDataCorrected[[#This Row],[Date]])</f>
        <v>2024</v>
      </c>
      <c r="E953" s="1">
        <v>0.46736111111111112</v>
      </c>
      <c r="F9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3" t="str">
        <f>_xlfn.XLOOKUP(AllDataCorrected[[#This Row],[Location Name]], Locations[Location Name],Locations[Group As])</f>
        <v>Carrant M5 Bridge</v>
      </c>
      <c r="H953" t="e" vm="1">
        <f>_xlfn.XLOOKUP(AllDataCorrected[[#This Row],[Site Name]],LocationsKey[Site Name],LocationsKey[District])</f>
        <v>#VALUE!</v>
      </c>
      <c r="I953" t="e" vm="1">
        <f>_xlfn.XLOOKUP(AllDataCorrected[[#This Row],[Site Name]],LocationsKey[Site Name],LocationsKey[Town])</f>
        <v>#VALUE!</v>
      </c>
      <c r="J953" t="str">
        <f>_xlfn.XLOOKUP(AllDataCorrected[[#This Row],[Site Name]],LocationsKey[Site Name], LocationsKey[Waterway])</f>
        <v>Carrant</v>
      </c>
      <c r="K953" t="s">
        <v>960</v>
      </c>
      <c r="L953">
        <f>_xlfn.XLOOKUP(AllDataCorrected[[#This Row],[Site Name]],Tables!$B$12:$B$78, Tables!C$12:C$78)</f>
        <v>52.011600000000001</v>
      </c>
      <c r="M953">
        <f>_xlfn.XLOOKUP(AllDataCorrected[[#This Row],[Site Name]],Tables!$B$12:$B$78, Tables!D$12:D$78)</f>
        <v>-2.1206</v>
      </c>
      <c r="N953" t="s">
        <v>23</v>
      </c>
      <c r="O953">
        <v>742</v>
      </c>
      <c r="P953">
        <v>16.100000000000001</v>
      </c>
      <c r="Q953">
        <v>5</v>
      </c>
      <c r="R953" t="str">
        <f>IF(AllDataCorrected[[#This Row],[Nitrate (PPM)]]&gt;2, "4. Very high (&gt;2ppm)", IF(AllDataCorrected[[#This Row],[Nitrate (PPM)]]&gt;1, "3. High (1-2ppm)", IF(AllDataCorrected[[#This Row],[Nitrate (PPM)]]&gt;0.5, "2. Some evidence (0.5-1ppm)", IF(AllDataCorrected[[#This Row],[Nitrate (PPM)]]&gt;=0, "1. No evidence (&lt;0.5ppm)"))))</f>
        <v>4. Very high (&gt;2ppm)</v>
      </c>
      <c r="S953">
        <v>0.48</v>
      </c>
      <c r="T9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3">
        <v>0</v>
      </c>
    </row>
    <row r="954" spans="1:22" x14ac:dyDescent="0.25">
      <c r="A954" t="s">
        <v>1270</v>
      </c>
      <c r="B954" s="2">
        <v>45461</v>
      </c>
      <c r="C954" t="str" cm="1">
        <f t="array" ref="C9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4">
        <f>YEAR(AllDataCorrected[[#This Row],[Date]])</f>
        <v>2024</v>
      </c>
      <c r="E954" s="1">
        <v>0.61736111111111114</v>
      </c>
      <c r="F9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4" t="str">
        <f>_xlfn.XLOOKUP(AllDataCorrected[[#This Row],[Location Name]], Locations[Location Name],Locations[Group As])</f>
        <v>Abbey Mill</v>
      </c>
      <c r="H954" t="e" vm="1">
        <f>_xlfn.XLOOKUP(AllDataCorrected[[#This Row],[Site Name]],LocationsKey[Site Name],LocationsKey[District])</f>
        <v>#VALUE!</v>
      </c>
      <c r="I954" t="e" vm="1">
        <f>_xlfn.XLOOKUP(AllDataCorrected[[#This Row],[Site Name]],LocationsKey[Site Name],LocationsKey[Town])</f>
        <v>#VALUE!</v>
      </c>
      <c r="J954" t="str">
        <f>_xlfn.XLOOKUP(AllDataCorrected[[#This Row],[Site Name]],LocationsKey[Site Name], LocationsKey[Waterway])</f>
        <v>Avon</v>
      </c>
      <c r="K954" t="s">
        <v>25</v>
      </c>
      <c r="L954">
        <f>_xlfn.XLOOKUP(AllDataCorrected[[#This Row],[Site Name]],Tables!$B$12:$B$78, Tables!C$12:C$78)</f>
        <v>51.991389555555564</v>
      </c>
      <c r="M954">
        <f>_xlfn.XLOOKUP(AllDataCorrected[[#This Row],[Site Name]],Tables!$B$12:$B$78, Tables!D$12:D$78)</f>
        <v>-2.1620794000000005</v>
      </c>
      <c r="N954" t="s">
        <v>23</v>
      </c>
      <c r="O954">
        <v>1010</v>
      </c>
      <c r="P954">
        <v>17.100000000000001</v>
      </c>
      <c r="Q954">
        <v>10</v>
      </c>
      <c r="R954" t="str">
        <f>IF(AllDataCorrected[[#This Row],[Nitrate (PPM)]]&gt;2, "4. Very high (&gt;2ppm)", IF(AllDataCorrected[[#This Row],[Nitrate (PPM)]]&gt;1, "3. High (1-2ppm)", IF(AllDataCorrected[[#This Row],[Nitrate (PPM)]]&gt;0.5, "2. Some evidence (0.5-1ppm)", IF(AllDataCorrected[[#This Row],[Nitrate (PPM)]]&gt;=0, "1. No evidence (&lt;0.5ppm)"))))</f>
        <v>4. Very high (&gt;2ppm)</v>
      </c>
      <c r="S954">
        <v>0.65</v>
      </c>
      <c r="T9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4">
        <v>0.5</v>
      </c>
    </row>
    <row r="955" spans="1:22" x14ac:dyDescent="0.25">
      <c r="A955" t="s">
        <v>1273</v>
      </c>
      <c r="B955" s="2">
        <v>45462</v>
      </c>
      <c r="C955" t="str" cm="1">
        <f t="array" ref="C9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5">
        <f>YEAR(AllDataCorrected[[#This Row],[Date]])</f>
        <v>2024</v>
      </c>
      <c r="E955" s="1">
        <v>0.52638888888888891</v>
      </c>
      <c r="F9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5" t="str">
        <f>_xlfn.XLOOKUP(AllDataCorrected[[#This Row],[Location Name]], Locations[Location Name],Locations[Group As])</f>
        <v>Swiffen Bank</v>
      </c>
      <c r="H955" t="e" vm="2">
        <f>_xlfn.XLOOKUP(AllDataCorrected[[#This Row],[Site Name]],LocationsKey[Site Name],LocationsKey[District])</f>
        <v>#VALUE!</v>
      </c>
      <c r="I955" t="e" vm="13">
        <f>_xlfn.XLOOKUP(AllDataCorrected[[#This Row],[Site Name]],LocationsKey[Site Name],LocationsKey[Town])</f>
        <v>#VALUE!</v>
      </c>
      <c r="J955" t="str">
        <f>_xlfn.XLOOKUP(AllDataCorrected[[#This Row],[Site Name]],LocationsKey[Site Name], LocationsKey[Waterway])</f>
        <v>Avon</v>
      </c>
      <c r="K955" t="s">
        <v>284</v>
      </c>
      <c r="L955">
        <f>_xlfn.XLOOKUP(AllDataCorrected[[#This Row],[Site Name]],Tables!$B$12:$B$78, Tables!C$12:C$78)</f>
        <v>52.206446825000015</v>
      </c>
      <c r="M955">
        <f>_xlfn.XLOOKUP(AllDataCorrected[[#This Row],[Site Name]],Tables!$B$12:$B$78, Tables!D$12:D$78)</f>
        <v>-1.6541684000000003</v>
      </c>
      <c r="N955" t="s">
        <v>29</v>
      </c>
      <c r="O955">
        <v>685</v>
      </c>
      <c r="P955">
        <v>17.7</v>
      </c>
      <c r="Q955">
        <v>10</v>
      </c>
      <c r="R955" t="str">
        <f>IF(AllDataCorrected[[#This Row],[Nitrate (PPM)]]&gt;2, "4. Very high (&gt;2ppm)", IF(AllDataCorrected[[#This Row],[Nitrate (PPM)]]&gt;1, "3. High (1-2ppm)", IF(AllDataCorrected[[#This Row],[Nitrate (PPM)]]&gt;0.5, "2. Some evidence (0.5-1ppm)", IF(AllDataCorrected[[#This Row],[Nitrate (PPM)]]&gt;=0, "1. No evidence (&lt;0.5ppm)"))))</f>
        <v>4. Very high (&gt;2ppm)</v>
      </c>
      <c r="S955">
        <v>0.15</v>
      </c>
      <c r="T9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5">
        <v>0</v>
      </c>
      <c r="V955" t="s">
        <v>1274</v>
      </c>
    </row>
    <row r="956" spans="1:22" x14ac:dyDescent="0.25">
      <c r="A956" t="s">
        <v>1275</v>
      </c>
      <c r="B956" s="2">
        <v>45462</v>
      </c>
      <c r="C956" t="str" cm="1">
        <f t="array" ref="C9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6">
        <f>YEAR(AllDataCorrected[[#This Row],[Date]])</f>
        <v>2024</v>
      </c>
      <c r="E956" s="1">
        <v>0.55000000000000004</v>
      </c>
      <c r="F9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6" t="str">
        <f>_xlfn.XLOOKUP(AllDataCorrected[[#This Row],[Location Name]], Locations[Location Name],Locations[Group As])</f>
        <v>Alveston Weir</v>
      </c>
      <c r="H956" t="e" vm="2">
        <f>_xlfn.XLOOKUP(AllDataCorrected[[#This Row],[Site Name]],LocationsKey[Site Name],LocationsKey[District])</f>
        <v>#VALUE!</v>
      </c>
      <c r="I956" t="e" vm="13">
        <f>_xlfn.XLOOKUP(AllDataCorrected[[#This Row],[Site Name]],LocationsKey[Site Name],LocationsKey[Town])</f>
        <v>#VALUE!</v>
      </c>
      <c r="J956" t="str">
        <f>_xlfn.XLOOKUP(AllDataCorrected[[#This Row],[Site Name]],LocationsKey[Site Name], LocationsKey[Waterway])</f>
        <v>Avon</v>
      </c>
      <c r="K956" t="s">
        <v>286</v>
      </c>
      <c r="L956">
        <f>_xlfn.XLOOKUP(AllDataCorrected[[#This Row],[Site Name]],Tables!$B$12:$B$78, Tables!C$12:C$78)</f>
        <v>52.212366690476216</v>
      </c>
      <c r="M956">
        <f>_xlfn.XLOOKUP(AllDataCorrected[[#This Row],[Site Name]],Tables!$B$12:$B$78, Tables!D$12:D$78)</f>
        <v>-1.6602567619047619</v>
      </c>
      <c r="N956" t="s">
        <v>29</v>
      </c>
      <c r="O956">
        <v>777</v>
      </c>
      <c r="P956">
        <v>19.100000000000001</v>
      </c>
      <c r="Q956">
        <v>5</v>
      </c>
      <c r="R956" t="str">
        <f>IF(AllDataCorrected[[#This Row],[Nitrate (PPM)]]&gt;2, "4. Very high (&gt;2ppm)", IF(AllDataCorrected[[#This Row],[Nitrate (PPM)]]&gt;1, "3. High (1-2ppm)", IF(AllDataCorrected[[#This Row],[Nitrate (PPM)]]&gt;0.5, "2. Some evidence (0.5-1ppm)", IF(AllDataCorrected[[#This Row],[Nitrate (PPM)]]&gt;=0, "1. No evidence (&lt;0.5ppm)"))))</f>
        <v>4. Very high (&gt;2ppm)</v>
      </c>
      <c r="S956">
        <v>0.41</v>
      </c>
      <c r="T9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6">
        <v>0</v>
      </c>
    </row>
    <row r="957" spans="1:22" x14ac:dyDescent="0.25">
      <c r="A957" t="s">
        <v>1276</v>
      </c>
      <c r="B957" s="2">
        <v>45463</v>
      </c>
      <c r="C957" t="str" cm="1">
        <f t="array" ref="C9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7">
        <f>YEAR(AllDataCorrected[[#This Row],[Date]])</f>
        <v>2024</v>
      </c>
      <c r="E957" s="1">
        <v>0.67708333333333337</v>
      </c>
      <c r="F9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7" t="str">
        <f>_xlfn.XLOOKUP(AllDataCorrected[[#This Row],[Location Name]], Locations[Location Name],Locations[Group As])</f>
        <v>The Ford, Langley</v>
      </c>
      <c r="H957" t="e" vm="2">
        <f>_xlfn.XLOOKUP(AllDataCorrected[[#This Row],[Site Name]],LocationsKey[Site Name],LocationsKey[District])</f>
        <v>#VALUE!</v>
      </c>
      <c r="I957" t="str">
        <f>_xlfn.XLOOKUP(AllDataCorrected[[#This Row],[Site Name]],LocationsKey[Site Name],LocationsKey[Town])</f>
        <v>Langley</v>
      </c>
      <c r="J957" t="str">
        <f>_xlfn.XLOOKUP(AllDataCorrected[[#This Row],[Site Name]],LocationsKey[Site Name], LocationsKey[Waterway])</f>
        <v>Langley Ford</v>
      </c>
      <c r="K957" t="s">
        <v>557</v>
      </c>
      <c r="L957">
        <f>_xlfn.XLOOKUP(AllDataCorrected[[#This Row],[Site Name]],Tables!$B$12:$B$78, Tables!C$12:C$78)</f>
        <v>52.261724821428579</v>
      </c>
      <c r="M957">
        <f>_xlfn.XLOOKUP(AllDataCorrected[[#This Row],[Site Name]],Tables!$B$12:$B$78, Tables!D$12:D$78)</f>
        <v>-1.719408857142857</v>
      </c>
      <c r="N957" t="s">
        <v>29</v>
      </c>
      <c r="O957">
        <v>861</v>
      </c>
      <c r="P957">
        <v>15.1</v>
      </c>
      <c r="Q957">
        <v>5</v>
      </c>
      <c r="R957" t="str">
        <f>IF(AllDataCorrected[[#This Row],[Nitrate (PPM)]]&gt;2, "4. Very high (&gt;2ppm)", IF(AllDataCorrected[[#This Row],[Nitrate (PPM)]]&gt;1, "3. High (1-2ppm)", IF(AllDataCorrected[[#This Row],[Nitrate (PPM)]]&gt;0.5, "2. Some evidence (0.5-1ppm)", IF(AllDataCorrected[[#This Row],[Nitrate (PPM)]]&gt;=0, "1. No evidence (&lt;0.5ppm)"))))</f>
        <v>4. Very high (&gt;2ppm)</v>
      </c>
      <c r="S957">
        <v>0.7</v>
      </c>
      <c r="T9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7">
        <v>0.1</v>
      </c>
    </row>
    <row r="958" spans="1:22" x14ac:dyDescent="0.25">
      <c r="A958" t="s">
        <v>1278</v>
      </c>
      <c r="B958" s="2">
        <v>45464</v>
      </c>
      <c r="C958" t="str" cm="1">
        <f t="array" ref="C9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8">
        <f>YEAR(AllDataCorrected[[#This Row],[Date]])</f>
        <v>2024</v>
      </c>
      <c r="E958" s="1">
        <v>0.35416666666666669</v>
      </c>
      <c r="F9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8" t="str">
        <f>_xlfn.XLOOKUP(AllDataCorrected[[#This Row],[Location Name]], Locations[Location Name],Locations[Group As])</f>
        <v>Swilgate</v>
      </c>
      <c r="H958" t="e" vm="1">
        <f>_xlfn.XLOOKUP(AllDataCorrected[[#This Row],[Site Name]],LocationsKey[Site Name],LocationsKey[District])</f>
        <v>#VALUE!</v>
      </c>
      <c r="I958" t="e" vm="1">
        <f>_xlfn.XLOOKUP(AllDataCorrected[[#This Row],[Site Name]],LocationsKey[Site Name],LocationsKey[Town])</f>
        <v>#VALUE!</v>
      </c>
      <c r="J958" t="str">
        <f>_xlfn.XLOOKUP(AllDataCorrected[[#This Row],[Site Name]],LocationsKey[Site Name], LocationsKey[Waterway])</f>
        <v>Swilgate</v>
      </c>
      <c r="K958" t="s">
        <v>84</v>
      </c>
      <c r="L958">
        <f>_xlfn.XLOOKUP(AllDataCorrected[[#This Row],[Site Name]],Tables!$B$12:$B$78, Tables!C$12:C$78)</f>
        <v>51.9885442</v>
      </c>
      <c r="M958">
        <f>_xlfn.XLOOKUP(AllDataCorrected[[#This Row],[Site Name]],Tables!$B$12:$B$78, Tables!D$12:D$78)</f>
        <v>-2.1639010000000001</v>
      </c>
      <c r="N958" t="s">
        <v>23</v>
      </c>
      <c r="O958">
        <v>965</v>
      </c>
      <c r="P958">
        <v>17.100000000000001</v>
      </c>
      <c r="Q958">
        <v>4</v>
      </c>
      <c r="R958" t="str">
        <f>IF(AllDataCorrected[[#This Row],[Nitrate (PPM)]]&gt;2, "4. Very high (&gt;2ppm)", IF(AllDataCorrected[[#This Row],[Nitrate (PPM)]]&gt;1, "3. High (1-2ppm)", IF(AllDataCorrected[[#This Row],[Nitrate (PPM)]]&gt;0.5, "2. Some evidence (0.5-1ppm)", IF(AllDataCorrected[[#This Row],[Nitrate (PPM)]]&gt;=0, "1. No evidence (&lt;0.5ppm)"))))</f>
        <v>4. Very high (&gt;2ppm)</v>
      </c>
      <c r="S958">
        <v>1.28</v>
      </c>
      <c r="T9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8">
        <v>0</v>
      </c>
    </row>
    <row r="959" spans="1:22" x14ac:dyDescent="0.25">
      <c r="A959" t="s">
        <v>1277</v>
      </c>
      <c r="B959" s="2">
        <v>45464</v>
      </c>
      <c r="C959" t="str" cm="1">
        <f t="array" ref="C9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9">
        <f>YEAR(AllDataCorrected[[#This Row],[Date]])</f>
        <v>2024</v>
      </c>
      <c r="E959" s="1">
        <v>0.47916666666666669</v>
      </c>
      <c r="F9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9" t="str">
        <f>_xlfn.XLOOKUP(AllDataCorrected[[#This Row],[Location Name]], Locations[Location Name],Locations[Group As])</f>
        <v>Stour Willington</v>
      </c>
      <c r="H959" t="e" vm="2">
        <f>_xlfn.XLOOKUP(AllDataCorrected[[#This Row],[Site Name]],LocationsKey[Site Name],LocationsKey[District])</f>
        <v>#VALUE!</v>
      </c>
      <c r="I959" t="str">
        <f>_xlfn.XLOOKUP(AllDataCorrected[[#This Row],[Site Name]],LocationsKey[Site Name],LocationsKey[Town])</f>
        <v>Willington</v>
      </c>
      <c r="J959" t="str">
        <f>_xlfn.XLOOKUP(AllDataCorrected[[#This Row],[Site Name]],LocationsKey[Site Name], LocationsKey[Waterway])</f>
        <v>Stour</v>
      </c>
      <c r="K959" t="s">
        <v>517</v>
      </c>
      <c r="L959">
        <f>_xlfn.XLOOKUP(AllDataCorrected[[#This Row],[Site Name]],Tables!$B$12:$B$78, Tables!C$12:C$78)</f>
        <v>52.053154375000005</v>
      </c>
      <c r="M959">
        <f>_xlfn.XLOOKUP(AllDataCorrected[[#This Row],[Site Name]],Tables!$B$12:$B$78, Tables!D$12:D$78)</f>
        <v>-1.6191991562500001</v>
      </c>
      <c r="N959" t="s">
        <v>23</v>
      </c>
      <c r="O959">
        <v>619</v>
      </c>
      <c r="P959">
        <v>15.7</v>
      </c>
      <c r="Q959">
        <v>5</v>
      </c>
      <c r="R959" t="str">
        <f>IF(AllDataCorrected[[#This Row],[Nitrate (PPM)]]&gt;2, "4. Very high (&gt;2ppm)", IF(AllDataCorrected[[#This Row],[Nitrate (PPM)]]&gt;1, "3. High (1-2ppm)", IF(AllDataCorrected[[#This Row],[Nitrate (PPM)]]&gt;0.5, "2. Some evidence (0.5-1ppm)", IF(AllDataCorrected[[#This Row],[Nitrate (PPM)]]&gt;=0, "1. No evidence (&lt;0.5ppm)"))))</f>
        <v>4. Very high (&gt;2ppm)</v>
      </c>
      <c r="S959">
        <v>0.49</v>
      </c>
      <c r="T9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9">
        <v>0.5</v>
      </c>
    </row>
    <row r="960" spans="1:22" x14ac:dyDescent="0.25">
      <c r="A960" t="s">
        <v>1283</v>
      </c>
      <c r="B960" s="2">
        <v>45465</v>
      </c>
      <c r="C960" t="str" cm="1">
        <f t="array" ref="C9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0">
        <f>YEAR(AllDataCorrected[[#This Row],[Date]])</f>
        <v>2024</v>
      </c>
      <c r="E960" s="1">
        <v>0.41736111111111113</v>
      </c>
      <c r="F9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0" t="str">
        <f>_xlfn.XLOOKUP(AllDataCorrected[[#This Row],[Location Name]], Locations[Location Name],Locations[Group As])</f>
        <v>Avon Smiths Meadow Wyre Piddle</v>
      </c>
      <c r="H960" t="e" vm="17">
        <f>_xlfn.XLOOKUP(AllDataCorrected[[#This Row],[Site Name]],LocationsKey[Site Name],LocationsKey[District])</f>
        <v>#VALUE!</v>
      </c>
      <c r="I960" t="e" vm="20">
        <f>_xlfn.XLOOKUP(AllDataCorrected[[#This Row],[Site Name]],LocationsKey[Site Name],LocationsKey[Town])</f>
        <v>#VALUE!</v>
      </c>
      <c r="J960" t="str">
        <f>_xlfn.XLOOKUP(AllDataCorrected[[#This Row],[Site Name]],LocationsKey[Site Name], LocationsKey[Waterway])</f>
        <v>Avon</v>
      </c>
      <c r="K960" t="s">
        <v>741</v>
      </c>
      <c r="L960">
        <f>_xlfn.XLOOKUP(AllDataCorrected[[#This Row],[Site Name]],Tables!$B$12:$B$78, Tables!C$12:C$78)</f>
        <v>52.123045961538452</v>
      </c>
      <c r="M960">
        <f>_xlfn.XLOOKUP(AllDataCorrected[[#This Row],[Site Name]],Tables!$B$12:$B$78, Tables!D$12:D$78)</f>
        <v>-2.0572161923076919</v>
      </c>
      <c r="N960" t="s">
        <v>23</v>
      </c>
      <c r="O960">
        <v>991</v>
      </c>
      <c r="P960">
        <v>19</v>
      </c>
      <c r="Q960">
        <v>15</v>
      </c>
      <c r="R960" t="str">
        <f>IF(AllDataCorrected[[#This Row],[Nitrate (PPM)]]&gt;2, "4. Very high (&gt;2ppm)", IF(AllDataCorrected[[#This Row],[Nitrate (PPM)]]&gt;1, "3. High (1-2ppm)", IF(AllDataCorrected[[#This Row],[Nitrate (PPM)]]&gt;0.5, "2. Some evidence (0.5-1ppm)", IF(AllDataCorrected[[#This Row],[Nitrate (PPM)]]&gt;=0, "1. No evidence (&lt;0.5ppm)"))))</f>
        <v>4. Very high (&gt;2ppm)</v>
      </c>
      <c r="S960">
        <v>0.62</v>
      </c>
      <c r="T9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0">
        <v>0.66</v>
      </c>
      <c r="V960" t="s">
        <v>1284</v>
      </c>
    </row>
    <row r="961" spans="1:22" x14ac:dyDescent="0.25">
      <c r="A961" t="s">
        <v>1280</v>
      </c>
      <c r="B961" s="2">
        <v>45465</v>
      </c>
      <c r="C961" t="str" cm="1">
        <f t="array" ref="C9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1">
        <f>YEAR(AllDataCorrected[[#This Row],[Date]])</f>
        <v>2024</v>
      </c>
      <c r="E961" s="1">
        <v>0.4375</v>
      </c>
      <c r="F9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1" t="str">
        <f>_xlfn.XLOOKUP(AllDataCorrected[[#This Row],[Location Name]], Locations[Location Name],Locations[Group As])</f>
        <v>Piddle Brook Wyre Piddle Bridge</v>
      </c>
      <c r="H961" t="e" vm="17">
        <f>_xlfn.XLOOKUP(AllDataCorrected[[#This Row],[Site Name]],LocationsKey[Site Name],LocationsKey[District])</f>
        <v>#VALUE!</v>
      </c>
      <c r="I961" t="e" vm="20">
        <f>_xlfn.XLOOKUP(AllDataCorrected[[#This Row],[Site Name]],LocationsKey[Site Name],LocationsKey[Town])</f>
        <v>#VALUE!</v>
      </c>
      <c r="J961" t="str">
        <f>_xlfn.XLOOKUP(AllDataCorrected[[#This Row],[Site Name]],LocationsKey[Site Name], LocationsKey[Waterway])</f>
        <v>Piddle Brook</v>
      </c>
      <c r="K961" t="s">
        <v>744</v>
      </c>
      <c r="L961">
        <f>_xlfn.XLOOKUP(AllDataCorrected[[#This Row],[Site Name]],Tables!$B$12:$B$78, Tables!C$12:C$78)</f>
        <v>52.126401720000004</v>
      </c>
      <c r="M961">
        <f>_xlfn.XLOOKUP(AllDataCorrected[[#This Row],[Site Name]],Tables!$B$12:$B$78, Tables!D$12:D$78)</f>
        <v>-2.0565162000000003</v>
      </c>
      <c r="N961" t="s">
        <v>23</v>
      </c>
      <c r="O961">
        <v>1650</v>
      </c>
      <c r="P961">
        <v>17.100000000000001</v>
      </c>
      <c r="Q961">
        <v>10</v>
      </c>
      <c r="R961" t="str">
        <f>IF(AllDataCorrected[[#This Row],[Nitrate (PPM)]]&gt;2, "4. Very high (&gt;2ppm)", IF(AllDataCorrected[[#This Row],[Nitrate (PPM)]]&gt;1, "3. High (1-2ppm)", IF(AllDataCorrected[[#This Row],[Nitrate (PPM)]]&gt;0.5, "2. Some evidence (0.5-1ppm)", IF(AllDataCorrected[[#This Row],[Nitrate (PPM)]]&gt;=0, "1. No evidence (&lt;0.5ppm)"))))</f>
        <v>4. Very high (&gt;2ppm)</v>
      </c>
      <c r="S961">
        <v>1.1000000000000001</v>
      </c>
      <c r="T9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1">
        <v>0.17</v>
      </c>
      <c r="V961" t="s">
        <v>1281</v>
      </c>
    </row>
    <row r="962" spans="1:22" x14ac:dyDescent="0.25">
      <c r="A962" t="s">
        <v>1279</v>
      </c>
      <c r="B962" s="2">
        <v>45465</v>
      </c>
      <c r="C962" t="str" cm="1">
        <f t="array" ref="C9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2">
        <f>YEAR(AllDataCorrected[[#This Row],[Date]])</f>
        <v>2024</v>
      </c>
      <c r="E962" s="1">
        <v>0.52083333333333337</v>
      </c>
      <c r="F9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2" t="str">
        <f>_xlfn.XLOOKUP(AllDataCorrected[[#This Row],[Location Name]], Locations[Location Name],Locations[Group As])</f>
        <v>Carrant Bredon Rd</v>
      </c>
      <c r="H962" t="e" vm="1">
        <f>_xlfn.XLOOKUP(AllDataCorrected[[#This Row],[Site Name]],LocationsKey[Site Name],LocationsKey[District])</f>
        <v>#VALUE!</v>
      </c>
      <c r="I962" t="e" vm="1">
        <f>_xlfn.XLOOKUP(AllDataCorrected[[#This Row],[Site Name]],LocationsKey[Site Name],LocationsKey[Town])</f>
        <v>#VALUE!</v>
      </c>
      <c r="J962" t="str">
        <f>_xlfn.XLOOKUP(AllDataCorrected[[#This Row],[Site Name]],LocationsKey[Site Name], LocationsKey[Waterway])</f>
        <v>Carrant</v>
      </c>
      <c r="K962" t="s">
        <v>600</v>
      </c>
      <c r="L962">
        <f>_xlfn.XLOOKUP(AllDataCorrected[[#This Row],[Site Name]],Tables!$B$12:$B$78, Tables!C$12:C$78)</f>
        <v>51.996416567567572</v>
      </c>
      <c r="M962">
        <f>_xlfn.XLOOKUP(AllDataCorrected[[#This Row],[Site Name]],Tables!$B$12:$B$78, Tables!D$12:D$78)</f>
        <v>-2.1556626756756749</v>
      </c>
      <c r="N962" t="s">
        <v>23</v>
      </c>
      <c r="O962">
        <v>733</v>
      </c>
      <c r="P962">
        <v>17.3</v>
      </c>
      <c r="Q962">
        <v>5</v>
      </c>
      <c r="R962" t="str">
        <f>IF(AllDataCorrected[[#This Row],[Nitrate (PPM)]]&gt;2, "4. Very high (&gt;2ppm)", IF(AllDataCorrected[[#This Row],[Nitrate (PPM)]]&gt;1, "3. High (1-2ppm)", IF(AllDataCorrected[[#This Row],[Nitrate (PPM)]]&gt;0.5, "2. Some evidence (0.5-1ppm)", IF(AllDataCorrected[[#This Row],[Nitrate (PPM)]]&gt;=0, "1. No evidence (&lt;0.5ppm)"))))</f>
        <v>4. Very high (&gt;2ppm)</v>
      </c>
      <c r="S962">
        <v>0.41</v>
      </c>
      <c r="T9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2">
        <v>0</v>
      </c>
    </row>
    <row r="963" spans="1:22" x14ac:dyDescent="0.25">
      <c r="A963" t="s">
        <v>1282</v>
      </c>
      <c r="B963" s="2">
        <v>45465</v>
      </c>
      <c r="C963" t="str" cm="1">
        <f t="array" ref="C9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3">
        <f>YEAR(AllDataCorrected[[#This Row],[Date]])</f>
        <v>2024</v>
      </c>
      <c r="E963" s="1">
        <v>0.7055555555555556</v>
      </c>
      <c r="F9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3" t="str">
        <f>_xlfn.XLOOKUP(AllDataCorrected[[#This Row],[Location Name]], Locations[Location Name],Locations[Group As])</f>
        <v>Black Bear</v>
      </c>
      <c r="H963" t="e" vm="1">
        <f>_xlfn.XLOOKUP(AllDataCorrected[[#This Row],[Site Name]],LocationsKey[Site Name],LocationsKey[District])</f>
        <v>#VALUE!</v>
      </c>
      <c r="I963" t="e" vm="1">
        <f>_xlfn.XLOOKUP(AllDataCorrected[[#This Row],[Site Name]],LocationsKey[Site Name],LocationsKey[Town])</f>
        <v>#VALUE!</v>
      </c>
      <c r="J963" t="str">
        <f>_xlfn.XLOOKUP(AllDataCorrected[[#This Row],[Site Name]],LocationsKey[Site Name], LocationsKey[Waterway])</f>
        <v>Avon</v>
      </c>
      <c r="K963" t="s">
        <v>1045</v>
      </c>
      <c r="L963">
        <f>_xlfn.XLOOKUP(AllDataCorrected[[#This Row],[Site Name]],Tables!$B$12:$B$78, Tables!C$12:C$78)</f>
        <v>51.997435214285723</v>
      </c>
      <c r="M963">
        <f>_xlfn.XLOOKUP(AllDataCorrected[[#This Row],[Site Name]],Tables!$B$12:$B$78, Tables!D$12:D$78)</f>
        <v>-2.1562056785714288</v>
      </c>
      <c r="N963" t="s">
        <v>23</v>
      </c>
      <c r="O963">
        <v>885</v>
      </c>
      <c r="P963">
        <v>22.6</v>
      </c>
      <c r="Q963">
        <v>10</v>
      </c>
      <c r="R963" t="str">
        <f>IF(AllDataCorrected[[#This Row],[Nitrate (PPM)]]&gt;2, "4. Very high (&gt;2ppm)", IF(AllDataCorrected[[#This Row],[Nitrate (PPM)]]&gt;1, "3. High (1-2ppm)", IF(AllDataCorrected[[#This Row],[Nitrate (PPM)]]&gt;0.5, "2. Some evidence (0.5-1ppm)", IF(AllDataCorrected[[#This Row],[Nitrate (PPM)]]&gt;=0, "1. No evidence (&lt;0.5ppm)"))))</f>
        <v>4. Very high (&gt;2ppm)</v>
      </c>
      <c r="S963">
        <v>0.56999999999999995</v>
      </c>
      <c r="T9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3">
        <v>0</v>
      </c>
    </row>
    <row r="964" spans="1:22" x14ac:dyDescent="0.25">
      <c r="A964" t="s">
        <v>1285</v>
      </c>
      <c r="B964" s="2">
        <v>45466</v>
      </c>
      <c r="C964" t="str" cm="1">
        <f t="array" ref="C9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4">
        <f>YEAR(AllDataCorrected[[#This Row],[Date]])</f>
        <v>2024</v>
      </c>
      <c r="E964" s="1">
        <v>0.47222222222222221</v>
      </c>
      <c r="F9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4" t="str">
        <f>_xlfn.XLOOKUP(AllDataCorrected[[#This Row],[Location Name]], Locations[Location Name],Locations[Group As])</f>
        <v>Fell Mill Footbridge</v>
      </c>
      <c r="H964" t="e" vm="2">
        <f>_xlfn.XLOOKUP(AllDataCorrected[[#This Row],[Site Name]],LocationsKey[Site Name],LocationsKey[District])</f>
        <v>#VALUE!</v>
      </c>
      <c r="I964" t="e" vm="10">
        <f>_xlfn.XLOOKUP(AllDataCorrected[[#This Row],[Site Name]],LocationsKey[Site Name],LocationsKey[Town])</f>
        <v>#VALUE!</v>
      </c>
      <c r="J964" t="str">
        <f>_xlfn.XLOOKUP(AllDataCorrected[[#This Row],[Site Name]],LocationsKey[Site Name], LocationsKey[Waterway])</f>
        <v>Stour</v>
      </c>
      <c r="K964" t="s">
        <v>818</v>
      </c>
      <c r="L964">
        <f>_xlfn.XLOOKUP(AllDataCorrected[[#This Row],[Site Name]],Tables!$B$12:$B$78, Tables!C$12:C$78)</f>
        <v>52.067966827586183</v>
      </c>
      <c r="M964">
        <f>_xlfn.XLOOKUP(AllDataCorrected[[#This Row],[Site Name]],Tables!$B$12:$B$78, Tables!D$12:D$78)</f>
        <v>-1.6118101379310343</v>
      </c>
      <c r="N964" t="s">
        <v>29</v>
      </c>
      <c r="O964">
        <v>637</v>
      </c>
      <c r="P964">
        <v>17.8</v>
      </c>
      <c r="Q964">
        <v>10</v>
      </c>
      <c r="R964" t="str">
        <f>IF(AllDataCorrected[[#This Row],[Nitrate (PPM)]]&gt;2, "4. Very high (&gt;2ppm)", IF(AllDataCorrected[[#This Row],[Nitrate (PPM)]]&gt;1, "3. High (1-2ppm)", IF(AllDataCorrected[[#This Row],[Nitrate (PPM)]]&gt;0.5, "2. Some evidence (0.5-1ppm)", IF(AllDataCorrected[[#This Row],[Nitrate (PPM)]]&gt;=0, "1. No evidence (&lt;0.5ppm)"))))</f>
        <v>4. Very high (&gt;2ppm)</v>
      </c>
      <c r="S964">
        <v>0.43</v>
      </c>
      <c r="T9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4">
        <v>1.1000000000000001</v>
      </c>
      <c r="V964" t="s">
        <v>1286</v>
      </c>
    </row>
    <row r="965" spans="1:22" x14ac:dyDescent="0.25">
      <c r="A965" t="s">
        <v>1288</v>
      </c>
      <c r="B965" s="2">
        <v>45466</v>
      </c>
      <c r="C965" t="str" cm="1">
        <f t="array" ref="C9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5">
        <f>YEAR(AllDataCorrected[[#This Row],[Date]])</f>
        <v>2024</v>
      </c>
      <c r="E965" s="1">
        <v>0.61458333333333337</v>
      </c>
      <c r="F9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5" t="str">
        <f>_xlfn.XLOOKUP(AllDataCorrected[[#This Row],[Location Name]], Locations[Location Name],Locations[Group As])</f>
        <v>Sherbourne Brook 1</v>
      </c>
      <c r="H965" t="e" vm="2">
        <f>_xlfn.XLOOKUP(AllDataCorrected[[#This Row],[Site Name]],LocationsKey[Site Name],LocationsKey[District])</f>
        <v>#VALUE!</v>
      </c>
      <c r="I965" t="e" vm="16">
        <f>_xlfn.XLOOKUP(AllDataCorrected[[#This Row],[Site Name]],LocationsKey[Site Name],LocationsKey[Town])</f>
        <v>#VALUE!</v>
      </c>
      <c r="J965" t="str">
        <f>_xlfn.XLOOKUP(AllDataCorrected[[#This Row],[Site Name]],LocationsKey[Site Name], LocationsKey[Waterway])</f>
        <v>Sherbourne Brook</v>
      </c>
      <c r="K965" t="s">
        <v>570</v>
      </c>
      <c r="L965">
        <f>_xlfn.XLOOKUP(AllDataCorrected[[#This Row],[Site Name]],Tables!$B$12:$B$78, Tables!C$12:C$78)</f>
        <v>52.252500000000033</v>
      </c>
      <c r="M965">
        <f>_xlfn.XLOOKUP(AllDataCorrected[[#This Row],[Site Name]],Tables!$B$12:$B$78, Tables!D$12:D$78)</f>
        <v>-1.6685000000000012</v>
      </c>
      <c r="N965" t="s">
        <v>23</v>
      </c>
      <c r="O965">
        <v>1080</v>
      </c>
      <c r="P965">
        <v>17.3</v>
      </c>
      <c r="Q965">
        <v>12</v>
      </c>
      <c r="R965" t="str">
        <f>IF(AllDataCorrected[[#This Row],[Nitrate (PPM)]]&gt;2, "4. Very high (&gt;2ppm)", IF(AllDataCorrected[[#This Row],[Nitrate (PPM)]]&gt;1, "3. High (1-2ppm)", IF(AllDataCorrected[[#This Row],[Nitrate (PPM)]]&gt;0.5, "2. Some evidence (0.5-1ppm)", IF(AllDataCorrected[[#This Row],[Nitrate (PPM)]]&gt;=0, "1. No evidence (&lt;0.5ppm)"))))</f>
        <v>4. Very high (&gt;2ppm)</v>
      </c>
      <c r="S965">
        <v>0.22</v>
      </c>
      <c r="T9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5">
        <v>0.1</v>
      </c>
    </row>
    <row r="966" spans="1:22" x14ac:dyDescent="0.25">
      <c r="A966" t="s">
        <v>1287</v>
      </c>
      <c r="B966" s="2">
        <v>45466</v>
      </c>
      <c r="C966" t="str" cm="1">
        <f t="array" ref="C9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6">
        <f>YEAR(AllDataCorrected[[#This Row],[Date]])</f>
        <v>2024</v>
      </c>
      <c r="E966" s="1">
        <v>0.625</v>
      </c>
      <c r="F9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6" t="str">
        <f>_xlfn.XLOOKUP(AllDataCorrected[[#This Row],[Location Name]], Locations[Location Name],Locations[Group As])</f>
        <v>Bell Brook 1</v>
      </c>
      <c r="H966" t="e" vm="2">
        <f>_xlfn.XLOOKUP(AllDataCorrected[[#This Row],[Site Name]],LocationsKey[Site Name],LocationsKey[District])</f>
        <v>#VALUE!</v>
      </c>
      <c r="I966" t="e" vm="15">
        <f>_xlfn.XLOOKUP(AllDataCorrected[[#This Row],[Site Name]],LocationsKey[Site Name],LocationsKey[Town])</f>
        <v>#VALUE!</v>
      </c>
      <c r="J966" t="str">
        <f>_xlfn.XLOOKUP(AllDataCorrected[[#This Row],[Site Name]],LocationsKey[Site Name], LocationsKey[Waterway])</f>
        <v>Bell Brook</v>
      </c>
      <c r="K966" t="s">
        <v>534</v>
      </c>
      <c r="L966">
        <f>_xlfn.XLOOKUP(AllDataCorrected[[#This Row],[Site Name]],Tables!$B$12:$B$78, Tables!C$12:C$78)</f>
        <v>52.24489999999998</v>
      </c>
      <c r="M966">
        <f>_xlfn.XLOOKUP(AllDataCorrected[[#This Row],[Site Name]],Tables!$B$12:$B$78, Tables!D$12:D$78)</f>
        <v>-1.6617000000000013</v>
      </c>
      <c r="N966" t="s">
        <v>23</v>
      </c>
      <c r="O966">
        <v>788</v>
      </c>
      <c r="P966">
        <v>21.1</v>
      </c>
      <c r="Q966">
        <v>10</v>
      </c>
      <c r="R966" t="str">
        <f>IF(AllDataCorrected[[#This Row],[Nitrate (PPM)]]&gt;2, "4. Very high (&gt;2ppm)", IF(AllDataCorrected[[#This Row],[Nitrate (PPM)]]&gt;1, "3. High (1-2ppm)", IF(AllDataCorrected[[#This Row],[Nitrate (PPM)]]&gt;0.5, "2. Some evidence (0.5-1ppm)", IF(AllDataCorrected[[#This Row],[Nitrate (PPM)]]&gt;=0, "1. No evidence (&lt;0.5ppm)"))))</f>
        <v>4. Very high (&gt;2ppm)</v>
      </c>
      <c r="S966">
        <v>0.37</v>
      </c>
      <c r="T9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6">
        <v>0.1</v>
      </c>
    </row>
    <row r="967" spans="1:22" x14ac:dyDescent="0.25">
      <c r="A967" t="s">
        <v>1788</v>
      </c>
      <c r="B967" s="2">
        <v>45466</v>
      </c>
      <c r="C967" t="str" cm="1">
        <f t="array" ref="C9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7">
        <f>YEAR(AllDataCorrected[[#This Row],[Date]])</f>
        <v>2024</v>
      </c>
      <c r="F96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7" t="str">
        <f>_xlfn.XLOOKUP(AllDataCorrected[[#This Row],[Location Name]], Locations[Location Name],Locations[Group As])</f>
        <v>Site 1  :  Middle Street</v>
      </c>
      <c r="H967" t="e" vm="2">
        <f>_xlfn.XLOOKUP(AllDataCorrected[[#This Row],[Site Name]],LocationsKey[Site Name],LocationsKey[District])</f>
        <v>#VALUE!</v>
      </c>
      <c r="I967" t="e" vm="11">
        <f>_xlfn.XLOOKUP(AllDataCorrected[[#This Row],[Site Name]],LocationsKey[Site Name],LocationsKey[Town])</f>
        <v>#VALUE!</v>
      </c>
      <c r="J967" t="str">
        <f>_xlfn.XLOOKUP(AllDataCorrected[[#This Row],[Site Name]],LocationsKey[Site Name], LocationsKey[Waterway])</f>
        <v>Fosseway Brook</v>
      </c>
      <c r="K967" t="s">
        <v>1859</v>
      </c>
      <c r="L967">
        <f>_xlfn.XLOOKUP(AllDataCorrected[[#This Row],[Site Name]],Tables!$B$12:$B$78, Tables!C$12:C$78)</f>
        <v>52.090077380952394</v>
      </c>
      <c r="M967">
        <f>_xlfn.XLOOKUP(AllDataCorrected[[#This Row],[Site Name]],Tables!$B$12:$B$78, Tables!D$12:D$78)</f>
        <v>-1.6926051666666673</v>
      </c>
      <c r="N967" t="s">
        <v>66</v>
      </c>
      <c r="O967">
        <v>656</v>
      </c>
      <c r="P967">
        <v>18.600000000000001</v>
      </c>
      <c r="Q967">
        <v>2</v>
      </c>
      <c r="R967" t="str">
        <f>IF(AllDataCorrected[[#This Row],[Nitrate (PPM)]]&gt;2, "4. Very high (&gt;2ppm)", IF(AllDataCorrected[[#This Row],[Nitrate (PPM)]]&gt;1, "3. High (1-2ppm)", IF(AllDataCorrected[[#This Row],[Nitrate (PPM)]]&gt;0.5, "2. Some evidence (0.5-1ppm)", IF(AllDataCorrected[[#This Row],[Nitrate (PPM)]]&gt;=0, "1. No evidence (&lt;0.5ppm)"))))</f>
        <v>3. High (1-2ppm)</v>
      </c>
      <c r="S967">
        <v>0.54</v>
      </c>
      <c r="T9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7">
        <v>0</v>
      </c>
      <c r="V967" t="s">
        <v>1919</v>
      </c>
    </row>
    <row r="968" spans="1:22" x14ac:dyDescent="0.25">
      <c r="A968" t="s">
        <v>1402</v>
      </c>
      <c r="B968" s="2">
        <v>45466</v>
      </c>
      <c r="C968" t="str" cm="1">
        <f t="array" ref="C9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8">
        <f>YEAR(AllDataCorrected[[#This Row],[Date]])</f>
        <v>2024</v>
      </c>
      <c r="F96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8" t="str">
        <f>_xlfn.XLOOKUP(AllDataCorrected[[#This Row],[Location Name]], Locations[Location Name],Locations[Group As])</f>
        <v>Site 1  :  Middle Street</v>
      </c>
      <c r="H968" t="e" vm="2">
        <f>_xlfn.XLOOKUP(AllDataCorrected[[#This Row],[Site Name]],LocationsKey[Site Name],LocationsKey[District])</f>
        <v>#VALUE!</v>
      </c>
      <c r="I968" t="e" vm="11">
        <f>_xlfn.XLOOKUP(AllDataCorrected[[#This Row],[Site Name]],LocationsKey[Site Name],LocationsKey[Town])</f>
        <v>#VALUE!</v>
      </c>
      <c r="J968" t="str">
        <f>_xlfn.XLOOKUP(AllDataCorrected[[#This Row],[Site Name]],LocationsKey[Site Name], LocationsKey[Waterway])</f>
        <v>Fosseway Brook</v>
      </c>
      <c r="K968" t="s">
        <v>1373</v>
      </c>
      <c r="L968">
        <f>_xlfn.XLOOKUP(AllDataCorrected[[#This Row],[Site Name]],Tables!$B$12:$B$78, Tables!C$12:C$78)</f>
        <v>52.090077380952394</v>
      </c>
      <c r="M968">
        <f>_xlfn.XLOOKUP(AllDataCorrected[[#This Row],[Site Name]],Tables!$B$12:$B$78, Tables!D$12:D$78)</f>
        <v>-1.6926051666666673</v>
      </c>
      <c r="N968" t="s">
        <v>66</v>
      </c>
      <c r="O968">
        <v>656</v>
      </c>
      <c r="P968">
        <v>18.600000000000001</v>
      </c>
      <c r="Q968">
        <v>2</v>
      </c>
      <c r="R968" t="str">
        <f>IF(AllDataCorrected[[#This Row],[Nitrate (PPM)]]&gt;2, "4. Very high (&gt;2ppm)", IF(AllDataCorrected[[#This Row],[Nitrate (PPM)]]&gt;1, "3. High (1-2ppm)", IF(AllDataCorrected[[#This Row],[Nitrate (PPM)]]&gt;0.5, "2. Some evidence (0.5-1ppm)", IF(AllDataCorrected[[#This Row],[Nitrate (PPM)]]&gt;=0, "1. No evidence (&lt;0.5ppm)"))))</f>
        <v>3. High (1-2ppm)</v>
      </c>
      <c r="S968">
        <v>0.54</v>
      </c>
      <c r="T9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68" t="s">
        <v>1403</v>
      </c>
    </row>
    <row r="969" spans="1:22" x14ac:dyDescent="0.25">
      <c r="A969" t="s">
        <v>1789</v>
      </c>
      <c r="B969" s="2">
        <v>45466</v>
      </c>
      <c r="C969" t="str" cm="1">
        <f t="array" ref="C9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9">
        <f>YEAR(AllDataCorrected[[#This Row],[Date]])</f>
        <v>2024</v>
      </c>
      <c r="F96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9" t="str">
        <f>_xlfn.XLOOKUP(AllDataCorrected[[#This Row],[Location Name]], Locations[Location Name],Locations[Group As])</f>
        <v>Site 2  :  Cross Leys culvert</v>
      </c>
      <c r="H969" t="e" vm="2">
        <f>_xlfn.XLOOKUP(AllDataCorrected[[#This Row],[Site Name]],LocationsKey[Site Name],LocationsKey[District])</f>
        <v>#VALUE!</v>
      </c>
      <c r="I969" t="e" vm="11">
        <f>_xlfn.XLOOKUP(AllDataCorrected[[#This Row],[Site Name]],LocationsKey[Site Name],LocationsKey[Town])</f>
        <v>#VALUE!</v>
      </c>
      <c r="J969" t="str">
        <f>_xlfn.XLOOKUP(AllDataCorrected[[#This Row],[Site Name]],LocationsKey[Site Name], LocationsKey[Waterway])</f>
        <v>Fosseway Brook</v>
      </c>
      <c r="K969" t="s">
        <v>1860</v>
      </c>
      <c r="L969">
        <f>_xlfn.XLOOKUP(AllDataCorrected[[#This Row],[Site Name]],Tables!$B$12:$B$78, Tables!C$12:C$78)</f>
        <v>52.092990199999988</v>
      </c>
      <c r="M969">
        <f>_xlfn.XLOOKUP(AllDataCorrected[[#This Row],[Site Name]],Tables!$B$12:$B$78, Tables!D$12:D$78)</f>
        <v>-1.6862810999999998</v>
      </c>
      <c r="N969" t="s">
        <v>66</v>
      </c>
      <c r="O969">
        <v>968</v>
      </c>
      <c r="P969">
        <v>15.1</v>
      </c>
      <c r="Q969">
        <v>1</v>
      </c>
      <c r="R969"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969">
        <v>1.1299999999999999</v>
      </c>
      <c r="T9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9">
        <v>0</v>
      </c>
      <c r="V969" t="s">
        <v>1920</v>
      </c>
    </row>
    <row r="970" spans="1:22" x14ac:dyDescent="0.25">
      <c r="A970" t="s">
        <v>1400</v>
      </c>
      <c r="B970" s="2">
        <v>45466</v>
      </c>
      <c r="C970" t="str" cm="1">
        <f t="array" ref="C9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0">
        <f>YEAR(AllDataCorrected[[#This Row],[Date]])</f>
        <v>2024</v>
      </c>
      <c r="F97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0" t="str">
        <f>_xlfn.XLOOKUP(AllDataCorrected[[#This Row],[Location Name]], Locations[Location Name],Locations[Group As])</f>
        <v>Site 2  :  Cross Leys culvert</v>
      </c>
      <c r="H970" t="e" vm="2">
        <f>_xlfn.XLOOKUP(AllDataCorrected[[#This Row],[Site Name]],LocationsKey[Site Name],LocationsKey[District])</f>
        <v>#VALUE!</v>
      </c>
      <c r="I970" t="e" vm="11">
        <f>_xlfn.XLOOKUP(AllDataCorrected[[#This Row],[Site Name]],LocationsKey[Site Name],LocationsKey[Town])</f>
        <v>#VALUE!</v>
      </c>
      <c r="J970" t="str">
        <f>_xlfn.XLOOKUP(AllDataCorrected[[#This Row],[Site Name]],LocationsKey[Site Name], LocationsKey[Waterway])</f>
        <v>Fosseway Brook</v>
      </c>
      <c r="K970" t="s">
        <v>1371</v>
      </c>
      <c r="L970">
        <f>_xlfn.XLOOKUP(AllDataCorrected[[#This Row],[Site Name]],Tables!$B$12:$B$78, Tables!C$12:C$78)</f>
        <v>52.092990199999988</v>
      </c>
      <c r="M970">
        <f>_xlfn.XLOOKUP(AllDataCorrected[[#This Row],[Site Name]],Tables!$B$12:$B$78, Tables!D$12:D$78)</f>
        <v>-1.6862810999999998</v>
      </c>
      <c r="N970" t="s">
        <v>66</v>
      </c>
      <c r="O970">
        <v>968</v>
      </c>
      <c r="P970">
        <v>15.1</v>
      </c>
      <c r="Q970">
        <v>1</v>
      </c>
      <c r="R970"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970">
        <v>1.1299999999999999</v>
      </c>
      <c r="T9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70" t="s">
        <v>1401</v>
      </c>
    </row>
    <row r="971" spans="1:22" x14ac:dyDescent="0.25">
      <c r="A971" t="s">
        <v>1790</v>
      </c>
      <c r="B971" s="2">
        <v>45466</v>
      </c>
      <c r="C971" t="str" cm="1">
        <f t="array" ref="C9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1">
        <f>YEAR(AllDataCorrected[[#This Row],[Date]])</f>
        <v>2024</v>
      </c>
      <c r="F97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1" t="str">
        <f>_xlfn.XLOOKUP(AllDataCorrected[[#This Row],[Location Name]], Locations[Location Name],Locations[Group As])</f>
        <v>Site 3  :  Severn Trent Water processing plant outflow</v>
      </c>
      <c r="H971" t="e" vm="2">
        <f>_xlfn.XLOOKUP(AllDataCorrected[[#This Row],[Site Name]],LocationsKey[Site Name],LocationsKey[District])</f>
        <v>#VALUE!</v>
      </c>
      <c r="I971" t="e" vm="11">
        <f>_xlfn.XLOOKUP(AllDataCorrected[[#This Row],[Site Name]],LocationsKey[Site Name],LocationsKey[Town])</f>
        <v>#VALUE!</v>
      </c>
      <c r="J971" t="str">
        <f>_xlfn.XLOOKUP(AllDataCorrected[[#This Row],[Site Name]],LocationsKey[Site Name], LocationsKey[Waterway])</f>
        <v>Fosseway Brook</v>
      </c>
      <c r="K971" t="s">
        <v>1861</v>
      </c>
      <c r="L971">
        <f>_xlfn.XLOOKUP(AllDataCorrected[[#This Row],[Site Name]],Tables!$B$12:$B$78, Tables!C$12:C$78)</f>
        <v>52.094341024390218</v>
      </c>
      <c r="M971">
        <f>_xlfn.XLOOKUP(AllDataCorrected[[#This Row],[Site Name]],Tables!$B$12:$B$78, Tables!D$12:D$78)</f>
        <v>-1.6731015853658531</v>
      </c>
      <c r="N971" t="s">
        <v>29</v>
      </c>
      <c r="O971">
        <v>938</v>
      </c>
      <c r="P971">
        <v>16.600000000000001</v>
      </c>
      <c r="Q971">
        <v>5</v>
      </c>
      <c r="R971" t="str">
        <f>IF(AllDataCorrected[[#This Row],[Nitrate (PPM)]]&gt;2, "4. Very high (&gt;2ppm)", IF(AllDataCorrected[[#This Row],[Nitrate (PPM)]]&gt;1, "3. High (1-2ppm)", IF(AllDataCorrected[[#This Row],[Nitrate (PPM)]]&gt;0.5, "2. Some evidence (0.5-1ppm)", IF(AllDataCorrected[[#This Row],[Nitrate (PPM)]]&gt;=0, "1. No evidence (&lt;0.5ppm)"))))</f>
        <v>4. Very high (&gt;2ppm)</v>
      </c>
      <c r="S971">
        <v>2.5</v>
      </c>
      <c r="T9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1">
        <v>0</v>
      </c>
      <c r="V971" t="s">
        <v>1921</v>
      </c>
    </row>
    <row r="972" spans="1:22" x14ac:dyDescent="0.25">
      <c r="A972" t="s">
        <v>1398</v>
      </c>
      <c r="B972" s="2">
        <v>45466</v>
      </c>
      <c r="C972" t="str" cm="1">
        <f t="array" ref="C9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2">
        <f>YEAR(AllDataCorrected[[#This Row],[Date]])</f>
        <v>2024</v>
      </c>
      <c r="F97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2" t="str">
        <f>_xlfn.XLOOKUP(AllDataCorrected[[#This Row],[Location Name]], Locations[Location Name],Locations[Group As])</f>
        <v>Site 3  :  Severn Trent Water processing plant outflow</v>
      </c>
      <c r="H972" t="e" vm="2">
        <f>_xlfn.XLOOKUP(AllDataCorrected[[#This Row],[Site Name]],LocationsKey[Site Name],LocationsKey[District])</f>
        <v>#VALUE!</v>
      </c>
      <c r="I972" t="e" vm="11">
        <f>_xlfn.XLOOKUP(AllDataCorrected[[#This Row],[Site Name]],LocationsKey[Site Name],LocationsKey[Town])</f>
        <v>#VALUE!</v>
      </c>
      <c r="J972" t="str">
        <f>_xlfn.XLOOKUP(AllDataCorrected[[#This Row],[Site Name]],LocationsKey[Site Name], LocationsKey[Waterway])</f>
        <v>Fosseway Brook</v>
      </c>
      <c r="K972" t="s">
        <v>1368</v>
      </c>
      <c r="L972">
        <f>_xlfn.XLOOKUP(AllDataCorrected[[#This Row],[Site Name]],Tables!$B$12:$B$78, Tables!C$12:C$78)</f>
        <v>52.094341024390218</v>
      </c>
      <c r="M972">
        <f>_xlfn.XLOOKUP(AllDataCorrected[[#This Row],[Site Name]],Tables!$B$12:$B$78, Tables!D$12:D$78)</f>
        <v>-1.6731015853658531</v>
      </c>
      <c r="N972" t="s">
        <v>29</v>
      </c>
      <c r="O972">
        <v>938</v>
      </c>
      <c r="P972">
        <v>16.600000000000001</v>
      </c>
      <c r="Q972">
        <v>5</v>
      </c>
      <c r="R972" t="str">
        <f>IF(AllDataCorrected[[#This Row],[Nitrate (PPM)]]&gt;2, "4. Very high (&gt;2ppm)", IF(AllDataCorrected[[#This Row],[Nitrate (PPM)]]&gt;1, "3. High (1-2ppm)", IF(AllDataCorrected[[#This Row],[Nitrate (PPM)]]&gt;0.5, "2. Some evidence (0.5-1ppm)", IF(AllDataCorrected[[#This Row],[Nitrate (PPM)]]&gt;=0, "1. No evidence (&lt;0.5ppm)"))))</f>
        <v>4. Very high (&gt;2ppm)</v>
      </c>
      <c r="S972">
        <v>2.5</v>
      </c>
      <c r="T9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72" t="s">
        <v>1399</v>
      </c>
    </row>
    <row r="973" spans="1:22" x14ac:dyDescent="0.25">
      <c r="A973" t="s">
        <v>1289</v>
      </c>
      <c r="B973" s="2">
        <v>45468</v>
      </c>
      <c r="C973" t="str" cm="1">
        <f t="array" ref="C9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3">
        <f>YEAR(AllDataCorrected[[#This Row],[Date]])</f>
        <v>2024</v>
      </c>
      <c r="E973" s="1">
        <v>0.59375</v>
      </c>
      <c r="F9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3" t="str">
        <f>_xlfn.XLOOKUP(AllDataCorrected[[#This Row],[Location Name]], Locations[Location Name],Locations[Group As])</f>
        <v>Alveston Weir</v>
      </c>
      <c r="H973" t="e" vm="2">
        <f>_xlfn.XLOOKUP(AllDataCorrected[[#This Row],[Site Name]],LocationsKey[Site Name],LocationsKey[District])</f>
        <v>#VALUE!</v>
      </c>
      <c r="I973" t="e" vm="13">
        <f>_xlfn.XLOOKUP(AllDataCorrected[[#This Row],[Site Name]],LocationsKey[Site Name],LocationsKey[Town])</f>
        <v>#VALUE!</v>
      </c>
      <c r="J973" t="str">
        <f>_xlfn.XLOOKUP(AllDataCorrected[[#This Row],[Site Name]],LocationsKey[Site Name], LocationsKey[Waterway])</f>
        <v>Avon</v>
      </c>
      <c r="K973" t="s">
        <v>286</v>
      </c>
      <c r="L973">
        <f>_xlfn.XLOOKUP(AllDataCorrected[[#This Row],[Site Name]],Tables!$B$12:$B$78, Tables!C$12:C$78)</f>
        <v>52.212366690476216</v>
      </c>
      <c r="M973">
        <f>_xlfn.XLOOKUP(AllDataCorrected[[#This Row],[Site Name]],Tables!$B$12:$B$78, Tables!D$12:D$78)</f>
        <v>-1.6602567619047619</v>
      </c>
      <c r="N973" t="s">
        <v>29</v>
      </c>
      <c r="O973">
        <v>836</v>
      </c>
      <c r="P973">
        <v>26</v>
      </c>
      <c r="Q973">
        <v>10</v>
      </c>
      <c r="R973" t="str">
        <f>IF(AllDataCorrected[[#This Row],[Nitrate (PPM)]]&gt;2, "4. Very high (&gt;2ppm)", IF(AllDataCorrected[[#This Row],[Nitrate (PPM)]]&gt;1, "3. High (1-2ppm)", IF(AllDataCorrected[[#This Row],[Nitrate (PPM)]]&gt;0.5, "2. Some evidence (0.5-1ppm)", IF(AllDataCorrected[[#This Row],[Nitrate (PPM)]]&gt;=0, "1. No evidence (&lt;0.5ppm)"))))</f>
        <v>4. Very high (&gt;2ppm)</v>
      </c>
      <c r="S973">
        <v>0.35</v>
      </c>
      <c r="T9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3">
        <v>-1</v>
      </c>
      <c r="V973" t="s">
        <v>1290</v>
      </c>
    </row>
    <row r="974" spans="1:22" x14ac:dyDescent="0.25">
      <c r="A974" t="s">
        <v>1291</v>
      </c>
      <c r="B974" s="2">
        <v>45468</v>
      </c>
      <c r="C974" t="str" cm="1">
        <f t="array" ref="C9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4">
        <f>YEAR(AllDataCorrected[[#This Row],[Date]])</f>
        <v>2024</v>
      </c>
      <c r="E974" s="1">
        <v>0.6069444444444444</v>
      </c>
      <c r="F9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4" t="str">
        <f>_xlfn.XLOOKUP(AllDataCorrected[[#This Row],[Location Name]], Locations[Location Name],Locations[Group As])</f>
        <v>Swiffen Bank</v>
      </c>
      <c r="H974" t="e" vm="2">
        <f>_xlfn.XLOOKUP(AllDataCorrected[[#This Row],[Site Name]],LocationsKey[Site Name],LocationsKey[District])</f>
        <v>#VALUE!</v>
      </c>
      <c r="I974" t="e" vm="13">
        <f>_xlfn.XLOOKUP(AllDataCorrected[[#This Row],[Site Name]],LocationsKey[Site Name],LocationsKey[Town])</f>
        <v>#VALUE!</v>
      </c>
      <c r="J974" t="str">
        <f>_xlfn.XLOOKUP(AllDataCorrected[[#This Row],[Site Name]],LocationsKey[Site Name], LocationsKey[Waterway])</f>
        <v>Avon</v>
      </c>
      <c r="K974" t="s">
        <v>443</v>
      </c>
      <c r="L974">
        <f>_xlfn.XLOOKUP(AllDataCorrected[[#This Row],[Site Name]],Tables!$B$12:$B$78, Tables!C$12:C$78)</f>
        <v>52.206446825000015</v>
      </c>
      <c r="M974">
        <f>_xlfn.XLOOKUP(AllDataCorrected[[#This Row],[Site Name]],Tables!$B$12:$B$78, Tables!D$12:D$78)</f>
        <v>-1.6541684000000003</v>
      </c>
      <c r="N974" t="s">
        <v>29</v>
      </c>
      <c r="O974">
        <v>735</v>
      </c>
      <c r="P974">
        <v>22.1</v>
      </c>
      <c r="Q974">
        <v>10</v>
      </c>
      <c r="R974" t="str">
        <f>IF(AllDataCorrected[[#This Row],[Nitrate (PPM)]]&gt;2, "4. Very high (&gt;2ppm)", IF(AllDataCorrected[[#This Row],[Nitrate (PPM)]]&gt;1, "3. High (1-2ppm)", IF(AllDataCorrected[[#This Row],[Nitrate (PPM)]]&gt;0.5, "2. Some evidence (0.5-1ppm)", IF(AllDataCorrected[[#This Row],[Nitrate (PPM)]]&gt;=0, "1. No evidence (&lt;0.5ppm)"))))</f>
        <v>4. Very high (&gt;2ppm)</v>
      </c>
      <c r="S974">
        <v>0.44</v>
      </c>
      <c r="T9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4">
        <v>0</v>
      </c>
      <c r="V974" t="s">
        <v>1292</v>
      </c>
    </row>
    <row r="975" spans="1:22" x14ac:dyDescent="0.25">
      <c r="A975" t="s">
        <v>1296</v>
      </c>
      <c r="B975" s="2">
        <v>45469</v>
      </c>
      <c r="C975" t="str" cm="1">
        <f t="array" ref="C9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5">
        <f>YEAR(AllDataCorrected[[#This Row],[Date]])</f>
        <v>2024</v>
      </c>
      <c r="E975" s="1">
        <v>0.47083333333333333</v>
      </c>
      <c r="F9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5" t="str">
        <f>_xlfn.XLOOKUP(AllDataCorrected[[#This Row],[Location Name]], Locations[Location Name],Locations[Group As])</f>
        <v>Carrant Mitton Path</v>
      </c>
      <c r="H975" t="e" vm="1">
        <f>_xlfn.XLOOKUP(AllDataCorrected[[#This Row],[Site Name]],LocationsKey[Site Name],LocationsKey[District])</f>
        <v>#VALUE!</v>
      </c>
      <c r="I975" t="e" vm="1">
        <f>_xlfn.XLOOKUP(AllDataCorrected[[#This Row],[Site Name]],LocationsKey[Site Name],LocationsKey[Town])</f>
        <v>#VALUE!</v>
      </c>
      <c r="J975" t="str">
        <f>_xlfn.XLOOKUP(AllDataCorrected[[#This Row],[Site Name]],LocationsKey[Site Name], LocationsKey[Waterway])</f>
        <v>Carrant</v>
      </c>
      <c r="K975" t="s">
        <v>958</v>
      </c>
      <c r="L975">
        <f>_xlfn.XLOOKUP(AllDataCorrected[[#This Row],[Site Name]],Tables!$B$12:$B$78, Tables!C$12:C$78)</f>
        <v>51.999946066666674</v>
      </c>
      <c r="M975">
        <f>_xlfn.XLOOKUP(AllDataCorrected[[#This Row],[Site Name]],Tables!$B$12:$B$78, Tables!D$12:D$78)</f>
        <v>-2.1414862000000006</v>
      </c>
      <c r="N975" t="s">
        <v>23</v>
      </c>
      <c r="O975">
        <v>671</v>
      </c>
      <c r="P975">
        <v>20.399999999999999</v>
      </c>
      <c r="Q975">
        <v>10</v>
      </c>
      <c r="R975" t="str">
        <f>IF(AllDataCorrected[[#This Row],[Nitrate (PPM)]]&gt;2, "4. Very high (&gt;2ppm)", IF(AllDataCorrected[[#This Row],[Nitrate (PPM)]]&gt;1, "3. High (1-2ppm)", IF(AllDataCorrected[[#This Row],[Nitrate (PPM)]]&gt;0.5, "2. Some evidence (0.5-1ppm)", IF(AllDataCorrected[[#This Row],[Nitrate (PPM)]]&gt;=0, "1. No evidence (&lt;0.5ppm)"))))</f>
        <v>4. Very high (&gt;2ppm)</v>
      </c>
      <c r="S975">
        <v>0.22</v>
      </c>
      <c r="T9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5">
        <v>0</v>
      </c>
    </row>
    <row r="976" spans="1:22" x14ac:dyDescent="0.25">
      <c r="A976" t="s">
        <v>1295</v>
      </c>
      <c r="B976" s="2">
        <v>45469</v>
      </c>
      <c r="C976" t="str" cm="1">
        <f t="array" ref="C9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6">
        <f>YEAR(AllDataCorrected[[#This Row],[Date]])</f>
        <v>2024</v>
      </c>
      <c r="E976" s="1">
        <v>0.48333333333333334</v>
      </c>
      <c r="F9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6" t="str">
        <f>_xlfn.XLOOKUP(AllDataCorrected[[#This Row],[Location Name]], Locations[Location Name],Locations[Group As])</f>
        <v>Carrant M5 Bridge</v>
      </c>
      <c r="H976" t="e" vm="1">
        <f>_xlfn.XLOOKUP(AllDataCorrected[[#This Row],[Site Name]],LocationsKey[Site Name],LocationsKey[District])</f>
        <v>#VALUE!</v>
      </c>
      <c r="I976" t="e" vm="1">
        <f>_xlfn.XLOOKUP(AllDataCorrected[[#This Row],[Site Name]],LocationsKey[Site Name],LocationsKey[Town])</f>
        <v>#VALUE!</v>
      </c>
      <c r="J976" t="str">
        <f>_xlfn.XLOOKUP(AllDataCorrected[[#This Row],[Site Name]],LocationsKey[Site Name], LocationsKey[Waterway])</f>
        <v>Carrant</v>
      </c>
      <c r="K976" t="s">
        <v>1015</v>
      </c>
      <c r="L976">
        <f>_xlfn.XLOOKUP(AllDataCorrected[[#This Row],[Site Name]],Tables!$B$12:$B$78, Tables!C$12:C$78)</f>
        <v>52.011600000000001</v>
      </c>
      <c r="M976">
        <f>_xlfn.XLOOKUP(AllDataCorrected[[#This Row],[Site Name]],Tables!$B$12:$B$78, Tables!D$12:D$78)</f>
        <v>-2.1206</v>
      </c>
      <c r="N976" t="s">
        <v>23</v>
      </c>
      <c r="O976">
        <v>761</v>
      </c>
      <c r="P976">
        <v>20.8</v>
      </c>
      <c r="Q976">
        <v>7</v>
      </c>
      <c r="R976" t="str">
        <f>IF(AllDataCorrected[[#This Row],[Nitrate (PPM)]]&gt;2, "4. Very high (&gt;2ppm)", IF(AllDataCorrected[[#This Row],[Nitrate (PPM)]]&gt;1, "3. High (1-2ppm)", IF(AllDataCorrected[[#This Row],[Nitrate (PPM)]]&gt;0.5, "2. Some evidence (0.5-1ppm)", IF(AllDataCorrected[[#This Row],[Nitrate (PPM)]]&gt;=0, "1. No evidence (&lt;0.5ppm)"))))</f>
        <v>4. Very high (&gt;2ppm)</v>
      </c>
      <c r="S976">
        <v>0.31</v>
      </c>
      <c r="T9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6">
        <v>0</v>
      </c>
    </row>
    <row r="977" spans="1:22" x14ac:dyDescent="0.25">
      <c r="A977" t="s">
        <v>1293</v>
      </c>
      <c r="B977" s="2">
        <v>45469</v>
      </c>
      <c r="C977" t="str" cm="1">
        <f t="array" ref="C9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7">
        <f>YEAR(AllDataCorrected[[#This Row],[Date]])</f>
        <v>2024</v>
      </c>
      <c r="E977" s="1">
        <v>0.75</v>
      </c>
      <c r="F97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77" t="str">
        <f>_xlfn.XLOOKUP(AllDataCorrected[[#This Row],[Location Name]], Locations[Location Name],Locations[Group As])</f>
        <v>Stour Newbold Mill</v>
      </c>
      <c r="H977" t="e" vm="2">
        <f>_xlfn.XLOOKUP(AllDataCorrected[[#This Row],[Site Name]],LocationsKey[Site Name],LocationsKey[District])</f>
        <v>#VALUE!</v>
      </c>
      <c r="I977" t="e" vm="8">
        <f>_xlfn.XLOOKUP(AllDataCorrected[[#This Row],[Site Name]],LocationsKey[Site Name],LocationsKey[Town])</f>
        <v>#VALUE!</v>
      </c>
      <c r="J977" t="str">
        <f>_xlfn.XLOOKUP(AllDataCorrected[[#This Row],[Site Name]],LocationsKey[Site Name], LocationsKey[Waterway])</f>
        <v>Stour</v>
      </c>
      <c r="K977" t="s">
        <v>140</v>
      </c>
      <c r="L977">
        <f>_xlfn.XLOOKUP(AllDataCorrected[[#This Row],[Site Name]],Tables!$B$12:$B$78, Tables!C$12:C$78)</f>
        <v>52.113052370370362</v>
      </c>
      <c r="M977">
        <f>_xlfn.XLOOKUP(AllDataCorrected[[#This Row],[Site Name]],Tables!$B$12:$B$78, Tables!D$12:D$78)</f>
        <v>-1.6333685185185185</v>
      </c>
      <c r="N977" t="s">
        <v>29</v>
      </c>
      <c r="O977">
        <v>667</v>
      </c>
      <c r="P977">
        <v>21</v>
      </c>
      <c r="Q977">
        <v>2</v>
      </c>
      <c r="R977" t="str">
        <f>IF(AllDataCorrected[[#This Row],[Nitrate (PPM)]]&gt;2, "4. Very high (&gt;2ppm)", IF(AllDataCorrected[[#This Row],[Nitrate (PPM)]]&gt;1, "3. High (1-2ppm)", IF(AllDataCorrected[[#This Row],[Nitrate (PPM)]]&gt;0.5, "2. Some evidence (0.5-1ppm)", IF(AllDataCorrected[[#This Row],[Nitrate (PPM)]]&gt;=0, "1. No evidence (&lt;0.5ppm)"))))</f>
        <v>3. High (1-2ppm)</v>
      </c>
      <c r="S977">
        <v>0.34</v>
      </c>
      <c r="T9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7">
        <v>2</v>
      </c>
      <c r="V977" t="s">
        <v>1294</v>
      </c>
    </row>
    <row r="978" spans="1:22" x14ac:dyDescent="0.25">
      <c r="A978" t="s">
        <v>1298</v>
      </c>
      <c r="B978" s="2">
        <v>45470</v>
      </c>
      <c r="C978" t="str" cm="1">
        <f t="array" ref="C9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8">
        <f>YEAR(AllDataCorrected[[#This Row],[Date]])</f>
        <v>2024</v>
      </c>
      <c r="E978" s="1">
        <v>0.4236111111111111</v>
      </c>
      <c r="F9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8" t="str">
        <f>_xlfn.XLOOKUP(AllDataCorrected[[#This Row],[Location Name]], Locations[Location Name],Locations[Group As])</f>
        <v>Swilgate</v>
      </c>
      <c r="H978" t="e" vm="1">
        <f>_xlfn.XLOOKUP(AllDataCorrected[[#This Row],[Site Name]],LocationsKey[Site Name],LocationsKey[District])</f>
        <v>#VALUE!</v>
      </c>
      <c r="I978" t="e" vm="1">
        <f>_xlfn.XLOOKUP(AllDataCorrected[[#This Row],[Site Name]],LocationsKey[Site Name],LocationsKey[Town])</f>
        <v>#VALUE!</v>
      </c>
      <c r="J978" t="str">
        <f>_xlfn.XLOOKUP(AllDataCorrected[[#This Row],[Site Name]],LocationsKey[Site Name], LocationsKey[Waterway])</f>
        <v>Swilgate</v>
      </c>
      <c r="K978" t="s">
        <v>84</v>
      </c>
      <c r="L978">
        <f>_xlfn.XLOOKUP(AllDataCorrected[[#This Row],[Site Name]],Tables!$B$12:$B$78, Tables!C$12:C$78)</f>
        <v>51.9885442</v>
      </c>
      <c r="M978">
        <f>_xlfn.XLOOKUP(AllDataCorrected[[#This Row],[Site Name]],Tables!$B$12:$B$78, Tables!D$12:D$78)</f>
        <v>-2.1639010000000001</v>
      </c>
      <c r="N978" t="s">
        <v>23</v>
      </c>
      <c r="O978">
        <v>102</v>
      </c>
      <c r="P978">
        <v>19.600000000000001</v>
      </c>
      <c r="Q978">
        <v>4</v>
      </c>
      <c r="R978" t="str">
        <f>IF(AllDataCorrected[[#This Row],[Nitrate (PPM)]]&gt;2, "4. Very high (&gt;2ppm)", IF(AllDataCorrected[[#This Row],[Nitrate (PPM)]]&gt;1, "3. High (1-2ppm)", IF(AllDataCorrected[[#This Row],[Nitrate (PPM)]]&gt;0.5, "2. Some evidence (0.5-1ppm)", IF(AllDataCorrected[[#This Row],[Nitrate (PPM)]]&gt;=0, "1. No evidence (&lt;0.5ppm)"))))</f>
        <v>4. Very high (&gt;2ppm)</v>
      </c>
      <c r="S978">
        <v>0.73</v>
      </c>
      <c r="T9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8">
        <v>0</v>
      </c>
    </row>
    <row r="979" spans="1:22" x14ac:dyDescent="0.25">
      <c r="A979" t="s">
        <v>1297</v>
      </c>
      <c r="B979" s="2">
        <v>45470</v>
      </c>
      <c r="C979" t="str" cm="1">
        <f t="array" ref="C9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9">
        <f>YEAR(AllDataCorrected[[#This Row],[Date]])</f>
        <v>2024</v>
      </c>
      <c r="E979" s="1">
        <v>0.45833333333333331</v>
      </c>
      <c r="F9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9" t="str">
        <f>_xlfn.XLOOKUP(AllDataCorrected[[#This Row],[Location Name]], Locations[Location Name],Locations[Group As])</f>
        <v>Stour Willington</v>
      </c>
      <c r="H979" t="e" vm="2">
        <f>_xlfn.XLOOKUP(AllDataCorrected[[#This Row],[Site Name]],LocationsKey[Site Name],LocationsKey[District])</f>
        <v>#VALUE!</v>
      </c>
      <c r="I979" t="str">
        <f>_xlfn.XLOOKUP(AllDataCorrected[[#This Row],[Site Name]],LocationsKey[Site Name],LocationsKey[Town])</f>
        <v>Willington</v>
      </c>
      <c r="J979" t="str">
        <f>_xlfn.XLOOKUP(AllDataCorrected[[#This Row],[Site Name]],LocationsKey[Site Name], LocationsKey[Waterway])</f>
        <v>Stour</v>
      </c>
      <c r="K979" t="s">
        <v>517</v>
      </c>
      <c r="L979">
        <f>_xlfn.XLOOKUP(AllDataCorrected[[#This Row],[Site Name]],Tables!$B$12:$B$78, Tables!C$12:C$78)</f>
        <v>52.053154375000005</v>
      </c>
      <c r="M979">
        <f>_xlfn.XLOOKUP(AllDataCorrected[[#This Row],[Site Name]],Tables!$B$12:$B$78, Tables!D$12:D$78)</f>
        <v>-1.6191991562500001</v>
      </c>
      <c r="N979" t="s">
        <v>23</v>
      </c>
      <c r="O979">
        <v>607</v>
      </c>
      <c r="P979">
        <v>15.5</v>
      </c>
      <c r="Q979">
        <v>2</v>
      </c>
      <c r="R979" t="str">
        <f>IF(AllDataCorrected[[#This Row],[Nitrate (PPM)]]&gt;2, "4. Very high (&gt;2ppm)", IF(AllDataCorrected[[#This Row],[Nitrate (PPM)]]&gt;1, "3. High (1-2ppm)", IF(AllDataCorrected[[#This Row],[Nitrate (PPM)]]&gt;0.5, "2. Some evidence (0.5-1ppm)", IF(AllDataCorrected[[#This Row],[Nitrate (PPM)]]&gt;=0, "1. No evidence (&lt;0.5ppm)"))))</f>
        <v>3. High (1-2ppm)</v>
      </c>
      <c r="S979">
        <v>0.39</v>
      </c>
      <c r="T9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9">
        <v>0.5</v>
      </c>
    </row>
    <row r="980" spans="1:22" x14ac:dyDescent="0.25">
      <c r="A980" t="s">
        <v>1299</v>
      </c>
      <c r="B980" s="2">
        <v>45470</v>
      </c>
      <c r="C980" t="str" cm="1">
        <f t="array" ref="C9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0">
        <f>YEAR(AllDataCorrected[[#This Row],[Date]])</f>
        <v>2024</v>
      </c>
      <c r="E980" s="1">
        <v>0.50694444444444442</v>
      </c>
      <c r="F9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0" t="str">
        <f>_xlfn.XLOOKUP(AllDataCorrected[[#This Row],[Location Name]], Locations[Location Name],Locations[Group As])</f>
        <v>Twyning Fleet</v>
      </c>
      <c r="H980" t="e" vm="1">
        <f>_xlfn.XLOOKUP(AllDataCorrected[[#This Row],[Site Name]],LocationsKey[Site Name],LocationsKey[District])</f>
        <v>#VALUE!</v>
      </c>
      <c r="I980" t="str">
        <f>_xlfn.XLOOKUP(AllDataCorrected[[#This Row],[Site Name]],LocationsKey[Site Name],LocationsKey[Town])</f>
        <v>Twyning Green</v>
      </c>
      <c r="J980" t="str">
        <f>_xlfn.XLOOKUP(AllDataCorrected[[#This Row],[Site Name]],LocationsKey[Site Name], LocationsKey[Waterway])</f>
        <v>Avon</v>
      </c>
      <c r="K980" t="s">
        <v>54</v>
      </c>
      <c r="L980">
        <f>_xlfn.XLOOKUP(AllDataCorrected[[#This Row],[Site Name]],Tables!$B$12:$B$78, Tables!C$12:C$78)</f>
        <v>52.027190153846163</v>
      </c>
      <c r="M980">
        <f>_xlfn.XLOOKUP(AllDataCorrected[[#This Row],[Site Name]],Tables!$B$12:$B$78, Tables!D$12:D$78)</f>
        <v>-2.1406086923076924</v>
      </c>
      <c r="N980" t="s">
        <v>29</v>
      </c>
      <c r="O980">
        <v>1000</v>
      </c>
      <c r="P980">
        <v>23.3</v>
      </c>
      <c r="Q980">
        <v>9</v>
      </c>
      <c r="R980" t="str">
        <f>IF(AllDataCorrected[[#This Row],[Nitrate (PPM)]]&gt;2, "4. Very high (&gt;2ppm)", IF(AllDataCorrected[[#This Row],[Nitrate (PPM)]]&gt;1, "3. High (1-2ppm)", IF(AllDataCorrected[[#This Row],[Nitrate (PPM)]]&gt;0.5, "2. Some evidence (0.5-1ppm)", IF(AllDataCorrected[[#This Row],[Nitrate (PPM)]]&gt;=0, "1. No evidence (&lt;0.5ppm)"))))</f>
        <v>4. Very high (&gt;2ppm)</v>
      </c>
      <c r="S980">
        <v>0.86</v>
      </c>
      <c r="T9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0">
        <v>0</v>
      </c>
      <c r="V980" t="s">
        <v>1300</v>
      </c>
    </row>
    <row r="981" spans="1:22" x14ac:dyDescent="0.25">
      <c r="A981" t="s">
        <v>1308</v>
      </c>
      <c r="B981" s="2">
        <v>45471</v>
      </c>
      <c r="C981" t="str" cm="1">
        <f t="array" ref="C9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1">
        <f>YEAR(AllDataCorrected[[#This Row],[Date]])</f>
        <v>2024</v>
      </c>
      <c r="E981" s="1">
        <v>0.34513888888888888</v>
      </c>
      <c r="F98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1" t="str">
        <f>_xlfn.XLOOKUP(AllDataCorrected[[#This Row],[Location Name]], Locations[Location Name],Locations[Group As])</f>
        <v>Lower Lode</v>
      </c>
      <c r="H981" t="e" vm="1">
        <f>_xlfn.XLOOKUP(AllDataCorrected[[#This Row],[Site Name]],LocationsKey[Site Name],LocationsKey[District])</f>
        <v>#VALUE!</v>
      </c>
      <c r="I981" t="e" vm="1">
        <f>_xlfn.XLOOKUP(AllDataCorrected[[#This Row],[Site Name]],LocationsKey[Site Name],LocationsKey[Town])</f>
        <v>#VALUE!</v>
      </c>
      <c r="J981" t="str">
        <f>_xlfn.XLOOKUP(AllDataCorrected[[#This Row],[Site Name]],LocationsKey[Site Name], LocationsKey[Waterway])</f>
        <v>Avon</v>
      </c>
      <c r="K981" t="s">
        <v>592</v>
      </c>
      <c r="L981">
        <f>_xlfn.XLOOKUP(AllDataCorrected[[#This Row],[Site Name]],Tables!$B$12:$B$78, Tables!C$12:C$78)</f>
        <v>51.984954782608689</v>
      </c>
      <c r="M981">
        <f>_xlfn.XLOOKUP(AllDataCorrected[[#This Row],[Site Name]],Tables!$B$12:$B$78, Tables!D$12:D$78)</f>
        <v>-2.1744283478260868</v>
      </c>
      <c r="N981" t="s">
        <v>29</v>
      </c>
      <c r="O981">
        <v>1200</v>
      </c>
      <c r="P981">
        <v>18.3</v>
      </c>
      <c r="Q981">
        <v>10</v>
      </c>
      <c r="R981" t="str">
        <f>IF(AllDataCorrected[[#This Row],[Nitrate (PPM)]]&gt;2, "4. Very high (&gt;2ppm)", IF(AllDataCorrected[[#This Row],[Nitrate (PPM)]]&gt;1, "3. High (1-2ppm)", IF(AllDataCorrected[[#This Row],[Nitrate (PPM)]]&gt;0.5, "2. Some evidence (0.5-1ppm)", IF(AllDataCorrected[[#This Row],[Nitrate (PPM)]]&gt;=0, "1. No evidence (&lt;0.5ppm)"))))</f>
        <v>4. Very high (&gt;2ppm)</v>
      </c>
      <c r="S981">
        <v>0.44</v>
      </c>
      <c r="T9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81">
        <v>1</v>
      </c>
    </row>
    <row r="982" spans="1:22" x14ac:dyDescent="0.25">
      <c r="A982" t="s">
        <v>1306</v>
      </c>
      <c r="B982" s="2">
        <v>45471</v>
      </c>
      <c r="C982" t="str" cm="1">
        <f t="array" ref="C9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2">
        <f>YEAR(AllDataCorrected[[#This Row],[Date]])</f>
        <v>2024</v>
      </c>
      <c r="E982" s="1">
        <v>0.38680555555555557</v>
      </c>
      <c r="F9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2" t="str">
        <f>_xlfn.XLOOKUP(AllDataCorrected[[#This Row],[Location Name]], Locations[Location Name],Locations[Group As])</f>
        <v>Carrant Back Lane Beckford</v>
      </c>
      <c r="H982" t="e" vm="1">
        <f>_xlfn.XLOOKUP(AllDataCorrected[[#This Row],[Site Name]],LocationsKey[Site Name],LocationsKey[District])</f>
        <v>#VALUE!</v>
      </c>
      <c r="I982" t="str">
        <f>_xlfn.XLOOKUP(AllDataCorrected[[#This Row],[Site Name]],LocationsKey[Site Name],LocationsKey[Town])</f>
        <v>Beckford</v>
      </c>
      <c r="J982" t="str">
        <f>_xlfn.XLOOKUP(AllDataCorrected[[#This Row],[Site Name]],LocationsKey[Site Name], LocationsKey[Waterway])</f>
        <v>Carrant</v>
      </c>
      <c r="K982" t="s">
        <v>1307</v>
      </c>
      <c r="L982">
        <f>_xlfn.XLOOKUP(AllDataCorrected[[#This Row],[Site Name]],Tables!$B$12:$B$78, Tables!C$12:C$78)</f>
        <v>52.017659444444448</v>
      </c>
      <c r="M982">
        <f>_xlfn.XLOOKUP(AllDataCorrected[[#This Row],[Site Name]],Tables!$B$12:$B$78, Tables!D$12:D$78)</f>
        <v>-2.0390003333333335</v>
      </c>
      <c r="N982" t="s">
        <v>66</v>
      </c>
      <c r="O982">
        <v>790</v>
      </c>
      <c r="P982">
        <v>15.7</v>
      </c>
      <c r="Q982">
        <v>5</v>
      </c>
      <c r="R982" t="str">
        <f>IF(AllDataCorrected[[#This Row],[Nitrate (PPM)]]&gt;2, "4. Very high (&gt;2ppm)", IF(AllDataCorrected[[#This Row],[Nitrate (PPM)]]&gt;1, "3. High (1-2ppm)", IF(AllDataCorrected[[#This Row],[Nitrate (PPM)]]&gt;0.5, "2. Some evidence (0.5-1ppm)", IF(AllDataCorrected[[#This Row],[Nitrate (PPM)]]&gt;=0, "1. No evidence (&lt;0.5ppm)"))))</f>
        <v>4. Very high (&gt;2ppm)</v>
      </c>
      <c r="S982">
        <v>1.4</v>
      </c>
      <c r="T9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2">
        <v>0</v>
      </c>
    </row>
    <row r="983" spans="1:22" x14ac:dyDescent="0.25">
      <c r="A983" t="s">
        <v>1304</v>
      </c>
      <c r="B983" s="2">
        <v>45471</v>
      </c>
      <c r="C983" t="str" cm="1">
        <f t="array" ref="C9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3">
        <f>YEAR(AllDataCorrected[[#This Row],[Date]])</f>
        <v>2024</v>
      </c>
      <c r="E983" s="1">
        <v>0.41180555555555554</v>
      </c>
      <c r="F9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3" t="str">
        <f>_xlfn.XLOOKUP(AllDataCorrected[[#This Row],[Location Name]], Locations[Location Name],Locations[Group As])</f>
        <v>Carrant Beckford Sewage Works</v>
      </c>
      <c r="H983" t="e" vm="1">
        <f>_xlfn.XLOOKUP(AllDataCorrected[[#This Row],[Site Name]],LocationsKey[Site Name],LocationsKey[District])</f>
        <v>#VALUE!</v>
      </c>
      <c r="I983" t="str">
        <f>_xlfn.XLOOKUP(AllDataCorrected[[#This Row],[Site Name]],LocationsKey[Site Name],LocationsKey[Town])</f>
        <v>Beckford</v>
      </c>
      <c r="J983" t="str">
        <f>_xlfn.XLOOKUP(AllDataCorrected[[#This Row],[Site Name]],LocationsKey[Site Name], LocationsKey[Waterway])</f>
        <v>Carrant</v>
      </c>
      <c r="K983" t="s">
        <v>1305</v>
      </c>
      <c r="L983">
        <f>_xlfn.XLOOKUP(AllDataCorrected[[#This Row],[Site Name]],Tables!$B$12:$B$78, Tables!C$12:C$78)</f>
        <v>52.015557999999999</v>
      </c>
      <c r="M983">
        <f>_xlfn.XLOOKUP(AllDataCorrected[[#This Row],[Site Name]],Tables!$B$12:$B$78, Tables!D$12:D$78)</f>
        <v>-2.0442779999999998</v>
      </c>
      <c r="N983" t="s">
        <v>29</v>
      </c>
      <c r="O983">
        <v>800</v>
      </c>
      <c r="P983">
        <v>15.7</v>
      </c>
      <c r="Q983">
        <v>6</v>
      </c>
      <c r="R983" t="str">
        <f>IF(AllDataCorrected[[#This Row],[Nitrate (PPM)]]&gt;2, "4. Very high (&gt;2ppm)", IF(AllDataCorrected[[#This Row],[Nitrate (PPM)]]&gt;1, "3. High (1-2ppm)", IF(AllDataCorrected[[#This Row],[Nitrate (PPM)]]&gt;0.5, "2. Some evidence (0.5-1ppm)", IF(AllDataCorrected[[#This Row],[Nitrate (PPM)]]&gt;=0, "1. No evidence (&lt;0.5ppm)"))))</f>
        <v>4. Very high (&gt;2ppm)</v>
      </c>
      <c r="S983">
        <v>0.82</v>
      </c>
      <c r="T9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3">
        <v>0</v>
      </c>
    </row>
    <row r="984" spans="1:22" x14ac:dyDescent="0.25">
      <c r="A984" t="s">
        <v>1301</v>
      </c>
      <c r="B984" s="2">
        <v>45471</v>
      </c>
      <c r="C984" t="str" cm="1">
        <f t="array" ref="C9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4">
        <f>YEAR(AllDataCorrected[[#This Row],[Date]])</f>
        <v>2024</v>
      </c>
      <c r="E984" s="1">
        <v>0.45416666666666666</v>
      </c>
      <c r="F9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4" t="str">
        <f>_xlfn.XLOOKUP(AllDataCorrected[[#This Row],[Location Name]], Locations[Location Name],Locations[Group As])</f>
        <v>Mill Bridge Peopleton</v>
      </c>
      <c r="H984" t="e" vm="17">
        <f>_xlfn.XLOOKUP(AllDataCorrected[[#This Row],[Site Name]],LocationsKey[Site Name],LocationsKey[District])</f>
        <v>#VALUE!</v>
      </c>
      <c r="I984" t="str">
        <f>_xlfn.XLOOKUP(AllDataCorrected[[#This Row],[Site Name]],LocationsKey[Site Name],LocationsKey[Town])</f>
        <v>Peopleton</v>
      </c>
      <c r="J984" t="str">
        <f>_xlfn.XLOOKUP(AllDataCorrected[[#This Row],[Site Name]],LocationsKey[Site Name], LocationsKey[Waterway])</f>
        <v>Bow Brook</v>
      </c>
      <c r="K984" t="s">
        <v>1302</v>
      </c>
      <c r="L984">
        <f>_xlfn.XLOOKUP(AllDataCorrected[[#This Row],[Site Name]],Tables!$B$12:$B$78, Tables!C$12:C$78)</f>
        <v>52.15202992857143</v>
      </c>
      <c r="M984">
        <f>_xlfn.XLOOKUP(AllDataCorrected[[#This Row],[Site Name]],Tables!$B$12:$B$78, Tables!D$12:D$78)</f>
        <v>-2.0954780000000004</v>
      </c>
      <c r="N984" t="s">
        <v>29</v>
      </c>
      <c r="O984">
        <v>130</v>
      </c>
      <c r="P984">
        <v>18.8</v>
      </c>
      <c r="Q984">
        <v>5</v>
      </c>
      <c r="R984" t="str">
        <f>IF(AllDataCorrected[[#This Row],[Nitrate (PPM)]]&gt;2, "4. Very high (&gt;2ppm)", IF(AllDataCorrected[[#This Row],[Nitrate (PPM)]]&gt;1, "3. High (1-2ppm)", IF(AllDataCorrected[[#This Row],[Nitrate (PPM)]]&gt;0.5, "2. Some evidence (0.5-1ppm)", IF(AllDataCorrected[[#This Row],[Nitrate (PPM)]]&gt;=0, "1. No evidence (&lt;0.5ppm)"))))</f>
        <v>4. Very high (&gt;2ppm)</v>
      </c>
      <c r="S984">
        <v>0.04</v>
      </c>
      <c r="T984"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984">
        <v>0.25</v>
      </c>
      <c r="V984" t="s">
        <v>1303</v>
      </c>
    </row>
    <row r="985" spans="1:22" x14ac:dyDescent="0.25">
      <c r="A985" t="s">
        <v>1314</v>
      </c>
      <c r="B985" s="2">
        <v>45472</v>
      </c>
      <c r="C985" t="str" cm="1">
        <f t="array" ref="C9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5">
        <f>YEAR(AllDataCorrected[[#This Row],[Date]])</f>
        <v>2024</v>
      </c>
      <c r="E985" s="1">
        <v>0.39583333333333331</v>
      </c>
      <c r="F9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5" t="str">
        <f>_xlfn.XLOOKUP(AllDataCorrected[[#This Row],[Location Name]], Locations[Location Name],Locations[Group As])</f>
        <v>Avon Smiths Meadow Wyre Piddle</v>
      </c>
      <c r="H985" t="e" vm="17">
        <f>_xlfn.XLOOKUP(AllDataCorrected[[#This Row],[Site Name]],LocationsKey[Site Name],LocationsKey[District])</f>
        <v>#VALUE!</v>
      </c>
      <c r="I985" t="e" vm="20">
        <f>_xlfn.XLOOKUP(AllDataCorrected[[#This Row],[Site Name]],LocationsKey[Site Name],LocationsKey[Town])</f>
        <v>#VALUE!</v>
      </c>
      <c r="J985" t="str">
        <f>_xlfn.XLOOKUP(AllDataCorrected[[#This Row],[Site Name]],LocationsKey[Site Name], LocationsKey[Waterway])</f>
        <v>Avon</v>
      </c>
      <c r="K985" t="s">
        <v>741</v>
      </c>
      <c r="L985">
        <f>_xlfn.XLOOKUP(AllDataCorrected[[#This Row],[Site Name]],Tables!$B$12:$B$78, Tables!C$12:C$78)</f>
        <v>52.123045961538452</v>
      </c>
      <c r="M985">
        <f>_xlfn.XLOOKUP(AllDataCorrected[[#This Row],[Site Name]],Tables!$B$12:$B$78, Tables!D$12:D$78)</f>
        <v>-2.0572161923076919</v>
      </c>
      <c r="N985" t="s">
        <v>23</v>
      </c>
      <c r="O985">
        <v>1030</v>
      </c>
      <c r="P985">
        <v>20.2</v>
      </c>
      <c r="Q985">
        <v>10</v>
      </c>
      <c r="R985" t="str">
        <f>IF(AllDataCorrected[[#This Row],[Nitrate (PPM)]]&gt;2, "4. Very high (&gt;2ppm)", IF(AllDataCorrected[[#This Row],[Nitrate (PPM)]]&gt;1, "3. High (1-2ppm)", IF(AllDataCorrected[[#This Row],[Nitrate (PPM)]]&gt;0.5, "2. Some evidence (0.5-1ppm)", IF(AllDataCorrected[[#This Row],[Nitrate (PPM)]]&gt;=0, "1. No evidence (&lt;0.5ppm)"))))</f>
        <v>4. Very high (&gt;2ppm)</v>
      </c>
      <c r="S985">
        <v>0.76</v>
      </c>
      <c r="T9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5">
        <v>0.53</v>
      </c>
      <c r="V985" t="s">
        <v>1315</v>
      </c>
    </row>
    <row r="986" spans="1:22" x14ac:dyDescent="0.25">
      <c r="A986" t="s">
        <v>1312</v>
      </c>
      <c r="B986" s="2">
        <v>45472</v>
      </c>
      <c r="C986" t="str" cm="1">
        <f t="array" ref="C9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6">
        <f>YEAR(AllDataCorrected[[#This Row],[Date]])</f>
        <v>2024</v>
      </c>
      <c r="E986" s="1">
        <v>0.41666666666666669</v>
      </c>
      <c r="F9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6" t="str">
        <f>_xlfn.XLOOKUP(AllDataCorrected[[#This Row],[Location Name]], Locations[Location Name],Locations[Group As])</f>
        <v>Piddle Brook Wyre Piddle Bridge</v>
      </c>
      <c r="H986" t="e" vm="17">
        <f>_xlfn.XLOOKUP(AllDataCorrected[[#This Row],[Site Name]],LocationsKey[Site Name],LocationsKey[District])</f>
        <v>#VALUE!</v>
      </c>
      <c r="I986" t="e" vm="20">
        <f>_xlfn.XLOOKUP(AllDataCorrected[[#This Row],[Site Name]],LocationsKey[Site Name],LocationsKey[Town])</f>
        <v>#VALUE!</v>
      </c>
      <c r="J986" t="str">
        <f>_xlfn.XLOOKUP(AllDataCorrected[[#This Row],[Site Name]],LocationsKey[Site Name], LocationsKey[Waterway])</f>
        <v>Piddle Brook</v>
      </c>
      <c r="K986" t="s">
        <v>744</v>
      </c>
      <c r="L986">
        <f>_xlfn.XLOOKUP(AllDataCorrected[[#This Row],[Site Name]],Tables!$B$12:$B$78, Tables!C$12:C$78)</f>
        <v>52.126401720000004</v>
      </c>
      <c r="M986">
        <f>_xlfn.XLOOKUP(AllDataCorrected[[#This Row],[Site Name]],Tables!$B$12:$B$78, Tables!D$12:D$78)</f>
        <v>-2.0565162000000003</v>
      </c>
      <c r="N986" t="s">
        <v>23</v>
      </c>
      <c r="O986">
        <v>1710</v>
      </c>
      <c r="P986">
        <v>15.8</v>
      </c>
      <c r="Q986">
        <v>10</v>
      </c>
      <c r="R986" t="str">
        <f>IF(AllDataCorrected[[#This Row],[Nitrate (PPM)]]&gt;2, "4. Very high (&gt;2ppm)", IF(AllDataCorrected[[#This Row],[Nitrate (PPM)]]&gt;1, "3. High (1-2ppm)", IF(AllDataCorrected[[#This Row],[Nitrate (PPM)]]&gt;0.5, "2. Some evidence (0.5-1ppm)", IF(AllDataCorrected[[#This Row],[Nitrate (PPM)]]&gt;=0, "1. No evidence (&lt;0.5ppm)"))))</f>
        <v>4. Very high (&gt;2ppm)</v>
      </c>
      <c r="S986">
        <v>1.1000000000000001</v>
      </c>
      <c r="T9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6">
        <v>0.16</v>
      </c>
      <c r="V986" t="s">
        <v>1313</v>
      </c>
    </row>
    <row r="987" spans="1:22" x14ac:dyDescent="0.25">
      <c r="A987" t="s">
        <v>1311</v>
      </c>
      <c r="B987" s="2">
        <v>45472</v>
      </c>
      <c r="C987" t="str" cm="1">
        <f t="array" ref="C9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7">
        <f>YEAR(AllDataCorrected[[#This Row],[Date]])</f>
        <v>2024</v>
      </c>
      <c r="E987" s="1">
        <v>0.43263888888888891</v>
      </c>
      <c r="F9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7" t="str">
        <f>_xlfn.XLOOKUP(AllDataCorrected[[#This Row],[Location Name]], Locations[Location Name],Locations[Group As])</f>
        <v>Pitch 16</v>
      </c>
      <c r="H987" t="e" vm="2">
        <f>_xlfn.XLOOKUP(AllDataCorrected[[#This Row],[Site Name]],LocationsKey[Site Name],LocationsKey[District])</f>
        <v>#VALUE!</v>
      </c>
      <c r="I987" t="e" vm="7">
        <f>_xlfn.XLOOKUP(AllDataCorrected[[#This Row],[Site Name]],LocationsKey[Site Name],LocationsKey[Town])</f>
        <v>#VALUE!</v>
      </c>
      <c r="J987" t="str">
        <f>_xlfn.XLOOKUP(AllDataCorrected[[#This Row],[Site Name]],LocationsKey[Site Name], LocationsKey[Waterway])</f>
        <v>Avon</v>
      </c>
      <c r="K987" t="s">
        <v>69</v>
      </c>
      <c r="L987">
        <f>_xlfn.XLOOKUP(AllDataCorrected[[#This Row],[Site Name]],Tables!$B$12:$B$78, Tables!C$12:C$78)</f>
        <v>52.17355294117646</v>
      </c>
      <c r="M987">
        <f>_xlfn.XLOOKUP(AllDataCorrected[[#This Row],[Site Name]],Tables!$B$12:$B$78, Tables!D$12:D$78)</f>
        <v>-1.7433199411764708</v>
      </c>
      <c r="N987" t="s">
        <v>29</v>
      </c>
      <c r="O987">
        <v>1010</v>
      </c>
      <c r="P987">
        <v>20.5</v>
      </c>
      <c r="Q987">
        <v>8</v>
      </c>
      <c r="R987" t="str">
        <f>IF(AllDataCorrected[[#This Row],[Nitrate (PPM)]]&gt;2, "4. Very high (&gt;2ppm)", IF(AllDataCorrected[[#This Row],[Nitrate (PPM)]]&gt;1, "3. High (1-2ppm)", IF(AllDataCorrected[[#This Row],[Nitrate (PPM)]]&gt;0.5, "2. Some evidence (0.5-1ppm)", IF(AllDataCorrected[[#This Row],[Nitrate (PPM)]]&gt;=0, "1. No evidence (&lt;0.5ppm)"))))</f>
        <v>4. Very high (&gt;2ppm)</v>
      </c>
      <c r="S987">
        <v>0.57999999999999996</v>
      </c>
      <c r="T9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7">
        <v>0.6</v>
      </c>
    </row>
    <row r="988" spans="1:22" x14ac:dyDescent="0.25">
      <c r="A988" t="s">
        <v>1310</v>
      </c>
      <c r="B988" s="2">
        <v>45472</v>
      </c>
      <c r="C988" t="str" cm="1">
        <f t="array" ref="C9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8">
        <f>YEAR(AllDataCorrected[[#This Row],[Date]])</f>
        <v>2024</v>
      </c>
      <c r="E988" s="1">
        <v>0.44930555555555557</v>
      </c>
      <c r="F9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8" t="str">
        <f>_xlfn.XLOOKUP(AllDataCorrected[[#This Row],[Location Name]], Locations[Location Name],Locations[Group As])</f>
        <v>Avonbank Drive</v>
      </c>
      <c r="H988" t="e" vm="2">
        <f>_xlfn.XLOOKUP(AllDataCorrected[[#This Row],[Site Name]],LocationsKey[Site Name],LocationsKey[District])</f>
        <v>#VALUE!</v>
      </c>
      <c r="I988" t="e" vm="7">
        <f>_xlfn.XLOOKUP(AllDataCorrected[[#This Row],[Site Name]],LocationsKey[Site Name],LocationsKey[Town])</f>
        <v>#VALUE!</v>
      </c>
      <c r="J988" t="str">
        <f>_xlfn.XLOOKUP(AllDataCorrected[[#This Row],[Site Name]],LocationsKey[Site Name], LocationsKey[Waterway])</f>
        <v>Avon</v>
      </c>
      <c r="K988" t="s">
        <v>325</v>
      </c>
      <c r="L988">
        <f>_xlfn.XLOOKUP(AllDataCorrected[[#This Row],[Site Name]],Tables!$B$12:$B$78, Tables!C$12:C$78)</f>
        <v>52.177054657142854</v>
      </c>
      <c r="M988">
        <f>_xlfn.XLOOKUP(AllDataCorrected[[#This Row],[Site Name]],Tables!$B$12:$B$78, Tables!D$12:D$78)</f>
        <v>-1.7358669999999996</v>
      </c>
      <c r="N988" t="s">
        <v>66</v>
      </c>
      <c r="O988">
        <v>1010</v>
      </c>
      <c r="P988">
        <v>20.6</v>
      </c>
      <c r="Q988">
        <v>10</v>
      </c>
      <c r="R988" t="str">
        <f>IF(AllDataCorrected[[#This Row],[Nitrate (PPM)]]&gt;2, "4. Very high (&gt;2ppm)", IF(AllDataCorrected[[#This Row],[Nitrate (PPM)]]&gt;1, "3. High (1-2ppm)", IF(AllDataCorrected[[#This Row],[Nitrate (PPM)]]&gt;0.5, "2. Some evidence (0.5-1ppm)", IF(AllDataCorrected[[#This Row],[Nitrate (PPM)]]&gt;=0, "1. No evidence (&lt;0.5ppm)"))))</f>
        <v>4. Very high (&gt;2ppm)</v>
      </c>
      <c r="S988">
        <v>0.43</v>
      </c>
      <c r="T9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88">
        <v>0.6</v>
      </c>
    </row>
    <row r="989" spans="1:22" x14ac:dyDescent="0.25">
      <c r="A989" t="s">
        <v>1309</v>
      </c>
      <c r="B989" s="2">
        <v>45472</v>
      </c>
      <c r="C989" t="str" cm="1">
        <f t="array" ref="C9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9">
        <f>YEAR(AllDataCorrected[[#This Row],[Date]])</f>
        <v>2024</v>
      </c>
      <c r="E989" s="1">
        <v>0.5</v>
      </c>
      <c r="F9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9" t="str">
        <f>_xlfn.XLOOKUP(AllDataCorrected[[#This Row],[Location Name]], Locations[Location Name],Locations[Group As])</f>
        <v>Carrant Bredon Rd</v>
      </c>
      <c r="H989" t="e" vm="1">
        <f>_xlfn.XLOOKUP(AllDataCorrected[[#This Row],[Site Name]],LocationsKey[Site Name],LocationsKey[District])</f>
        <v>#VALUE!</v>
      </c>
      <c r="I989" t="e" vm="1">
        <f>_xlfn.XLOOKUP(AllDataCorrected[[#This Row],[Site Name]],LocationsKey[Site Name],LocationsKey[Town])</f>
        <v>#VALUE!</v>
      </c>
      <c r="J989" t="str">
        <f>_xlfn.XLOOKUP(AllDataCorrected[[#This Row],[Site Name]],LocationsKey[Site Name], LocationsKey[Waterway])</f>
        <v>Carrant</v>
      </c>
      <c r="K989" t="s">
        <v>600</v>
      </c>
      <c r="L989">
        <f>_xlfn.XLOOKUP(AllDataCorrected[[#This Row],[Site Name]],Tables!$B$12:$B$78, Tables!C$12:C$78)</f>
        <v>51.996416567567572</v>
      </c>
      <c r="M989">
        <f>_xlfn.XLOOKUP(AllDataCorrected[[#This Row],[Site Name]],Tables!$B$12:$B$78, Tables!D$12:D$78)</f>
        <v>-2.1556626756756749</v>
      </c>
      <c r="N989" t="s">
        <v>23</v>
      </c>
      <c r="O989">
        <v>732</v>
      </c>
      <c r="P989">
        <v>16.5</v>
      </c>
      <c r="Q989">
        <v>4</v>
      </c>
      <c r="R989" t="str">
        <f>IF(AllDataCorrected[[#This Row],[Nitrate (PPM)]]&gt;2, "4. Very high (&gt;2ppm)", IF(AllDataCorrected[[#This Row],[Nitrate (PPM)]]&gt;1, "3. High (1-2ppm)", IF(AllDataCorrected[[#This Row],[Nitrate (PPM)]]&gt;0.5, "2. Some evidence (0.5-1ppm)", IF(AllDataCorrected[[#This Row],[Nitrate (PPM)]]&gt;=0, "1. No evidence (&lt;0.5ppm)"))))</f>
        <v>4. Very high (&gt;2ppm)</v>
      </c>
      <c r="S989">
        <v>0.51</v>
      </c>
      <c r="T9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9">
        <v>0</v>
      </c>
    </row>
    <row r="990" spans="1:22" x14ac:dyDescent="0.25">
      <c r="A990" t="s">
        <v>1322</v>
      </c>
      <c r="B990" s="2">
        <v>45473</v>
      </c>
      <c r="C990" t="str" cm="1">
        <f t="array" ref="C9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0">
        <f>YEAR(AllDataCorrected[[#This Row],[Date]])</f>
        <v>2024</v>
      </c>
      <c r="E990" s="1">
        <v>0.40625</v>
      </c>
      <c r="F9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0" t="str">
        <f>_xlfn.XLOOKUP(AllDataCorrected[[#This Row],[Location Name]], Locations[Location Name],Locations[Group As])</f>
        <v>Sherbourne Brook 1</v>
      </c>
      <c r="H990" t="e" vm="2">
        <f>_xlfn.XLOOKUP(AllDataCorrected[[#This Row],[Site Name]],LocationsKey[Site Name],LocationsKey[District])</f>
        <v>#VALUE!</v>
      </c>
      <c r="I990" t="e" vm="16">
        <f>_xlfn.XLOOKUP(AllDataCorrected[[#This Row],[Site Name]],LocationsKey[Site Name],LocationsKey[Town])</f>
        <v>#VALUE!</v>
      </c>
      <c r="J990" t="str">
        <f>_xlfn.XLOOKUP(AllDataCorrected[[#This Row],[Site Name]],LocationsKey[Site Name], LocationsKey[Waterway])</f>
        <v>Sherbourne Brook</v>
      </c>
      <c r="K990" t="s">
        <v>570</v>
      </c>
      <c r="L990">
        <f>_xlfn.XLOOKUP(AllDataCorrected[[#This Row],[Site Name]],Tables!$B$12:$B$78, Tables!C$12:C$78)</f>
        <v>52.252500000000033</v>
      </c>
      <c r="M990">
        <f>_xlfn.XLOOKUP(AllDataCorrected[[#This Row],[Site Name]],Tables!$B$12:$B$78, Tables!D$12:D$78)</f>
        <v>-1.6685000000000012</v>
      </c>
      <c r="N990" t="s">
        <v>23</v>
      </c>
      <c r="O990">
        <v>1120</v>
      </c>
      <c r="P990">
        <v>13.9</v>
      </c>
      <c r="Q990">
        <v>8</v>
      </c>
      <c r="R990" t="str">
        <f>IF(AllDataCorrected[[#This Row],[Nitrate (PPM)]]&gt;2, "4. Very high (&gt;2ppm)", IF(AllDataCorrected[[#This Row],[Nitrate (PPM)]]&gt;1, "3. High (1-2ppm)", IF(AllDataCorrected[[#This Row],[Nitrate (PPM)]]&gt;0.5, "2. Some evidence (0.5-1ppm)", IF(AllDataCorrected[[#This Row],[Nitrate (PPM)]]&gt;=0, "1. No evidence (&lt;0.5ppm)"))))</f>
        <v>4. Very high (&gt;2ppm)</v>
      </c>
      <c r="S990">
        <v>0.4</v>
      </c>
      <c r="T9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90">
        <v>0.1</v>
      </c>
    </row>
    <row r="991" spans="1:22" x14ac:dyDescent="0.25">
      <c r="A991" t="s">
        <v>1321</v>
      </c>
      <c r="B991" s="2">
        <v>45473</v>
      </c>
      <c r="C991" t="str" cm="1">
        <f t="array" ref="C9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1">
        <f>YEAR(AllDataCorrected[[#This Row],[Date]])</f>
        <v>2024</v>
      </c>
      <c r="E991" s="1">
        <v>0.41666666666666669</v>
      </c>
      <c r="F9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1" t="str">
        <f>_xlfn.XLOOKUP(AllDataCorrected[[#This Row],[Location Name]], Locations[Location Name],Locations[Group As])</f>
        <v>Bell Brook 1</v>
      </c>
      <c r="H991" t="e" vm="2">
        <f>_xlfn.XLOOKUP(AllDataCorrected[[#This Row],[Site Name]],LocationsKey[Site Name],LocationsKey[District])</f>
        <v>#VALUE!</v>
      </c>
      <c r="I991" t="e" vm="15">
        <f>_xlfn.XLOOKUP(AllDataCorrected[[#This Row],[Site Name]],LocationsKey[Site Name],LocationsKey[Town])</f>
        <v>#VALUE!</v>
      </c>
      <c r="J991" t="str">
        <f>_xlfn.XLOOKUP(AllDataCorrected[[#This Row],[Site Name]],LocationsKey[Site Name], LocationsKey[Waterway])</f>
        <v>Bell Brook</v>
      </c>
      <c r="K991" t="s">
        <v>534</v>
      </c>
      <c r="L991">
        <f>_xlfn.XLOOKUP(AllDataCorrected[[#This Row],[Site Name]],Tables!$B$12:$B$78, Tables!C$12:C$78)</f>
        <v>52.24489999999998</v>
      </c>
      <c r="M991">
        <f>_xlfn.XLOOKUP(AllDataCorrected[[#This Row],[Site Name]],Tables!$B$12:$B$78, Tables!D$12:D$78)</f>
        <v>-1.6617000000000013</v>
      </c>
      <c r="N991" t="s">
        <v>23</v>
      </c>
      <c r="O991">
        <v>879</v>
      </c>
      <c r="P991">
        <v>15.4</v>
      </c>
      <c r="Q991">
        <v>12</v>
      </c>
      <c r="R991" t="str">
        <f>IF(AllDataCorrected[[#This Row],[Nitrate (PPM)]]&gt;2, "4. Very high (&gt;2ppm)", IF(AllDataCorrected[[#This Row],[Nitrate (PPM)]]&gt;1, "3. High (1-2ppm)", IF(AllDataCorrected[[#This Row],[Nitrate (PPM)]]&gt;0.5, "2. Some evidence (0.5-1ppm)", IF(AllDataCorrected[[#This Row],[Nitrate (PPM)]]&gt;=0, "1. No evidence (&lt;0.5ppm)"))))</f>
        <v>4. Very high (&gt;2ppm)</v>
      </c>
      <c r="S991">
        <v>0.62</v>
      </c>
      <c r="T9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1">
        <v>0.1</v>
      </c>
    </row>
    <row r="992" spans="1:22" x14ac:dyDescent="0.25">
      <c r="A992" t="s">
        <v>1316</v>
      </c>
      <c r="B992" s="2">
        <v>45473</v>
      </c>
      <c r="C992" t="str" cm="1">
        <f t="array" ref="C9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2">
        <f>YEAR(AllDataCorrected[[#This Row],[Date]])</f>
        <v>2024</v>
      </c>
      <c r="E992" s="1">
        <v>0.52986111111111112</v>
      </c>
      <c r="F9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2" t="str">
        <f>_xlfn.XLOOKUP(AllDataCorrected[[#This Row],[Location Name]], Locations[Location Name],Locations[Group As])</f>
        <v>Fell Mill Footbridge</v>
      </c>
      <c r="H992" t="e" vm="2">
        <f>_xlfn.XLOOKUP(AllDataCorrected[[#This Row],[Site Name]],LocationsKey[Site Name],LocationsKey[District])</f>
        <v>#VALUE!</v>
      </c>
      <c r="I992" t="e" vm="10">
        <f>_xlfn.XLOOKUP(AllDataCorrected[[#This Row],[Site Name]],LocationsKey[Site Name],LocationsKey[Town])</f>
        <v>#VALUE!</v>
      </c>
      <c r="J992" t="str">
        <f>_xlfn.XLOOKUP(AllDataCorrected[[#This Row],[Site Name]],LocationsKey[Site Name], LocationsKey[Waterway])</f>
        <v>Stour</v>
      </c>
      <c r="K992" t="s">
        <v>1317</v>
      </c>
      <c r="L992">
        <f>_xlfn.XLOOKUP(AllDataCorrected[[#This Row],[Site Name]],Tables!$B$12:$B$78, Tables!C$12:C$78)</f>
        <v>52.067966827586183</v>
      </c>
      <c r="M992">
        <f>_xlfn.XLOOKUP(AllDataCorrected[[#This Row],[Site Name]],Tables!$B$12:$B$78, Tables!D$12:D$78)</f>
        <v>-1.6118101379310343</v>
      </c>
      <c r="N992" t="s">
        <v>29</v>
      </c>
      <c r="O992">
        <v>635</v>
      </c>
      <c r="P992">
        <v>16.8</v>
      </c>
      <c r="Q992">
        <v>5</v>
      </c>
      <c r="R992" t="str">
        <f>IF(AllDataCorrected[[#This Row],[Nitrate (PPM)]]&gt;2, "4. Very high (&gt;2ppm)", IF(AllDataCorrected[[#This Row],[Nitrate (PPM)]]&gt;1, "3. High (1-2ppm)", IF(AllDataCorrected[[#This Row],[Nitrate (PPM)]]&gt;0.5, "2. Some evidence (0.5-1ppm)", IF(AllDataCorrected[[#This Row],[Nitrate (PPM)]]&gt;=0, "1. No evidence (&lt;0.5ppm)"))))</f>
        <v>4. Very high (&gt;2ppm)</v>
      </c>
      <c r="S992">
        <v>0.45</v>
      </c>
      <c r="T9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92">
        <v>2.2999999999999998</v>
      </c>
    </row>
    <row r="993" spans="1:22" x14ac:dyDescent="0.25">
      <c r="A993" t="s">
        <v>1320</v>
      </c>
      <c r="B993" s="2">
        <v>45473</v>
      </c>
      <c r="C993" t="str" cm="1">
        <f t="array" ref="C9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3">
        <f>YEAR(AllDataCorrected[[#This Row],[Date]])</f>
        <v>2024</v>
      </c>
      <c r="E993" s="1">
        <v>0.68472222222222223</v>
      </c>
      <c r="F9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3" t="str">
        <f>_xlfn.XLOOKUP(AllDataCorrected[[#This Row],[Location Name]], Locations[Location Name],Locations[Group As])</f>
        <v>Black Bear</v>
      </c>
      <c r="H993" t="e" vm="1">
        <f>_xlfn.XLOOKUP(AllDataCorrected[[#This Row],[Site Name]],LocationsKey[Site Name],LocationsKey[District])</f>
        <v>#VALUE!</v>
      </c>
      <c r="I993" t="e" vm="1">
        <f>_xlfn.XLOOKUP(AllDataCorrected[[#This Row],[Site Name]],LocationsKey[Site Name],LocationsKey[Town])</f>
        <v>#VALUE!</v>
      </c>
      <c r="J993" t="str">
        <f>_xlfn.XLOOKUP(AllDataCorrected[[#This Row],[Site Name]],LocationsKey[Site Name], LocationsKey[Waterway])</f>
        <v>Avon</v>
      </c>
      <c r="K993" t="s">
        <v>1045</v>
      </c>
      <c r="L993">
        <f>_xlfn.XLOOKUP(AllDataCorrected[[#This Row],[Site Name]],Tables!$B$12:$B$78, Tables!C$12:C$78)</f>
        <v>51.997435214285723</v>
      </c>
      <c r="M993">
        <f>_xlfn.XLOOKUP(AllDataCorrected[[#This Row],[Site Name]],Tables!$B$12:$B$78, Tables!D$12:D$78)</f>
        <v>-2.1562056785714288</v>
      </c>
      <c r="N993" t="s">
        <v>23</v>
      </c>
      <c r="O993">
        <v>980</v>
      </c>
      <c r="P993">
        <v>20.399999999999999</v>
      </c>
      <c r="Q993">
        <v>12</v>
      </c>
      <c r="R993" t="str">
        <f>IF(AllDataCorrected[[#This Row],[Nitrate (PPM)]]&gt;2, "4. Very high (&gt;2ppm)", IF(AllDataCorrected[[#This Row],[Nitrate (PPM)]]&gt;1, "3. High (1-2ppm)", IF(AllDataCorrected[[#This Row],[Nitrate (PPM)]]&gt;0.5, "2. Some evidence (0.5-1ppm)", IF(AllDataCorrected[[#This Row],[Nitrate (PPM)]]&gt;=0, "1. No evidence (&lt;0.5ppm)"))))</f>
        <v>4. Very high (&gt;2ppm)</v>
      </c>
      <c r="S993">
        <v>1.0900000000000001</v>
      </c>
      <c r="T9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3">
        <v>0</v>
      </c>
    </row>
    <row r="994" spans="1:22" x14ac:dyDescent="0.25">
      <c r="A994" t="s">
        <v>1319</v>
      </c>
      <c r="B994" s="2">
        <v>45473</v>
      </c>
      <c r="C994" t="str" cm="1">
        <f t="array" ref="C9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4">
        <f>YEAR(AllDataCorrected[[#This Row],[Date]])</f>
        <v>2024</v>
      </c>
      <c r="E994" s="1">
        <v>0.70763888888888893</v>
      </c>
      <c r="F9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4" t="str">
        <f>_xlfn.XLOOKUP(AllDataCorrected[[#This Row],[Location Name]], Locations[Location Name],Locations[Group As])</f>
        <v>Stour Stretton-on-Fosse Village</v>
      </c>
      <c r="H994" t="e" vm="2">
        <f>_xlfn.XLOOKUP(AllDataCorrected[[#This Row],[Site Name]],LocationsKey[Site Name],LocationsKey[District])</f>
        <v>#VALUE!</v>
      </c>
      <c r="I994" t="e" vm="14">
        <f>_xlfn.XLOOKUP(AllDataCorrected[[#This Row],[Site Name]],LocationsKey[Site Name],LocationsKey[Town])</f>
        <v>#VALUE!</v>
      </c>
      <c r="J994" t="str">
        <f>_xlfn.XLOOKUP(AllDataCorrected[[#This Row],[Site Name]],LocationsKey[Site Name], LocationsKey[Waterway])</f>
        <v>Stour</v>
      </c>
      <c r="K994" t="s">
        <v>544</v>
      </c>
      <c r="L994">
        <f>_xlfn.XLOOKUP(AllDataCorrected[[#This Row],[Site Name]],Tables!$B$12:$B$78, Tables!C$12:C$78)</f>
        <v>52.046517558823524</v>
      </c>
      <c r="M994">
        <f>_xlfn.XLOOKUP(AllDataCorrected[[#This Row],[Site Name]],Tables!$B$12:$B$78, Tables!D$12:D$78)</f>
        <v>-1.6734143529411767</v>
      </c>
      <c r="N994" t="s">
        <v>66</v>
      </c>
      <c r="O994">
        <v>717</v>
      </c>
      <c r="P994">
        <v>14.1</v>
      </c>
      <c r="Q994">
        <v>2</v>
      </c>
      <c r="R994" t="str">
        <f>IF(AllDataCorrected[[#This Row],[Nitrate (PPM)]]&gt;2, "4. Very high (&gt;2ppm)", IF(AllDataCorrected[[#This Row],[Nitrate (PPM)]]&gt;1, "3. High (1-2ppm)", IF(AllDataCorrected[[#This Row],[Nitrate (PPM)]]&gt;0.5, "2. Some evidence (0.5-1ppm)", IF(AllDataCorrected[[#This Row],[Nitrate (PPM)]]&gt;=0, "1. No evidence (&lt;0.5ppm)"))))</f>
        <v>3. High (1-2ppm)</v>
      </c>
      <c r="S994">
        <v>2.5</v>
      </c>
      <c r="T9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4">
        <v>0.2</v>
      </c>
      <c r="V994" t="s">
        <v>1177</v>
      </c>
    </row>
    <row r="995" spans="1:22" x14ac:dyDescent="0.25">
      <c r="A995" t="s">
        <v>1318</v>
      </c>
      <c r="B995" s="2">
        <v>45473</v>
      </c>
      <c r="C995" t="str" cm="1">
        <f t="array" ref="C9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5">
        <f>YEAR(AllDataCorrected[[#This Row],[Date]])</f>
        <v>2024</v>
      </c>
      <c r="E995" s="1">
        <v>0.72847222222222219</v>
      </c>
      <c r="F9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5" t="str">
        <f>_xlfn.XLOOKUP(AllDataCorrected[[#This Row],[Location Name]], Locations[Location Name],Locations[Group As])</f>
        <v>Stour Stretton-on-Fosse Sewage Works</v>
      </c>
      <c r="H995" t="e" vm="2">
        <f>_xlfn.XLOOKUP(AllDataCorrected[[#This Row],[Site Name]],LocationsKey[Site Name],LocationsKey[District])</f>
        <v>#VALUE!</v>
      </c>
      <c r="I995" t="e" vm="14">
        <f>_xlfn.XLOOKUP(AllDataCorrected[[#This Row],[Site Name]],LocationsKey[Site Name],LocationsKey[Town])</f>
        <v>#VALUE!</v>
      </c>
      <c r="J995" t="str">
        <f>_xlfn.XLOOKUP(AllDataCorrected[[#This Row],[Site Name]],LocationsKey[Site Name], LocationsKey[Waterway])</f>
        <v>Stour</v>
      </c>
      <c r="K995" t="s">
        <v>335</v>
      </c>
      <c r="L995">
        <f>_xlfn.XLOOKUP(AllDataCorrected[[#This Row],[Site Name]],Tables!$B$12:$B$78, Tables!C$12:C$78)</f>
        <v>52.045653647058806</v>
      </c>
      <c r="M995">
        <f>_xlfn.XLOOKUP(AllDataCorrected[[#This Row],[Site Name]],Tables!$B$12:$B$78, Tables!D$12:D$78)</f>
        <v>-1.6719221470588235</v>
      </c>
      <c r="N995" t="s">
        <v>29</v>
      </c>
      <c r="O995">
        <v>932</v>
      </c>
      <c r="P995">
        <v>16.399999999999999</v>
      </c>
      <c r="Q995">
        <v>5</v>
      </c>
      <c r="R995" t="str">
        <f>IF(AllDataCorrected[[#This Row],[Nitrate (PPM)]]&gt;2, "4. Very high (&gt;2ppm)", IF(AllDataCorrected[[#This Row],[Nitrate (PPM)]]&gt;1, "3. High (1-2ppm)", IF(AllDataCorrected[[#This Row],[Nitrate (PPM)]]&gt;0.5, "2. Some evidence (0.5-1ppm)", IF(AllDataCorrected[[#This Row],[Nitrate (PPM)]]&gt;=0, "1. No evidence (&lt;0.5ppm)"))))</f>
        <v>4. Very high (&gt;2ppm)</v>
      </c>
      <c r="S995">
        <v>2.5</v>
      </c>
      <c r="T9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5">
        <v>0.3</v>
      </c>
      <c r="V995" t="s">
        <v>1201</v>
      </c>
    </row>
    <row r="996" spans="1:22" x14ac:dyDescent="0.25">
      <c r="A996" t="s">
        <v>1791</v>
      </c>
      <c r="B996" s="2">
        <v>45473</v>
      </c>
      <c r="C996" t="str" cm="1">
        <f t="array" ref="C9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6">
        <f>YEAR(AllDataCorrected[[#This Row],[Date]])</f>
        <v>2024</v>
      </c>
      <c r="F9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6" t="str">
        <f>_xlfn.XLOOKUP(AllDataCorrected[[#This Row],[Location Name]], Locations[Location Name],Locations[Group As])</f>
        <v>Site 1  :  Middle Street</v>
      </c>
      <c r="H996" t="e" vm="2">
        <f>_xlfn.XLOOKUP(AllDataCorrected[[#This Row],[Site Name]],LocationsKey[Site Name],LocationsKey[District])</f>
        <v>#VALUE!</v>
      </c>
      <c r="I996" t="e" vm="11">
        <f>_xlfn.XLOOKUP(AllDataCorrected[[#This Row],[Site Name]],LocationsKey[Site Name],LocationsKey[Town])</f>
        <v>#VALUE!</v>
      </c>
      <c r="J996" t="str">
        <f>_xlfn.XLOOKUP(AllDataCorrected[[#This Row],[Site Name]],LocationsKey[Site Name], LocationsKey[Waterway])</f>
        <v>Fosseway Brook</v>
      </c>
      <c r="K996" t="s">
        <v>1859</v>
      </c>
      <c r="L996">
        <f>_xlfn.XLOOKUP(AllDataCorrected[[#This Row],[Site Name]],Tables!$B$12:$B$78, Tables!C$12:C$78)</f>
        <v>52.090077380952394</v>
      </c>
      <c r="M996">
        <f>_xlfn.XLOOKUP(AllDataCorrected[[#This Row],[Site Name]],Tables!$B$12:$B$78, Tables!D$12:D$78)</f>
        <v>-1.6926051666666673</v>
      </c>
      <c r="N996" t="s">
        <v>66</v>
      </c>
      <c r="O996">
        <v>684</v>
      </c>
      <c r="P996">
        <v>17.399999999999999</v>
      </c>
      <c r="Q996">
        <v>2</v>
      </c>
      <c r="R996" t="str">
        <f>IF(AllDataCorrected[[#This Row],[Nitrate (PPM)]]&gt;2, "4. Very high (&gt;2ppm)", IF(AllDataCorrected[[#This Row],[Nitrate (PPM)]]&gt;1, "3. High (1-2ppm)", IF(AllDataCorrected[[#This Row],[Nitrate (PPM)]]&gt;0.5, "2. Some evidence (0.5-1ppm)", IF(AllDataCorrected[[#This Row],[Nitrate (PPM)]]&gt;=0, "1. No evidence (&lt;0.5ppm)"))))</f>
        <v>3. High (1-2ppm)</v>
      </c>
      <c r="S996">
        <v>0.76</v>
      </c>
      <c r="T9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6">
        <v>0</v>
      </c>
      <c r="V996" t="s">
        <v>1922</v>
      </c>
    </row>
    <row r="997" spans="1:22" x14ac:dyDescent="0.25">
      <c r="A997" t="s">
        <v>1396</v>
      </c>
      <c r="B997" s="2">
        <v>45473</v>
      </c>
      <c r="C997" t="str" cm="1">
        <f t="array" ref="C9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7">
        <f>YEAR(AllDataCorrected[[#This Row],[Date]])</f>
        <v>2024</v>
      </c>
      <c r="F9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7" t="str">
        <f>_xlfn.XLOOKUP(AllDataCorrected[[#This Row],[Location Name]], Locations[Location Name],Locations[Group As])</f>
        <v>Site 1  :  Middle Street</v>
      </c>
      <c r="H997" t="e" vm="2">
        <f>_xlfn.XLOOKUP(AllDataCorrected[[#This Row],[Site Name]],LocationsKey[Site Name],LocationsKey[District])</f>
        <v>#VALUE!</v>
      </c>
      <c r="I997" t="e" vm="11">
        <f>_xlfn.XLOOKUP(AllDataCorrected[[#This Row],[Site Name]],LocationsKey[Site Name],LocationsKey[Town])</f>
        <v>#VALUE!</v>
      </c>
      <c r="J997" t="str">
        <f>_xlfn.XLOOKUP(AllDataCorrected[[#This Row],[Site Name]],LocationsKey[Site Name], LocationsKey[Waterway])</f>
        <v>Fosseway Brook</v>
      </c>
      <c r="K997" t="s">
        <v>1373</v>
      </c>
      <c r="L997">
        <f>_xlfn.XLOOKUP(AllDataCorrected[[#This Row],[Site Name]],Tables!$B$12:$B$78, Tables!C$12:C$78)</f>
        <v>52.090077380952394</v>
      </c>
      <c r="M997">
        <f>_xlfn.XLOOKUP(AllDataCorrected[[#This Row],[Site Name]],Tables!$B$12:$B$78, Tables!D$12:D$78)</f>
        <v>-1.6926051666666673</v>
      </c>
      <c r="N997" t="s">
        <v>66</v>
      </c>
      <c r="O997">
        <v>684</v>
      </c>
      <c r="P997">
        <v>17.399999999999999</v>
      </c>
      <c r="Q997">
        <v>2</v>
      </c>
      <c r="R997" t="str">
        <f>IF(AllDataCorrected[[#This Row],[Nitrate (PPM)]]&gt;2, "4. Very high (&gt;2ppm)", IF(AllDataCorrected[[#This Row],[Nitrate (PPM)]]&gt;1, "3. High (1-2ppm)", IF(AllDataCorrected[[#This Row],[Nitrate (PPM)]]&gt;0.5, "2. Some evidence (0.5-1ppm)", IF(AllDataCorrected[[#This Row],[Nitrate (PPM)]]&gt;=0, "1. No evidence (&lt;0.5ppm)"))))</f>
        <v>3. High (1-2ppm)</v>
      </c>
      <c r="S997">
        <v>0.76</v>
      </c>
      <c r="T9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97" t="s">
        <v>1397</v>
      </c>
    </row>
    <row r="998" spans="1:22" x14ac:dyDescent="0.25">
      <c r="A998" t="s">
        <v>1792</v>
      </c>
      <c r="B998" s="2">
        <v>45473</v>
      </c>
      <c r="C998" t="str" cm="1">
        <f t="array" ref="C9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8">
        <f>YEAR(AllDataCorrected[[#This Row],[Date]])</f>
        <v>2024</v>
      </c>
      <c r="F9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8" t="str">
        <f>_xlfn.XLOOKUP(AllDataCorrected[[#This Row],[Location Name]], Locations[Location Name],Locations[Group As])</f>
        <v>Site 2  :  Cross Leys culvert</v>
      </c>
      <c r="H998" t="e" vm="2">
        <f>_xlfn.XLOOKUP(AllDataCorrected[[#This Row],[Site Name]],LocationsKey[Site Name],LocationsKey[District])</f>
        <v>#VALUE!</v>
      </c>
      <c r="I998" t="e" vm="11">
        <f>_xlfn.XLOOKUP(AllDataCorrected[[#This Row],[Site Name]],LocationsKey[Site Name],LocationsKey[Town])</f>
        <v>#VALUE!</v>
      </c>
      <c r="J998" t="str">
        <f>_xlfn.XLOOKUP(AllDataCorrected[[#This Row],[Site Name]],LocationsKey[Site Name], LocationsKey[Waterway])</f>
        <v>Fosseway Brook</v>
      </c>
      <c r="K998" t="s">
        <v>1860</v>
      </c>
      <c r="L998">
        <f>_xlfn.XLOOKUP(AllDataCorrected[[#This Row],[Site Name]],Tables!$B$12:$B$78, Tables!C$12:C$78)</f>
        <v>52.092990199999988</v>
      </c>
      <c r="M998">
        <f>_xlfn.XLOOKUP(AllDataCorrected[[#This Row],[Site Name]],Tables!$B$12:$B$78, Tables!D$12:D$78)</f>
        <v>-1.6862810999999998</v>
      </c>
      <c r="N998" t="s">
        <v>66</v>
      </c>
      <c r="O998">
        <v>1100</v>
      </c>
      <c r="P998">
        <v>15.6</v>
      </c>
      <c r="Q998">
        <v>0</v>
      </c>
      <c r="R99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98">
        <v>2.5</v>
      </c>
      <c r="T9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8">
        <v>0</v>
      </c>
      <c r="V998" t="s">
        <v>1923</v>
      </c>
    </row>
    <row r="999" spans="1:22" x14ac:dyDescent="0.25">
      <c r="A999" t="s">
        <v>1394</v>
      </c>
      <c r="B999" s="2">
        <v>45473</v>
      </c>
      <c r="C999" t="str" cm="1">
        <f t="array" ref="C9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9">
        <f>YEAR(AllDataCorrected[[#This Row],[Date]])</f>
        <v>2024</v>
      </c>
      <c r="F9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9" t="str">
        <f>_xlfn.XLOOKUP(AllDataCorrected[[#This Row],[Location Name]], Locations[Location Name],Locations[Group As])</f>
        <v>Site 2  :  Cross Leys culvert</v>
      </c>
      <c r="H999" t="e" vm="2">
        <f>_xlfn.XLOOKUP(AllDataCorrected[[#This Row],[Site Name]],LocationsKey[Site Name],LocationsKey[District])</f>
        <v>#VALUE!</v>
      </c>
      <c r="I999" t="e" vm="11">
        <f>_xlfn.XLOOKUP(AllDataCorrected[[#This Row],[Site Name]],LocationsKey[Site Name],LocationsKey[Town])</f>
        <v>#VALUE!</v>
      </c>
      <c r="J999" t="str">
        <f>_xlfn.XLOOKUP(AllDataCorrected[[#This Row],[Site Name]],LocationsKey[Site Name], LocationsKey[Waterway])</f>
        <v>Fosseway Brook</v>
      </c>
      <c r="K999" t="s">
        <v>1371</v>
      </c>
      <c r="L999">
        <f>_xlfn.XLOOKUP(AllDataCorrected[[#This Row],[Site Name]],Tables!$B$12:$B$78, Tables!C$12:C$78)</f>
        <v>52.092990199999988</v>
      </c>
      <c r="M999">
        <f>_xlfn.XLOOKUP(AllDataCorrected[[#This Row],[Site Name]],Tables!$B$12:$B$78, Tables!D$12:D$78)</f>
        <v>-1.6862810999999998</v>
      </c>
      <c r="N999" t="s">
        <v>66</v>
      </c>
      <c r="O999">
        <v>1100</v>
      </c>
      <c r="P999">
        <v>15.6</v>
      </c>
      <c r="Q999">
        <v>0</v>
      </c>
      <c r="R99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99">
        <v>2.5</v>
      </c>
      <c r="T9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99" t="s">
        <v>1395</v>
      </c>
    </row>
    <row r="1000" spans="1:22" x14ac:dyDescent="0.25">
      <c r="A1000" t="s">
        <v>1793</v>
      </c>
      <c r="B1000" s="2">
        <v>45473</v>
      </c>
      <c r="C1000" t="str" cm="1">
        <f t="array" ref="C10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0">
        <f>YEAR(AllDataCorrected[[#This Row],[Date]])</f>
        <v>2024</v>
      </c>
      <c r="F10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00" t="str">
        <f>_xlfn.XLOOKUP(AllDataCorrected[[#This Row],[Location Name]], Locations[Location Name],Locations[Group As])</f>
        <v>Site 3  :  Severn Trent Water processing plant outflow</v>
      </c>
      <c r="H1000" t="e" vm="2">
        <f>_xlfn.XLOOKUP(AllDataCorrected[[#This Row],[Site Name]],LocationsKey[Site Name],LocationsKey[District])</f>
        <v>#VALUE!</v>
      </c>
      <c r="I1000" t="e" vm="11">
        <f>_xlfn.XLOOKUP(AllDataCorrected[[#This Row],[Site Name]],LocationsKey[Site Name],LocationsKey[Town])</f>
        <v>#VALUE!</v>
      </c>
      <c r="J1000" t="str">
        <f>_xlfn.XLOOKUP(AllDataCorrected[[#This Row],[Site Name]],LocationsKey[Site Name], LocationsKey[Waterway])</f>
        <v>Fosseway Brook</v>
      </c>
      <c r="K1000" t="s">
        <v>1861</v>
      </c>
      <c r="L1000">
        <f>_xlfn.XLOOKUP(AllDataCorrected[[#This Row],[Site Name]],Tables!$B$12:$B$78, Tables!C$12:C$78)</f>
        <v>52.094341024390218</v>
      </c>
      <c r="M1000">
        <f>_xlfn.XLOOKUP(AllDataCorrected[[#This Row],[Site Name]],Tables!$B$12:$B$78, Tables!D$12:D$78)</f>
        <v>-1.6731015853658531</v>
      </c>
      <c r="N1000" t="s">
        <v>29</v>
      </c>
      <c r="O1000">
        <v>959</v>
      </c>
      <c r="P1000">
        <v>17.2</v>
      </c>
      <c r="Q1000">
        <v>10</v>
      </c>
      <c r="R10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0">
        <v>2.5</v>
      </c>
      <c r="T10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0">
        <v>0</v>
      </c>
      <c r="V1000" t="s">
        <v>1924</v>
      </c>
    </row>
    <row r="1001" spans="1:22" x14ac:dyDescent="0.25">
      <c r="A1001" t="s">
        <v>1392</v>
      </c>
      <c r="B1001" s="2">
        <v>45473</v>
      </c>
      <c r="C1001" t="str" cm="1">
        <f t="array" ref="C10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1">
        <f>YEAR(AllDataCorrected[[#This Row],[Date]])</f>
        <v>2024</v>
      </c>
      <c r="F10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01" t="str">
        <f>_xlfn.XLOOKUP(AllDataCorrected[[#This Row],[Location Name]], Locations[Location Name],Locations[Group As])</f>
        <v>Site 3  :  Severn Trent Water processing plant outflow</v>
      </c>
      <c r="H1001" t="e" vm="2">
        <f>_xlfn.XLOOKUP(AllDataCorrected[[#This Row],[Site Name]],LocationsKey[Site Name],LocationsKey[District])</f>
        <v>#VALUE!</v>
      </c>
      <c r="I1001" t="e" vm="11">
        <f>_xlfn.XLOOKUP(AllDataCorrected[[#This Row],[Site Name]],LocationsKey[Site Name],LocationsKey[Town])</f>
        <v>#VALUE!</v>
      </c>
      <c r="J1001" t="str">
        <f>_xlfn.XLOOKUP(AllDataCorrected[[#This Row],[Site Name]],LocationsKey[Site Name], LocationsKey[Waterway])</f>
        <v>Fosseway Brook</v>
      </c>
      <c r="K1001" t="s">
        <v>1368</v>
      </c>
      <c r="L1001">
        <f>_xlfn.XLOOKUP(AllDataCorrected[[#This Row],[Site Name]],Tables!$B$12:$B$78, Tables!C$12:C$78)</f>
        <v>52.094341024390218</v>
      </c>
      <c r="M1001">
        <f>_xlfn.XLOOKUP(AllDataCorrected[[#This Row],[Site Name]],Tables!$B$12:$B$78, Tables!D$12:D$78)</f>
        <v>-1.6731015853658531</v>
      </c>
      <c r="N1001" t="s">
        <v>29</v>
      </c>
      <c r="O1001">
        <v>959</v>
      </c>
      <c r="P1001">
        <v>17.2</v>
      </c>
      <c r="Q1001">
        <v>10</v>
      </c>
      <c r="R10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1">
        <v>2.5</v>
      </c>
      <c r="T10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1001" t="s">
        <v>1393</v>
      </c>
    </row>
    <row r="1002" spans="1:22" x14ac:dyDescent="0.25">
      <c r="A1002" t="s">
        <v>1830</v>
      </c>
      <c r="B1002" s="2">
        <v>45509</v>
      </c>
      <c r="C1002" t="str" cm="1">
        <f t="array" ref="C10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2">
        <f>YEAR(AllDataCorrected[[#This Row],[Date]])</f>
        <v>2024</v>
      </c>
      <c r="E1002" s="1">
        <v>0.63194444444444442</v>
      </c>
      <c r="F10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2" t="str">
        <f>_xlfn.XLOOKUP(AllDataCorrected[[#This Row],[Location Name]], Locations[Location Name],Locations[Group As])</f>
        <v>Chipping Campden Craves</v>
      </c>
      <c r="H1002" t="e" vm="23">
        <f>_xlfn.XLOOKUP(AllDataCorrected[[#This Row],[Site Name]],LocationsKey[Site Name],LocationsKey[District])</f>
        <v>#VALUE!</v>
      </c>
      <c r="I1002" t="e" vm="24">
        <f>_xlfn.XLOOKUP(AllDataCorrected[[#This Row],[Site Name]],LocationsKey[Site Name],LocationsKey[Town])</f>
        <v>#VALUE!</v>
      </c>
      <c r="J1002" t="str">
        <f>_xlfn.XLOOKUP(AllDataCorrected[[#This Row],[Site Name]],LocationsKey[Site Name], LocationsKey[Waterway])</f>
        <v>Cam Brook</v>
      </c>
      <c r="K1002" t="s">
        <v>1862</v>
      </c>
      <c r="L1002">
        <f>_xlfn.XLOOKUP(AllDataCorrected[[#This Row],[Site Name]],Tables!$B$12:$B$78, Tables!C$12:C$78)</f>
        <v>52.048665</v>
      </c>
      <c r="M1002">
        <f>_xlfn.XLOOKUP(AllDataCorrected[[#This Row],[Site Name]],Tables!$B$12:$B$78, Tables!D$12:D$78)</f>
        <v>-1.7862663333333331</v>
      </c>
      <c r="N1002" t="s">
        <v>66</v>
      </c>
      <c r="O1002">
        <v>421</v>
      </c>
      <c r="P1002">
        <v>21.4</v>
      </c>
      <c r="Q1002">
        <v>2</v>
      </c>
      <c r="R1002" t="str">
        <f>IF(AllDataCorrected[[#This Row],[Nitrate (PPM)]]&gt;2, "4. Very high (&gt;2ppm)", IF(AllDataCorrected[[#This Row],[Nitrate (PPM)]]&gt;1, "3. High (1-2ppm)", IF(AllDataCorrected[[#This Row],[Nitrate (PPM)]]&gt;0.5, "2. Some evidence (0.5-1ppm)", IF(AllDataCorrected[[#This Row],[Nitrate (PPM)]]&gt;=0, "1. No evidence (&lt;0.5ppm)"))))</f>
        <v>3. High (1-2ppm)</v>
      </c>
      <c r="S1002">
        <v>3</v>
      </c>
      <c r="T10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2">
        <v>17.2</v>
      </c>
    </row>
    <row r="1003" spans="1:22" x14ac:dyDescent="0.25">
      <c r="A1003" t="s">
        <v>1736</v>
      </c>
      <c r="B1003" s="2">
        <v>45516</v>
      </c>
      <c r="C1003" t="str" cm="1">
        <f t="array" ref="C10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3">
        <f>YEAR(AllDataCorrected[[#This Row],[Date]])</f>
        <v>2024</v>
      </c>
      <c r="E1003" s="1">
        <v>0.8125</v>
      </c>
      <c r="F10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03" t="str">
        <f>_xlfn.XLOOKUP(AllDataCorrected[[#This Row],[Location Name]], Locations[Location Name],Locations[Group As])</f>
        <v>Chipping Campden Craves</v>
      </c>
      <c r="H1003" t="e" vm="23">
        <f>_xlfn.XLOOKUP(AllDataCorrected[[#This Row],[Site Name]],LocationsKey[Site Name],LocationsKey[District])</f>
        <v>#VALUE!</v>
      </c>
      <c r="I1003" t="e" vm="24">
        <f>_xlfn.XLOOKUP(AllDataCorrected[[#This Row],[Site Name]],LocationsKey[Site Name],LocationsKey[Town])</f>
        <v>#VALUE!</v>
      </c>
      <c r="J1003" t="str">
        <f>_xlfn.XLOOKUP(AllDataCorrected[[#This Row],[Site Name]],LocationsKey[Site Name], LocationsKey[Waterway])</f>
        <v>Cam Brook</v>
      </c>
      <c r="K1003" t="s">
        <v>1857</v>
      </c>
      <c r="L1003">
        <f>_xlfn.XLOOKUP(AllDataCorrected[[#This Row],[Site Name]],Tables!$B$12:$B$78, Tables!C$12:C$78)</f>
        <v>52.048665</v>
      </c>
      <c r="M1003">
        <f>_xlfn.XLOOKUP(AllDataCorrected[[#This Row],[Site Name]],Tables!$B$12:$B$78, Tables!D$12:D$78)</f>
        <v>-1.7862663333333331</v>
      </c>
      <c r="N1003" t="s">
        <v>66</v>
      </c>
      <c r="O1003">
        <v>398</v>
      </c>
      <c r="P1003">
        <v>23.7</v>
      </c>
      <c r="Q1003">
        <v>2</v>
      </c>
      <c r="R1003" t="str">
        <f>IF(AllDataCorrected[[#This Row],[Nitrate (PPM)]]&gt;2, "4. Very high (&gt;2ppm)", IF(AllDataCorrected[[#This Row],[Nitrate (PPM)]]&gt;1, "3. High (1-2ppm)", IF(AllDataCorrected[[#This Row],[Nitrate (PPM)]]&gt;0.5, "2. Some evidence (0.5-1ppm)", IF(AllDataCorrected[[#This Row],[Nitrate (PPM)]]&gt;=0, "1. No evidence (&lt;0.5ppm)"))))</f>
        <v>3. High (1-2ppm)</v>
      </c>
      <c r="S1003">
        <v>0.32</v>
      </c>
      <c r="T10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3">
        <v>15.2</v>
      </c>
    </row>
    <row r="1004" spans="1:22" x14ac:dyDescent="0.25">
      <c r="A1004" t="s">
        <v>1323</v>
      </c>
      <c r="B1004" s="2">
        <v>45474</v>
      </c>
      <c r="C1004" t="str" cm="1">
        <f t="array" ref="C10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4">
        <f>YEAR(AllDataCorrected[[#This Row],[Date]])</f>
        <v>2024</v>
      </c>
      <c r="E1004" s="1">
        <v>0.60833333333333328</v>
      </c>
      <c r="F10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4" t="str">
        <f>_xlfn.XLOOKUP(AllDataCorrected[[#This Row],[Location Name]], Locations[Location Name],Locations[Group As])</f>
        <v>Abbey Mill</v>
      </c>
      <c r="H1004" t="e" vm="1">
        <f>_xlfn.XLOOKUP(AllDataCorrected[[#This Row],[Site Name]],LocationsKey[Site Name],LocationsKey[District])</f>
        <v>#VALUE!</v>
      </c>
      <c r="I1004" t="e" vm="1">
        <f>_xlfn.XLOOKUP(AllDataCorrected[[#This Row],[Site Name]],LocationsKey[Site Name],LocationsKey[Town])</f>
        <v>#VALUE!</v>
      </c>
      <c r="J1004" t="str">
        <f>_xlfn.XLOOKUP(AllDataCorrected[[#This Row],[Site Name]],LocationsKey[Site Name], LocationsKey[Waterway])</f>
        <v>Avon</v>
      </c>
      <c r="K1004" t="s">
        <v>25</v>
      </c>
      <c r="L1004">
        <f>_xlfn.XLOOKUP(AllDataCorrected[[#This Row],[Site Name]],Tables!$B$12:$B$78, Tables!C$12:C$78)</f>
        <v>51.991389555555564</v>
      </c>
      <c r="M1004">
        <f>_xlfn.XLOOKUP(AllDataCorrected[[#This Row],[Site Name]],Tables!$B$12:$B$78, Tables!D$12:D$78)</f>
        <v>-2.1620794000000005</v>
      </c>
      <c r="N1004" t="s">
        <v>23</v>
      </c>
      <c r="O1004">
        <v>1020</v>
      </c>
      <c r="P1004">
        <v>20.6</v>
      </c>
      <c r="Q1004">
        <v>10</v>
      </c>
      <c r="R10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4">
        <v>0.75</v>
      </c>
      <c r="T10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4">
        <v>0.4</v>
      </c>
    </row>
    <row r="1005" spans="1:22" x14ac:dyDescent="0.25">
      <c r="A1005" t="s">
        <v>1324</v>
      </c>
      <c r="B1005" s="2">
        <v>45474</v>
      </c>
      <c r="C1005" t="str" cm="1">
        <f t="array" ref="C10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5">
        <f>YEAR(AllDataCorrected[[#This Row],[Date]])</f>
        <v>2024</v>
      </c>
      <c r="E1005" s="1">
        <v>0.79583333333333328</v>
      </c>
      <c r="F100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05" t="str">
        <f>_xlfn.XLOOKUP(AllDataCorrected[[#This Row],[Location Name]], Locations[Location Name],Locations[Group As])</f>
        <v>The Ford, Langley</v>
      </c>
      <c r="H1005" t="e" vm="2">
        <f>_xlfn.XLOOKUP(AllDataCorrected[[#This Row],[Site Name]],LocationsKey[Site Name],LocationsKey[District])</f>
        <v>#VALUE!</v>
      </c>
      <c r="I1005" t="str">
        <f>_xlfn.XLOOKUP(AllDataCorrected[[#This Row],[Site Name]],LocationsKey[Site Name],LocationsKey[Town])</f>
        <v>Langley</v>
      </c>
      <c r="J1005" t="str">
        <f>_xlfn.XLOOKUP(AllDataCorrected[[#This Row],[Site Name]],LocationsKey[Site Name], LocationsKey[Waterway])</f>
        <v>Langley Ford</v>
      </c>
      <c r="K1005" t="s">
        <v>557</v>
      </c>
      <c r="L1005">
        <f>_xlfn.XLOOKUP(AllDataCorrected[[#This Row],[Site Name]],Tables!$B$12:$B$78, Tables!C$12:C$78)</f>
        <v>52.261724821428579</v>
      </c>
      <c r="M1005">
        <f>_xlfn.XLOOKUP(AllDataCorrected[[#This Row],[Site Name]],Tables!$B$12:$B$78, Tables!D$12:D$78)</f>
        <v>-1.719408857142857</v>
      </c>
      <c r="N1005" t="s">
        <v>29</v>
      </c>
      <c r="O1005">
        <v>846</v>
      </c>
      <c r="P1005">
        <v>14.5</v>
      </c>
      <c r="Q1005">
        <v>5</v>
      </c>
      <c r="R10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5">
        <v>0.93</v>
      </c>
      <c r="T10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5">
        <v>0.1</v>
      </c>
    </row>
    <row r="1006" spans="1:22" x14ac:dyDescent="0.25">
      <c r="A1006" t="s">
        <v>1326</v>
      </c>
      <c r="B1006" s="2">
        <v>45475</v>
      </c>
      <c r="C1006" t="str" cm="1">
        <f t="array" ref="C10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6">
        <f>YEAR(AllDataCorrected[[#This Row],[Date]])</f>
        <v>2024</v>
      </c>
      <c r="E1006" s="1">
        <v>0.3840277777777778</v>
      </c>
      <c r="F10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6" t="str">
        <f>_xlfn.XLOOKUP(AllDataCorrected[[#This Row],[Location Name]], Locations[Location Name],Locations[Group As])</f>
        <v>Carrant Mitton Path</v>
      </c>
      <c r="H1006" t="e" vm="1">
        <f>_xlfn.XLOOKUP(AllDataCorrected[[#This Row],[Site Name]],LocationsKey[Site Name],LocationsKey[District])</f>
        <v>#VALUE!</v>
      </c>
      <c r="I1006" t="e" vm="1">
        <f>_xlfn.XLOOKUP(AllDataCorrected[[#This Row],[Site Name]],LocationsKey[Site Name],LocationsKey[Town])</f>
        <v>#VALUE!</v>
      </c>
      <c r="J1006" t="str">
        <f>_xlfn.XLOOKUP(AllDataCorrected[[#This Row],[Site Name]],LocationsKey[Site Name], LocationsKey[Waterway])</f>
        <v>Carrant</v>
      </c>
      <c r="K1006" t="s">
        <v>958</v>
      </c>
      <c r="L1006">
        <f>_xlfn.XLOOKUP(AllDataCorrected[[#This Row],[Site Name]],Tables!$B$12:$B$78, Tables!C$12:C$78)</f>
        <v>51.999946066666674</v>
      </c>
      <c r="M1006">
        <f>_xlfn.XLOOKUP(AllDataCorrected[[#This Row],[Site Name]],Tables!$B$12:$B$78, Tables!D$12:D$78)</f>
        <v>-2.1414862000000006</v>
      </c>
      <c r="N1006" t="s">
        <v>23</v>
      </c>
      <c r="O1006">
        <v>695</v>
      </c>
      <c r="P1006">
        <v>15.4</v>
      </c>
      <c r="Q1006">
        <v>5</v>
      </c>
      <c r="R10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6">
        <v>0.22</v>
      </c>
      <c r="T10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6">
        <v>0</v>
      </c>
    </row>
    <row r="1007" spans="1:22" x14ac:dyDescent="0.25">
      <c r="A1007" t="s">
        <v>1325</v>
      </c>
      <c r="B1007" s="2">
        <v>45475</v>
      </c>
      <c r="C1007" t="str" cm="1">
        <f t="array" ref="C10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7">
        <f>YEAR(AllDataCorrected[[#This Row],[Date]])</f>
        <v>2024</v>
      </c>
      <c r="E1007" s="1">
        <v>0.56736111111111109</v>
      </c>
      <c r="F10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7" t="str">
        <f>_xlfn.XLOOKUP(AllDataCorrected[[#This Row],[Location Name]], Locations[Location Name],Locations[Group As])</f>
        <v>Carrant M5 Bridge</v>
      </c>
      <c r="H1007" t="e" vm="1">
        <f>_xlfn.XLOOKUP(AllDataCorrected[[#This Row],[Site Name]],LocationsKey[Site Name],LocationsKey[District])</f>
        <v>#VALUE!</v>
      </c>
      <c r="I1007" t="e" vm="1">
        <f>_xlfn.XLOOKUP(AllDataCorrected[[#This Row],[Site Name]],LocationsKey[Site Name],LocationsKey[Town])</f>
        <v>#VALUE!</v>
      </c>
      <c r="J1007" t="str">
        <f>_xlfn.XLOOKUP(AllDataCorrected[[#This Row],[Site Name]],LocationsKey[Site Name], LocationsKey[Waterway])</f>
        <v>Carrant</v>
      </c>
      <c r="K1007" t="s">
        <v>1015</v>
      </c>
      <c r="L1007">
        <f>_xlfn.XLOOKUP(AllDataCorrected[[#This Row],[Site Name]],Tables!$B$12:$B$78, Tables!C$12:C$78)</f>
        <v>52.011600000000001</v>
      </c>
      <c r="M1007">
        <f>_xlfn.XLOOKUP(AllDataCorrected[[#This Row],[Site Name]],Tables!$B$12:$B$78, Tables!D$12:D$78)</f>
        <v>-2.1206</v>
      </c>
      <c r="N1007" t="s">
        <v>23</v>
      </c>
      <c r="O1007">
        <v>768</v>
      </c>
      <c r="P1007">
        <v>16.100000000000001</v>
      </c>
      <c r="Q1007">
        <v>5</v>
      </c>
      <c r="R10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7">
        <v>0.48</v>
      </c>
      <c r="T10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7">
        <v>0</v>
      </c>
    </row>
    <row r="1008" spans="1:22" x14ac:dyDescent="0.25">
      <c r="A1008" t="s">
        <v>1503</v>
      </c>
      <c r="B1008" s="2">
        <v>45477</v>
      </c>
      <c r="C1008" t="str" cm="1">
        <f t="array" ref="C10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8">
        <f>YEAR(AllDataCorrected[[#This Row],[Date]])</f>
        <v>2024</v>
      </c>
      <c r="E1008" s="1">
        <v>0.4375</v>
      </c>
      <c r="F10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8" t="str">
        <f>_xlfn.XLOOKUP(AllDataCorrected[[#This Row],[Location Name]], Locations[Location Name],Locations[Group As])</f>
        <v>Stour Willington</v>
      </c>
      <c r="H1008" t="e" vm="2">
        <f>_xlfn.XLOOKUP(AllDataCorrected[[#This Row],[Site Name]],LocationsKey[Site Name],LocationsKey[District])</f>
        <v>#VALUE!</v>
      </c>
      <c r="I1008" t="str">
        <f>_xlfn.XLOOKUP(AllDataCorrected[[#This Row],[Site Name]],LocationsKey[Site Name],LocationsKey[Town])</f>
        <v>Willington</v>
      </c>
      <c r="J1008" t="str">
        <f>_xlfn.XLOOKUP(AllDataCorrected[[#This Row],[Site Name]],LocationsKey[Site Name], LocationsKey[Waterway])</f>
        <v>Stour</v>
      </c>
      <c r="K1008" t="s">
        <v>517</v>
      </c>
      <c r="L1008">
        <f>_xlfn.XLOOKUP(AllDataCorrected[[#This Row],[Site Name]],Tables!$B$12:$B$78, Tables!C$12:C$78)</f>
        <v>52.053154375000005</v>
      </c>
      <c r="M1008">
        <f>_xlfn.XLOOKUP(AllDataCorrected[[#This Row],[Site Name]],Tables!$B$12:$B$78, Tables!D$12:D$78)</f>
        <v>-1.6191991562500001</v>
      </c>
      <c r="N1008" t="s">
        <v>23</v>
      </c>
      <c r="O1008">
        <v>615</v>
      </c>
      <c r="P1008">
        <v>15.2</v>
      </c>
      <c r="Q1008">
        <v>2</v>
      </c>
      <c r="R1008" t="str">
        <f>IF(AllDataCorrected[[#This Row],[Nitrate (PPM)]]&gt;2, "4. Very high (&gt;2ppm)", IF(AllDataCorrected[[#This Row],[Nitrate (PPM)]]&gt;1, "3. High (1-2ppm)", IF(AllDataCorrected[[#This Row],[Nitrate (PPM)]]&gt;0.5, "2. Some evidence (0.5-1ppm)", IF(AllDataCorrected[[#This Row],[Nitrate (PPM)]]&gt;=0, "1. No evidence (&lt;0.5ppm)"))))</f>
        <v>3. High (1-2ppm)</v>
      </c>
      <c r="S1008">
        <v>0.41</v>
      </c>
      <c r="T10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8">
        <v>0.5</v>
      </c>
    </row>
    <row r="1009" spans="1:22" x14ac:dyDescent="0.25">
      <c r="A1009" t="s">
        <v>1327</v>
      </c>
      <c r="B1009" s="2">
        <v>45477</v>
      </c>
      <c r="C1009" t="str" cm="1">
        <f t="array" ref="C10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9">
        <f>YEAR(AllDataCorrected[[#This Row],[Date]])</f>
        <v>2024</v>
      </c>
      <c r="E1009" s="1">
        <v>0.44444444444444442</v>
      </c>
      <c r="F10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9" t="str">
        <f>_xlfn.XLOOKUP(AllDataCorrected[[#This Row],[Location Name]], Locations[Location Name],Locations[Group As])</f>
        <v>Swilgate</v>
      </c>
      <c r="H1009" t="e" vm="1">
        <f>_xlfn.XLOOKUP(AllDataCorrected[[#This Row],[Site Name]],LocationsKey[Site Name],LocationsKey[District])</f>
        <v>#VALUE!</v>
      </c>
      <c r="I1009" t="e" vm="1">
        <f>_xlfn.XLOOKUP(AllDataCorrected[[#This Row],[Site Name]],LocationsKey[Site Name],LocationsKey[Town])</f>
        <v>#VALUE!</v>
      </c>
      <c r="J1009" t="str">
        <f>_xlfn.XLOOKUP(AllDataCorrected[[#This Row],[Site Name]],LocationsKey[Site Name], LocationsKey[Waterway])</f>
        <v>Swilgate</v>
      </c>
      <c r="K1009" t="s">
        <v>84</v>
      </c>
      <c r="L1009">
        <f>_xlfn.XLOOKUP(AllDataCorrected[[#This Row],[Site Name]],Tables!$B$12:$B$78, Tables!C$12:C$78)</f>
        <v>51.9885442</v>
      </c>
      <c r="M1009">
        <f>_xlfn.XLOOKUP(AllDataCorrected[[#This Row],[Site Name]],Tables!$B$12:$B$78, Tables!D$12:D$78)</f>
        <v>-2.1639010000000001</v>
      </c>
      <c r="N1009" t="s">
        <v>23</v>
      </c>
      <c r="O1009">
        <v>1050</v>
      </c>
      <c r="P1009">
        <v>16</v>
      </c>
      <c r="Q1009">
        <v>4</v>
      </c>
      <c r="R10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9">
        <v>0.68</v>
      </c>
      <c r="T10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9">
        <v>0</v>
      </c>
      <c r="V1009" t="s">
        <v>1328</v>
      </c>
    </row>
    <row r="1010" spans="1:22" x14ac:dyDescent="0.25">
      <c r="A1010" t="s">
        <v>1331</v>
      </c>
      <c r="B1010" s="2">
        <v>45477</v>
      </c>
      <c r="C1010" t="str" cm="1">
        <f t="array" ref="C10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0">
        <f>YEAR(AllDataCorrected[[#This Row],[Date]])</f>
        <v>2024</v>
      </c>
      <c r="E1010" s="1">
        <v>0.60416666666666663</v>
      </c>
      <c r="F10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0" t="str">
        <f>_xlfn.XLOOKUP(AllDataCorrected[[#This Row],[Location Name]], Locations[Location Name],Locations[Group As])</f>
        <v>Swiffen Bank</v>
      </c>
      <c r="H1010" t="e" vm="2">
        <f>_xlfn.XLOOKUP(AllDataCorrected[[#This Row],[Site Name]],LocationsKey[Site Name],LocationsKey[District])</f>
        <v>#VALUE!</v>
      </c>
      <c r="I1010" t="e" vm="13">
        <f>_xlfn.XLOOKUP(AllDataCorrected[[#This Row],[Site Name]],LocationsKey[Site Name],LocationsKey[Town])</f>
        <v>#VALUE!</v>
      </c>
      <c r="J1010" t="str">
        <f>_xlfn.XLOOKUP(AllDataCorrected[[#This Row],[Site Name]],LocationsKey[Site Name], LocationsKey[Waterway])</f>
        <v>Avon</v>
      </c>
      <c r="K1010" t="s">
        <v>284</v>
      </c>
      <c r="L1010">
        <f>_xlfn.XLOOKUP(AllDataCorrected[[#This Row],[Site Name]],Tables!$B$12:$B$78, Tables!C$12:C$78)</f>
        <v>52.206446825000015</v>
      </c>
      <c r="M1010">
        <f>_xlfn.XLOOKUP(AllDataCorrected[[#This Row],[Site Name]],Tables!$B$12:$B$78, Tables!D$12:D$78)</f>
        <v>-1.6541684000000003</v>
      </c>
      <c r="N1010" t="s">
        <v>29</v>
      </c>
      <c r="O1010">
        <v>776</v>
      </c>
      <c r="P1010">
        <v>18.5</v>
      </c>
      <c r="Q1010">
        <v>10</v>
      </c>
      <c r="R10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0">
        <v>0.56999999999999995</v>
      </c>
      <c r="T10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0">
        <v>0</v>
      </c>
    </row>
    <row r="1011" spans="1:22" x14ac:dyDescent="0.25">
      <c r="A1011" t="s">
        <v>1557</v>
      </c>
      <c r="B1011" s="2">
        <v>45477</v>
      </c>
      <c r="C1011" t="str" cm="1">
        <f t="array" ref="C10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1">
        <f>YEAR(AllDataCorrected[[#This Row],[Date]])</f>
        <v>2024</v>
      </c>
      <c r="E1011" s="1">
        <v>0.61875000000000002</v>
      </c>
      <c r="F10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1" t="str">
        <f>_xlfn.XLOOKUP(AllDataCorrected[[#This Row],[Location Name]], Locations[Location Name],Locations[Group As])</f>
        <v>Alveston Weir</v>
      </c>
      <c r="H1011" t="e" vm="2">
        <f>_xlfn.XLOOKUP(AllDataCorrected[[#This Row],[Site Name]],LocationsKey[Site Name],LocationsKey[District])</f>
        <v>#VALUE!</v>
      </c>
      <c r="I1011" t="e" vm="13">
        <f>_xlfn.XLOOKUP(AllDataCorrected[[#This Row],[Site Name]],LocationsKey[Site Name],LocationsKey[Town])</f>
        <v>#VALUE!</v>
      </c>
      <c r="J1011" t="str">
        <f>_xlfn.XLOOKUP(AllDataCorrected[[#This Row],[Site Name]],LocationsKey[Site Name], LocationsKey[Waterway])</f>
        <v>Avon</v>
      </c>
      <c r="K1011" t="s">
        <v>286</v>
      </c>
      <c r="L1011">
        <f>_xlfn.XLOOKUP(AllDataCorrected[[#This Row],[Site Name]],Tables!$B$12:$B$78, Tables!C$12:C$78)</f>
        <v>52.212366690476216</v>
      </c>
      <c r="M1011">
        <f>_xlfn.XLOOKUP(AllDataCorrected[[#This Row],[Site Name]],Tables!$B$12:$B$78, Tables!D$12:D$78)</f>
        <v>-1.6602567619047619</v>
      </c>
      <c r="N1011" t="s">
        <v>29</v>
      </c>
      <c r="O1011">
        <v>767</v>
      </c>
      <c r="P1011">
        <v>17.600000000000001</v>
      </c>
      <c r="Q1011">
        <v>5</v>
      </c>
      <c r="R10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1">
        <v>0.5</v>
      </c>
      <c r="T10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1">
        <v>0</v>
      </c>
    </row>
    <row r="1012" spans="1:22" x14ac:dyDescent="0.25">
      <c r="A1012" t="s">
        <v>1329</v>
      </c>
      <c r="B1012" s="2">
        <v>45477</v>
      </c>
      <c r="C1012" t="str" cm="1">
        <f t="array" ref="C10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2">
        <f>YEAR(AllDataCorrected[[#This Row],[Date]])</f>
        <v>2024</v>
      </c>
      <c r="E1012" s="1">
        <v>0.70833333333333337</v>
      </c>
      <c r="F10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2" t="str">
        <f>_xlfn.XLOOKUP(AllDataCorrected[[#This Row],[Location Name]], Locations[Location Name],Locations[Group As])</f>
        <v>Stour Newbold Mill</v>
      </c>
      <c r="H1012" t="e" vm="2">
        <f>_xlfn.XLOOKUP(AllDataCorrected[[#This Row],[Site Name]],LocationsKey[Site Name],LocationsKey[District])</f>
        <v>#VALUE!</v>
      </c>
      <c r="I1012" t="e" vm="8">
        <f>_xlfn.XLOOKUP(AllDataCorrected[[#This Row],[Site Name]],LocationsKey[Site Name],LocationsKey[Town])</f>
        <v>#VALUE!</v>
      </c>
      <c r="J1012" t="str">
        <f>_xlfn.XLOOKUP(AllDataCorrected[[#This Row],[Site Name]],LocationsKey[Site Name], LocationsKey[Waterway])</f>
        <v>Stour</v>
      </c>
      <c r="K1012" t="s">
        <v>140</v>
      </c>
      <c r="L1012">
        <f>_xlfn.XLOOKUP(AllDataCorrected[[#This Row],[Site Name]],Tables!$B$12:$B$78, Tables!C$12:C$78)</f>
        <v>52.113052370370362</v>
      </c>
      <c r="M1012">
        <f>_xlfn.XLOOKUP(AllDataCorrected[[#This Row],[Site Name]],Tables!$B$12:$B$78, Tables!D$12:D$78)</f>
        <v>-1.6333685185185185</v>
      </c>
      <c r="N1012" t="s">
        <v>29</v>
      </c>
      <c r="O1012">
        <v>656</v>
      </c>
      <c r="P1012">
        <v>16.100000000000001</v>
      </c>
      <c r="Q1012">
        <v>2</v>
      </c>
      <c r="R1012" t="str">
        <f>IF(AllDataCorrected[[#This Row],[Nitrate (PPM)]]&gt;2, "4. Very high (&gt;2ppm)", IF(AllDataCorrected[[#This Row],[Nitrate (PPM)]]&gt;1, "3. High (1-2ppm)", IF(AllDataCorrected[[#This Row],[Nitrate (PPM)]]&gt;0.5, "2. Some evidence (0.5-1ppm)", IF(AllDataCorrected[[#This Row],[Nitrate (PPM)]]&gt;=0, "1. No evidence (&lt;0.5ppm)"))))</f>
        <v>3. High (1-2ppm)</v>
      </c>
      <c r="S1012">
        <v>0.42</v>
      </c>
      <c r="T10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2">
        <v>2</v>
      </c>
      <c r="V1012" t="s">
        <v>1330</v>
      </c>
    </row>
    <row r="1013" spans="1:22" x14ac:dyDescent="0.25">
      <c r="A1013" t="s">
        <v>1332</v>
      </c>
      <c r="B1013" s="2">
        <v>45477</v>
      </c>
      <c r="C1013" t="str" cm="1">
        <f t="array" ref="C10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3">
        <f>YEAR(AllDataCorrected[[#This Row],[Date]])</f>
        <v>2024</v>
      </c>
      <c r="E1013" s="1">
        <v>0.78749999999999998</v>
      </c>
      <c r="F101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13" t="str">
        <f>_xlfn.XLOOKUP(AllDataCorrected[[#This Row],[Location Name]], Locations[Location Name],Locations[Group As])</f>
        <v>Preston-on-Stour River Bridge</v>
      </c>
      <c r="H1013" t="e" vm="2">
        <f>_xlfn.XLOOKUP(AllDataCorrected[[#This Row],[Site Name]],LocationsKey[Site Name],LocationsKey[District])</f>
        <v>#VALUE!</v>
      </c>
      <c r="I1013" t="e" vm="9">
        <f>_xlfn.XLOOKUP(AllDataCorrected[[#This Row],[Site Name]],LocationsKey[Site Name],LocationsKey[Town])</f>
        <v>#VALUE!</v>
      </c>
      <c r="J1013" t="str">
        <f>_xlfn.XLOOKUP(AllDataCorrected[[#This Row],[Site Name]],LocationsKey[Site Name], LocationsKey[Waterway])</f>
        <v>Stour</v>
      </c>
      <c r="K1013" t="s">
        <v>163</v>
      </c>
      <c r="L1013">
        <f>_xlfn.XLOOKUP(AllDataCorrected[[#This Row],[Site Name]],Tables!$B$12:$B$78, Tables!C$12:C$78)</f>
        <v>52.146529500000007</v>
      </c>
      <c r="M1013">
        <f>_xlfn.XLOOKUP(AllDataCorrected[[#This Row],[Site Name]],Tables!$B$12:$B$78, Tables!D$12:D$78)</f>
        <v>-1.6996899999999999</v>
      </c>
      <c r="N1013" t="s">
        <v>29</v>
      </c>
      <c r="O1013">
        <v>664</v>
      </c>
      <c r="P1013">
        <v>15.9</v>
      </c>
      <c r="Q1013">
        <v>8</v>
      </c>
      <c r="R10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3">
        <v>0.42</v>
      </c>
      <c r="T10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3">
        <v>2.5</v>
      </c>
      <c r="V1013" t="s">
        <v>1333</v>
      </c>
    </row>
    <row r="1014" spans="1:22" x14ac:dyDescent="0.25">
      <c r="A1014" t="s">
        <v>1334</v>
      </c>
      <c r="B1014" s="2">
        <v>45478</v>
      </c>
      <c r="C1014" t="str" cm="1">
        <f t="array" ref="C10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4">
        <f>YEAR(AllDataCorrected[[#This Row],[Date]])</f>
        <v>2024</v>
      </c>
      <c r="E1014" s="1">
        <v>0.45833333333333331</v>
      </c>
      <c r="F10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4" t="str">
        <f>_xlfn.XLOOKUP(AllDataCorrected[[#This Row],[Location Name]], Locations[Location Name],Locations[Group As])</f>
        <v>Carrant Back Lane Beckford</v>
      </c>
      <c r="H1014" t="e" vm="1">
        <f>_xlfn.XLOOKUP(AllDataCorrected[[#This Row],[Site Name]],LocationsKey[Site Name],LocationsKey[District])</f>
        <v>#VALUE!</v>
      </c>
      <c r="I1014" t="str">
        <f>_xlfn.XLOOKUP(AllDataCorrected[[#This Row],[Site Name]],LocationsKey[Site Name],LocationsKey[Town])</f>
        <v>Beckford</v>
      </c>
      <c r="J1014" t="str">
        <f>_xlfn.XLOOKUP(AllDataCorrected[[#This Row],[Site Name]],LocationsKey[Site Name], LocationsKey[Waterway])</f>
        <v>Carrant</v>
      </c>
      <c r="K1014" t="s">
        <v>1307</v>
      </c>
      <c r="L1014">
        <f>_xlfn.XLOOKUP(AllDataCorrected[[#This Row],[Site Name]],Tables!$B$12:$B$78, Tables!C$12:C$78)</f>
        <v>52.017659444444448</v>
      </c>
      <c r="M1014">
        <f>_xlfn.XLOOKUP(AllDataCorrected[[#This Row],[Site Name]],Tables!$B$12:$B$78, Tables!D$12:D$78)</f>
        <v>-2.0390003333333335</v>
      </c>
      <c r="N1014" t="s">
        <v>66</v>
      </c>
      <c r="O1014">
        <v>770</v>
      </c>
      <c r="P1014">
        <v>16.899999999999999</v>
      </c>
      <c r="Q1014">
        <v>8</v>
      </c>
      <c r="R10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4">
        <v>0.62</v>
      </c>
      <c r="T10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4">
        <v>0.03</v>
      </c>
      <c r="V1014" t="s">
        <v>1335</v>
      </c>
    </row>
    <row r="1015" spans="1:22" x14ac:dyDescent="0.25">
      <c r="A1015" t="s">
        <v>1340</v>
      </c>
      <c r="B1015" s="2">
        <v>45479</v>
      </c>
      <c r="C1015" t="str" cm="1">
        <f t="array" ref="C10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5">
        <f>YEAR(AllDataCorrected[[#This Row],[Date]])</f>
        <v>2024</v>
      </c>
      <c r="E1015" s="1">
        <v>0.41666666666666669</v>
      </c>
      <c r="F10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5" t="str">
        <f>_xlfn.XLOOKUP(AllDataCorrected[[#This Row],[Location Name]], Locations[Location Name],Locations[Group As])</f>
        <v>Avon Smiths Meadow Wyre Piddle</v>
      </c>
      <c r="H1015" t="e" vm="17">
        <f>_xlfn.XLOOKUP(AllDataCorrected[[#This Row],[Site Name]],LocationsKey[Site Name],LocationsKey[District])</f>
        <v>#VALUE!</v>
      </c>
      <c r="I1015" t="e" vm="20">
        <f>_xlfn.XLOOKUP(AllDataCorrected[[#This Row],[Site Name]],LocationsKey[Site Name],LocationsKey[Town])</f>
        <v>#VALUE!</v>
      </c>
      <c r="J1015" t="str">
        <f>_xlfn.XLOOKUP(AllDataCorrected[[#This Row],[Site Name]],LocationsKey[Site Name], LocationsKey[Waterway])</f>
        <v>Avon</v>
      </c>
      <c r="K1015" t="s">
        <v>741</v>
      </c>
      <c r="L1015">
        <f>_xlfn.XLOOKUP(AllDataCorrected[[#This Row],[Site Name]],Tables!$B$12:$B$78, Tables!C$12:C$78)</f>
        <v>52.123045961538452</v>
      </c>
      <c r="M1015">
        <f>_xlfn.XLOOKUP(AllDataCorrected[[#This Row],[Site Name]],Tables!$B$12:$B$78, Tables!D$12:D$78)</f>
        <v>-2.0572161923076919</v>
      </c>
      <c r="N1015" t="s">
        <v>23</v>
      </c>
      <c r="O1015">
        <v>1060</v>
      </c>
      <c r="P1015">
        <v>19.2</v>
      </c>
      <c r="Q1015">
        <v>5</v>
      </c>
      <c r="R10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5">
        <v>0.87</v>
      </c>
      <c r="T10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5">
        <v>0.6</v>
      </c>
      <c r="V1015" t="s">
        <v>1341</v>
      </c>
    </row>
    <row r="1016" spans="1:22" x14ac:dyDescent="0.25">
      <c r="A1016" t="s">
        <v>1338</v>
      </c>
      <c r="B1016" s="2">
        <v>45479</v>
      </c>
      <c r="C1016" t="str" cm="1">
        <f t="array" ref="C10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6">
        <f>YEAR(AllDataCorrected[[#This Row],[Date]])</f>
        <v>2024</v>
      </c>
      <c r="E1016" s="1">
        <v>0.4375</v>
      </c>
      <c r="F10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6" t="str">
        <f>_xlfn.XLOOKUP(AllDataCorrected[[#This Row],[Location Name]], Locations[Location Name],Locations[Group As])</f>
        <v>Piddle Brook Wyre Piddle Bridge</v>
      </c>
      <c r="H1016" t="e" vm="17">
        <f>_xlfn.XLOOKUP(AllDataCorrected[[#This Row],[Site Name]],LocationsKey[Site Name],LocationsKey[District])</f>
        <v>#VALUE!</v>
      </c>
      <c r="I1016" t="e" vm="20">
        <f>_xlfn.XLOOKUP(AllDataCorrected[[#This Row],[Site Name]],LocationsKey[Site Name],LocationsKey[Town])</f>
        <v>#VALUE!</v>
      </c>
      <c r="J1016" t="str">
        <f>_xlfn.XLOOKUP(AllDataCorrected[[#This Row],[Site Name]],LocationsKey[Site Name], LocationsKey[Waterway])</f>
        <v>Piddle Brook</v>
      </c>
      <c r="K1016" t="s">
        <v>744</v>
      </c>
      <c r="L1016">
        <f>_xlfn.XLOOKUP(AllDataCorrected[[#This Row],[Site Name]],Tables!$B$12:$B$78, Tables!C$12:C$78)</f>
        <v>52.126401720000004</v>
      </c>
      <c r="M1016">
        <f>_xlfn.XLOOKUP(AllDataCorrected[[#This Row],[Site Name]],Tables!$B$12:$B$78, Tables!D$12:D$78)</f>
        <v>-2.0565162000000003</v>
      </c>
      <c r="N1016" t="s">
        <v>23</v>
      </c>
      <c r="O1016">
        <v>1650</v>
      </c>
      <c r="P1016">
        <v>14</v>
      </c>
      <c r="Q1016">
        <v>10</v>
      </c>
      <c r="R10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6">
        <v>1.1299999999999999</v>
      </c>
      <c r="T10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6">
        <v>0.19</v>
      </c>
      <c r="V1016" t="s">
        <v>1339</v>
      </c>
    </row>
    <row r="1017" spans="1:22" x14ac:dyDescent="0.25">
      <c r="A1017" t="s">
        <v>1336</v>
      </c>
      <c r="B1017" s="2">
        <v>45479</v>
      </c>
      <c r="C1017" t="str" cm="1">
        <f t="array" ref="C10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7">
        <f>YEAR(AllDataCorrected[[#This Row],[Date]])</f>
        <v>2024</v>
      </c>
      <c r="E1017" s="1">
        <v>0.52083333333333337</v>
      </c>
      <c r="F10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7" t="str">
        <f>_xlfn.XLOOKUP(AllDataCorrected[[#This Row],[Location Name]], Locations[Location Name],Locations[Group As])</f>
        <v>Carrant Bredon Rd</v>
      </c>
      <c r="H1017" t="e" vm="1">
        <f>_xlfn.XLOOKUP(AllDataCorrected[[#This Row],[Site Name]],LocationsKey[Site Name],LocationsKey[District])</f>
        <v>#VALUE!</v>
      </c>
      <c r="I1017" t="e" vm="1">
        <f>_xlfn.XLOOKUP(AllDataCorrected[[#This Row],[Site Name]],LocationsKey[Site Name],LocationsKey[Town])</f>
        <v>#VALUE!</v>
      </c>
      <c r="J1017" t="str">
        <f>_xlfn.XLOOKUP(AllDataCorrected[[#This Row],[Site Name]],LocationsKey[Site Name], LocationsKey[Waterway])</f>
        <v>Carrant</v>
      </c>
      <c r="K1017" t="s">
        <v>600</v>
      </c>
      <c r="L1017">
        <f>_xlfn.XLOOKUP(AllDataCorrected[[#This Row],[Site Name]],Tables!$B$12:$B$78, Tables!C$12:C$78)</f>
        <v>51.996416567567572</v>
      </c>
      <c r="M1017">
        <f>_xlfn.XLOOKUP(AllDataCorrected[[#This Row],[Site Name]],Tables!$B$12:$B$78, Tables!D$12:D$78)</f>
        <v>-2.1556626756756749</v>
      </c>
      <c r="N1017" t="s">
        <v>23</v>
      </c>
      <c r="O1017">
        <v>414</v>
      </c>
      <c r="P1017">
        <v>15.3</v>
      </c>
      <c r="Q1017">
        <v>4</v>
      </c>
      <c r="R10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7">
        <v>0.67</v>
      </c>
      <c r="T10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7">
        <v>0.1</v>
      </c>
      <c r="V1017" t="s">
        <v>1337</v>
      </c>
    </row>
    <row r="1018" spans="1:22" x14ac:dyDescent="0.25">
      <c r="A1018" t="s">
        <v>1346</v>
      </c>
      <c r="B1018" s="2">
        <v>45480</v>
      </c>
      <c r="C1018" t="str" cm="1">
        <f t="array" ref="C10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8">
        <f>YEAR(AllDataCorrected[[#This Row],[Date]])</f>
        <v>2024</v>
      </c>
      <c r="E1018" s="1">
        <v>0.42708333333333331</v>
      </c>
      <c r="F10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8" t="str">
        <f>_xlfn.XLOOKUP(AllDataCorrected[[#This Row],[Location Name]], Locations[Location Name],Locations[Group As])</f>
        <v>Sherbourne Brook 1</v>
      </c>
      <c r="H1018" t="e" vm="2">
        <f>_xlfn.XLOOKUP(AllDataCorrected[[#This Row],[Site Name]],LocationsKey[Site Name],LocationsKey[District])</f>
        <v>#VALUE!</v>
      </c>
      <c r="I1018" t="e" vm="16">
        <f>_xlfn.XLOOKUP(AllDataCorrected[[#This Row],[Site Name]],LocationsKey[Site Name],LocationsKey[Town])</f>
        <v>#VALUE!</v>
      </c>
      <c r="J1018" t="str">
        <f>_xlfn.XLOOKUP(AllDataCorrected[[#This Row],[Site Name]],LocationsKey[Site Name], LocationsKey[Waterway])</f>
        <v>Sherbourne Brook</v>
      </c>
      <c r="K1018" t="s">
        <v>570</v>
      </c>
      <c r="L1018">
        <f>_xlfn.XLOOKUP(AllDataCorrected[[#This Row],[Site Name]],Tables!$B$12:$B$78, Tables!C$12:C$78)</f>
        <v>52.252500000000033</v>
      </c>
      <c r="M1018">
        <f>_xlfn.XLOOKUP(AllDataCorrected[[#This Row],[Site Name]],Tables!$B$12:$B$78, Tables!D$12:D$78)</f>
        <v>-1.6685000000000012</v>
      </c>
      <c r="N1018" t="s">
        <v>23</v>
      </c>
      <c r="O1018">
        <v>1120</v>
      </c>
      <c r="P1018">
        <v>14.1</v>
      </c>
      <c r="Q1018">
        <v>10</v>
      </c>
      <c r="R10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8">
        <v>0.52</v>
      </c>
      <c r="T10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8">
        <v>0.1</v>
      </c>
    </row>
    <row r="1019" spans="1:22" x14ac:dyDescent="0.25">
      <c r="A1019" t="s">
        <v>1345</v>
      </c>
      <c r="B1019" s="2">
        <v>45480</v>
      </c>
      <c r="C1019" t="str" cm="1">
        <f t="array" ref="C10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9">
        <f>YEAR(AllDataCorrected[[#This Row],[Date]])</f>
        <v>2024</v>
      </c>
      <c r="E1019" s="1">
        <v>0.4375</v>
      </c>
      <c r="F10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9" t="str">
        <f>_xlfn.XLOOKUP(AllDataCorrected[[#This Row],[Location Name]], Locations[Location Name],Locations[Group As])</f>
        <v>Bell Brook 1</v>
      </c>
      <c r="H1019" t="e" vm="2">
        <f>_xlfn.XLOOKUP(AllDataCorrected[[#This Row],[Site Name]],LocationsKey[Site Name],LocationsKey[District])</f>
        <v>#VALUE!</v>
      </c>
      <c r="I1019" t="e" vm="15">
        <f>_xlfn.XLOOKUP(AllDataCorrected[[#This Row],[Site Name]],LocationsKey[Site Name],LocationsKey[Town])</f>
        <v>#VALUE!</v>
      </c>
      <c r="J1019" t="str">
        <f>_xlfn.XLOOKUP(AllDataCorrected[[#This Row],[Site Name]],LocationsKey[Site Name], LocationsKey[Waterway])</f>
        <v>Bell Brook</v>
      </c>
      <c r="K1019" t="s">
        <v>534</v>
      </c>
      <c r="L1019">
        <f>_xlfn.XLOOKUP(AllDataCorrected[[#This Row],[Site Name]],Tables!$B$12:$B$78, Tables!C$12:C$78)</f>
        <v>52.24489999999998</v>
      </c>
      <c r="M1019">
        <f>_xlfn.XLOOKUP(AllDataCorrected[[#This Row],[Site Name]],Tables!$B$12:$B$78, Tables!D$12:D$78)</f>
        <v>-1.6617000000000013</v>
      </c>
      <c r="N1019" t="s">
        <v>23</v>
      </c>
      <c r="O1019">
        <v>708</v>
      </c>
      <c r="P1019">
        <v>15.1</v>
      </c>
      <c r="Q1019">
        <v>4</v>
      </c>
      <c r="R10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9">
        <v>0.56000000000000005</v>
      </c>
      <c r="T10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9">
        <v>0.1</v>
      </c>
    </row>
    <row r="1020" spans="1:22" x14ac:dyDescent="0.25">
      <c r="A1020" t="s">
        <v>1344</v>
      </c>
      <c r="B1020" s="2">
        <v>45480</v>
      </c>
      <c r="C1020" t="str" cm="1">
        <f t="array" ref="C10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0">
        <f>YEAR(AllDataCorrected[[#This Row],[Date]])</f>
        <v>2024</v>
      </c>
      <c r="E1020" s="1">
        <v>0.47291666666666665</v>
      </c>
      <c r="F10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0" t="str">
        <f>_xlfn.XLOOKUP(AllDataCorrected[[#This Row],[Location Name]], Locations[Location Name],Locations[Group As])</f>
        <v>Lower Lode</v>
      </c>
      <c r="H1020" t="e" vm="1">
        <f>_xlfn.XLOOKUP(AllDataCorrected[[#This Row],[Site Name]],LocationsKey[Site Name],LocationsKey[District])</f>
        <v>#VALUE!</v>
      </c>
      <c r="I1020" t="e" vm="1">
        <f>_xlfn.XLOOKUP(AllDataCorrected[[#This Row],[Site Name]],LocationsKey[Site Name],LocationsKey[Town])</f>
        <v>#VALUE!</v>
      </c>
      <c r="J1020" t="str">
        <f>_xlfn.XLOOKUP(AllDataCorrected[[#This Row],[Site Name]],LocationsKey[Site Name], LocationsKey[Waterway])</f>
        <v>Avon</v>
      </c>
      <c r="K1020" t="s">
        <v>592</v>
      </c>
      <c r="L1020">
        <f>_xlfn.XLOOKUP(AllDataCorrected[[#This Row],[Site Name]],Tables!$B$12:$B$78, Tables!C$12:C$78)</f>
        <v>51.984954782608689</v>
      </c>
      <c r="M1020">
        <f>_xlfn.XLOOKUP(AllDataCorrected[[#This Row],[Site Name]],Tables!$B$12:$B$78, Tables!D$12:D$78)</f>
        <v>-2.1744283478260868</v>
      </c>
      <c r="N1020" t="s">
        <v>29</v>
      </c>
      <c r="O1020">
        <v>9270</v>
      </c>
      <c r="P1020">
        <v>17.3</v>
      </c>
      <c r="Q1020">
        <v>10</v>
      </c>
      <c r="R10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0">
        <v>0.7</v>
      </c>
      <c r="T10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0">
        <v>0</v>
      </c>
    </row>
    <row r="1021" spans="1:22" x14ac:dyDescent="0.25">
      <c r="A1021" t="s">
        <v>1342</v>
      </c>
      <c r="B1021" s="2">
        <v>45480</v>
      </c>
      <c r="C1021" t="str" cm="1">
        <f t="array" ref="C10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1">
        <f>YEAR(AllDataCorrected[[#This Row],[Date]])</f>
        <v>2024</v>
      </c>
      <c r="E1021" s="1">
        <v>0.64583333333333337</v>
      </c>
      <c r="F10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21" t="str">
        <f>_xlfn.XLOOKUP(AllDataCorrected[[#This Row],[Location Name]], Locations[Location Name],Locations[Group As])</f>
        <v>Fell Mill Footbridge</v>
      </c>
      <c r="H1021" t="e" vm="2">
        <f>_xlfn.XLOOKUP(AllDataCorrected[[#This Row],[Site Name]],LocationsKey[Site Name],LocationsKey[District])</f>
        <v>#VALUE!</v>
      </c>
      <c r="I1021" t="e" vm="10">
        <f>_xlfn.XLOOKUP(AllDataCorrected[[#This Row],[Site Name]],LocationsKey[Site Name],LocationsKey[Town])</f>
        <v>#VALUE!</v>
      </c>
      <c r="J1021" t="str">
        <f>_xlfn.XLOOKUP(AllDataCorrected[[#This Row],[Site Name]],LocationsKey[Site Name], LocationsKey[Waterway])</f>
        <v>Stour</v>
      </c>
      <c r="K1021" t="s">
        <v>818</v>
      </c>
      <c r="L1021">
        <f>_xlfn.XLOOKUP(AllDataCorrected[[#This Row],[Site Name]],Tables!$B$12:$B$78, Tables!C$12:C$78)</f>
        <v>52.067966827586183</v>
      </c>
      <c r="M1021">
        <f>_xlfn.XLOOKUP(AllDataCorrected[[#This Row],[Site Name]],Tables!$B$12:$B$78, Tables!D$12:D$78)</f>
        <v>-1.6118101379310343</v>
      </c>
      <c r="N1021" t="s">
        <v>29</v>
      </c>
      <c r="O1021">
        <v>578</v>
      </c>
      <c r="P1021">
        <v>16.399999999999999</v>
      </c>
      <c r="Q1021">
        <v>5</v>
      </c>
      <c r="R10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1">
        <v>0.79</v>
      </c>
      <c r="T10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1">
        <v>1.4</v>
      </c>
    </row>
    <row r="1022" spans="1:22" x14ac:dyDescent="0.25">
      <c r="A1022" t="s">
        <v>1343</v>
      </c>
      <c r="B1022" s="2">
        <v>45480</v>
      </c>
      <c r="C1022" t="str" cm="1">
        <f t="array" ref="C10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2">
        <f>YEAR(AllDataCorrected[[#This Row],[Date]])</f>
        <v>2024</v>
      </c>
      <c r="E1022" s="1">
        <v>0.77361111111111114</v>
      </c>
      <c r="F10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22" t="str">
        <f>_xlfn.XLOOKUP(AllDataCorrected[[#This Row],[Location Name]], Locations[Location Name],Locations[Group As])</f>
        <v>Black Bear</v>
      </c>
      <c r="H1022" t="e" vm="1">
        <f>_xlfn.XLOOKUP(AllDataCorrected[[#This Row],[Site Name]],LocationsKey[Site Name],LocationsKey[District])</f>
        <v>#VALUE!</v>
      </c>
      <c r="I1022" t="e" vm="1">
        <f>_xlfn.XLOOKUP(AllDataCorrected[[#This Row],[Site Name]],LocationsKey[Site Name],LocationsKey[Town])</f>
        <v>#VALUE!</v>
      </c>
      <c r="J1022" t="str">
        <f>_xlfn.XLOOKUP(AllDataCorrected[[#This Row],[Site Name]],LocationsKey[Site Name], LocationsKey[Waterway])</f>
        <v>Avon</v>
      </c>
      <c r="K1022" t="s">
        <v>1045</v>
      </c>
      <c r="L1022">
        <f>_xlfn.XLOOKUP(AllDataCorrected[[#This Row],[Site Name]],Tables!$B$12:$B$78, Tables!C$12:C$78)</f>
        <v>51.997435214285723</v>
      </c>
      <c r="M1022">
        <f>_xlfn.XLOOKUP(AllDataCorrected[[#This Row],[Site Name]],Tables!$B$12:$B$78, Tables!D$12:D$78)</f>
        <v>-2.1562056785714288</v>
      </c>
      <c r="N1022" t="s">
        <v>23</v>
      </c>
      <c r="O1022">
        <v>976</v>
      </c>
      <c r="P1022">
        <v>20.5</v>
      </c>
      <c r="Q1022">
        <v>8</v>
      </c>
      <c r="R10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2">
        <v>0.78</v>
      </c>
      <c r="T10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2">
        <v>0</v>
      </c>
    </row>
    <row r="1023" spans="1:22" x14ac:dyDescent="0.25">
      <c r="A1023" t="s">
        <v>1809</v>
      </c>
      <c r="B1023" s="2">
        <v>45480</v>
      </c>
      <c r="C1023" t="str" cm="1">
        <f t="array" ref="C10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3">
        <f>YEAR(AllDataCorrected[[#This Row],[Date]])</f>
        <v>2024</v>
      </c>
      <c r="F10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3" t="str">
        <f>_xlfn.XLOOKUP(AllDataCorrected[[#This Row],[Location Name]], Locations[Location Name],Locations[Group As])</f>
        <v>Site 1  :  Middle Street</v>
      </c>
      <c r="H1023" t="e" vm="2">
        <f>_xlfn.XLOOKUP(AllDataCorrected[[#This Row],[Site Name]],LocationsKey[Site Name],LocationsKey[District])</f>
        <v>#VALUE!</v>
      </c>
      <c r="I1023" t="e" vm="11">
        <f>_xlfn.XLOOKUP(AllDataCorrected[[#This Row],[Site Name]],LocationsKey[Site Name],LocationsKey[Town])</f>
        <v>#VALUE!</v>
      </c>
      <c r="J1023" t="str">
        <f>_xlfn.XLOOKUP(AllDataCorrected[[#This Row],[Site Name]],LocationsKey[Site Name], LocationsKey[Waterway])</f>
        <v>Fosseway Brook</v>
      </c>
      <c r="K1023" t="s">
        <v>1859</v>
      </c>
      <c r="L1023">
        <f>_xlfn.XLOOKUP(AllDataCorrected[[#This Row],[Site Name]],Tables!$B$12:$B$78, Tables!C$12:C$78)</f>
        <v>52.090077380952394</v>
      </c>
      <c r="M1023">
        <f>_xlfn.XLOOKUP(AllDataCorrected[[#This Row],[Site Name]],Tables!$B$12:$B$78, Tables!D$12:D$78)</f>
        <v>-1.6926051666666673</v>
      </c>
      <c r="N1023" t="s">
        <v>66</v>
      </c>
      <c r="O1023">
        <v>620</v>
      </c>
      <c r="P1023">
        <v>16.5</v>
      </c>
      <c r="Q1023">
        <v>2</v>
      </c>
      <c r="R1023" t="str">
        <f>IF(AllDataCorrected[[#This Row],[Nitrate (PPM)]]&gt;2, "4. Very high (&gt;2ppm)", IF(AllDataCorrected[[#This Row],[Nitrate (PPM)]]&gt;1, "3. High (1-2ppm)", IF(AllDataCorrected[[#This Row],[Nitrate (PPM)]]&gt;0.5, "2. Some evidence (0.5-1ppm)", IF(AllDataCorrected[[#This Row],[Nitrate (PPM)]]&gt;=0, "1. No evidence (&lt;0.5ppm)"))))</f>
        <v>3. High (1-2ppm)</v>
      </c>
      <c r="S1023">
        <v>0.15</v>
      </c>
      <c r="T10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23">
        <v>0</v>
      </c>
      <c r="V1023" t="s">
        <v>1927</v>
      </c>
    </row>
    <row r="1024" spans="1:22" x14ac:dyDescent="0.25">
      <c r="A1024" t="s">
        <v>1372</v>
      </c>
      <c r="B1024" s="2">
        <v>45480</v>
      </c>
      <c r="C1024" t="str" cm="1">
        <f t="array" ref="C10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4">
        <f>YEAR(AllDataCorrected[[#This Row],[Date]])</f>
        <v>2024</v>
      </c>
      <c r="F102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4" t="str">
        <f>_xlfn.XLOOKUP(AllDataCorrected[[#This Row],[Location Name]], Locations[Location Name],Locations[Group As])</f>
        <v>Site 1  :  Middle Street</v>
      </c>
      <c r="H1024" t="e" vm="2">
        <f>_xlfn.XLOOKUP(AllDataCorrected[[#This Row],[Site Name]],LocationsKey[Site Name],LocationsKey[District])</f>
        <v>#VALUE!</v>
      </c>
      <c r="I1024" t="e" vm="11">
        <f>_xlfn.XLOOKUP(AllDataCorrected[[#This Row],[Site Name]],LocationsKey[Site Name],LocationsKey[Town])</f>
        <v>#VALUE!</v>
      </c>
      <c r="J1024" t="str">
        <f>_xlfn.XLOOKUP(AllDataCorrected[[#This Row],[Site Name]],LocationsKey[Site Name], LocationsKey[Waterway])</f>
        <v>Fosseway Brook</v>
      </c>
      <c r="K1024" t="s">
        <v>1373</v>
      </c>
      <c r="L1024">
        <f>_xlfn.XLOOKUP(AllDataCorrected[[#This Row],[Site Name]],Tables!$B$12:$B$78, Tables!C$12:C$78)</f>
        <v>52.090077380952394</v>
      </c>
      <c r="M1024">
        <f>_xlfn.XLOOKUP(AllDataCorrected[[#This Row],[Site Name]],Tables!$B$12:$B$78, Tables!D$12:D$78)</f>
        <v>-1.6926051666666673</v>
      </c>
      <c r="N1024" t="s">
        <v>66</v>
      </c>
      <c r="O1024">
        <v>620</v>
      </c>
      <c r="P1024">
        <v>16.5</v>
      </c>
      <c r="Q1024">
        <v>2</v>
      </c>
      <c r="R1024" t="str">
        <f>IF(AllDataCorrected[[#This Row],[Nitrate (PPM)]]&gt;2, "4. Very high (&gt;2ppm)", IF(AllDataCorrected[[#This Row],[Nitrate (PPM)]]&gt;1, "3. High (1-2ppm)", IF(AllDataCorrected[[#This Row],[Nitrate (PPM)]]&gt;0.5, "2. Some evidence (0.5-1ppm)", IF(AllDataCorrected[[#This Row],[Nitrate (PPM)]]&gt;=0, "1. No evidence (&lt;0.5ppm)"))))</f>
        <v>3. High (1-2ppm)</v>
      </c>
      <c r="S1024">
        <v>0.15</v>
      </c>
      <c r="T10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1024" t="s">
        <v>1374</v>
      </c>
    </row>
    <row r="1025" spans="1:22" x14ac:dyDescent="0.25">
      <c r="A1025" t="s">
        <v>1810</v>
      </c>
      <c r="B1025" s="2">
        <v>45480</v>
      </c>
      <c r="C1025" t="str" cm="1">
        <f t="array" ref="C10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5">
        <f>YEAR(AllDataCorrected[[#This Row],[Date]])</f>
        <v>2024</v>
      </c>
      <c r="F102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5" t="str">
        <f>_xlfn.XLOOKUP(AllDataCorrected[[#This Row],[Location Name]], Locations[Location Name],Locations[Group As])</f>
        <v>Site 2  :  Cross Leys culvert</v>
      </c>
      <c r="H1025" t="e" vm="2">
        <f>_xlfn.XLOOKUP(AllDataCorrected[[#This Row],[Site Name]],LocationsKey[Site Name],LocationsKey[District])</f>
        <v>#VALUE!</v>
      </c>
      <c r="I1025" t="e" vm="11">
        <f>_xlfn.XLOOKUP(AllDataCorrected[[#This Row],[Site Name]],LocationsKey[Site Name],LocationsKey[Town])</f>
        <v>#VALUE!</v>
      </c>
      <c r="J1025" t="str">
        <f>_xlfn.XLOOKUP(AllDataCorrected[[#This Row],[Site Name]],LocationsKey[Site Name], LocationsKey[Waterway])</f>
        <v>Fosseway Brook</v>
      </c>
      <c r="K1025" t="s">
        <v>1860</v>
      </c>
      <c r="L1025">
        <f>_xlfn.XLOOKUP(AllDataCorrected[[#This Row],[Site Name]],Tables!$B$12:$B$78, Tables!C$12:C$78)</f>
        <v>52.092990199999988</v>
      </c>
      <c r="M1025">
        <f>_xlfn.XLOOKUP(AllDataCorrected[[#This Row],[Site Name]],Tables!$B$12:$B$78, Tables!D$12:D$78)</f>
        <v>-1.6862810999999998</v>
      </c>
      <c r="N1025" t="s">
        <v>66</v>
      </c>
      <c r="O1025">
        <v>705</v>
      </c>
      <c r="P1025">
        <v>15.5</v>
      </c>
      <c r="Q1025">
        <v>2</v>
      </c>
      <c r="R1025" t="str">
        <f>IF(AllDataCorrected[[#This Row],[Nitrate (PPM)]]&gt;2, "4. Very high (&gt;2ppm)", IF(AllDataCorrected[[#This Row],[Nitrate (PPM)]]&gt;1, "3. High (1-2ppm)", IF(AllDataCorrected[[#This Row],[Nitrate (PPM)]]&gt;0.5, "2. Some evidence (0.5-1ppm)", IF(AllDataCorrected[[#This Row],[Nitrate (PPM)]]&gt;=0, "1. No evidence (&lt;0.5ppm)"))))</f>
        <v>3. High (1-2ppm)</v>
      </c>
      <c r="S1025">
        <v>0.34</v>
      </c>
      <c r="T10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25">
        <v>0</v>
      </c>
      <c r="V1025" t="s">
        <v>1909</v>
      </c>
    </row>
    <row r="1026" spans="1:22" x14ac:dyDescent="0.25">
      <c r="A1026" t="s">
        <v>1370</v>
      </c>
      <c r="B1026" s="2">
        <v>45480</v>
      </c>
      <c r="C1026" t="str" cm="1">
        <f t="array" ref="C10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6">
        <f>YEAR(AllDataCorrected[[#This Row],[Date]])</f>
        <v>2024</v>
      </c>
      <c r="F102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6" t="str">
        <f>_xlfn.XLOOKUP(AllDataCorrected[[#This Row],[Location Name]], Locations[Location Name],Locations[Group As])</f>
        <v>Site 2  :  Cross Leys culvert</v>
      </c>
      <c r="H1026" t="e" vm="2">
        <f>_xlfn.XLOOKUP(AllDataCorrected[[#This Row],[Site Name]],LocationsKey[Site Name],LocationsKey[District])</f>
        <v>#VALUE!</v>
      </c>
      <c r="I1026" t="e" vm="11">
        <f>_xlfn.XLOOKUP(AllDataCorrected[[#This Row],[Site Name]],LocationsKey[Site Name],LocationsKey[Town])</f>
        <v>#VALUE!</v>
      </c>
      <c r="J1026" t="str">
        <f>_xlfn.XLOOKUP(AllDataCorrected[[#This Row],[Site Name]],LocationsKey[Site Name], LocationsKey[Waterway])</f>
        <v>Fosseway Brook</v>
      </c>
      <c r="K1026" t="s">
        <v>1371</v>
      </c>
      <c r="L1026">
        <f>_xlfn.XLOOKUP(AllDataCorrected[[#This Row],[Site Name]],Tables!$B$12:$B$78, Tables!C$12:C$78)</f>
        <v>52.092990199999988</v>
      </c>
      <c r="M1026">
        <f>_xlfn.XLOOKUP(AllDataCorrected[[#This Row],[Site Name]],Tables!$B$12:$B$78, Tables!D$12:D$78)</f>
        <v>-1.6862810999999998</v>
      </c>
      <c r="N1026" t="s">
        <v>66</v>
      </c>
      <c r="O1026">
        <v>705</v>
      </c>
      <c r="P1026">
        <v>15.5</v>
      </c>
      <c r="Q1026">
        <v>2</v>
      </c>
      <c r="R1026" t="str">
        <f>IF(AllDataCorrected[[#This Row],[Nitrate (PPM)]]&gt;2, "4. Very high (&gt;2ppm)", IF(AllDataCorrected[[#This Row],[Nitrate (PPM)]]&gt;1, "3. High (1-2ppm)", IF(AllDataCorrected[[#This Row],[Nitrate (PPM)]]&gt;0.5, "2. Some evidence (0.5-1ppm)", IF(AllDataCorrected[[#This Row],[Nitrate (PPM)]]&gt;=0, "1. No evidence (&lt;0.5ppm)"))))</f>
        <v>3. High (1-2ppm)</v>
      </c>
      <c r="S1026">
        <v>0.34</v>
      </c>
      <c r="T10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1027" spans="1:22" x14ac:dyDescent="0.25">
      <c r="A1027" t="s">
        <v>1811</v>
      </c>
      <c r="B1027" s="2">
        <v>45480</v>
      </c>
      <c r="C1027" t="str" cm="1">
        <f t="array" ref="C10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7">
        <f>YEAR(AllDataCorrected[[#This Row],[Date]])</f>
        <v>2024</v>
      </c>
      <c r="F102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7" t="str">
        <f>_xlfn.XLOOKUP(AllDataCorrected[[#This Row],[Location Name]], Locations[Location Name],Locations[Group As])</f>
        <v>Site 3  :  Severn Trent Water processing plant outflow</v>
      </c>
      <c r="H1027" t="e" vm="2">
        <f>_xlfn.XLOOKUP(AllDataCorrected[[#This Row],[Site Name]],LocationsKey[Site Name],LocationsKey[District])</f>
        <v>#VALUE!</v>
      </c>
      <c r="I1027" t="e" vm="11">
        <f>_xlfn.XLOOKUP(AllDataCorrected[[#This Row],[Site Name]],LocationsKey[Site Name],LocationsKey[Town])</f>
        <v>#VALUE!</v>
      </c>
      <c r="J1027" t="str">
        <f>_xlfn.XLOOKUP(AllDataCorrected[[#This Row],[Site Name]],LocationsKey[Site Name], LocationsKey[Waterway])</f>
        <v>Fosseway Brook</v>
      </c>
      <c r="K1027" t="s">
        <v>1861</v>
      </c>
      <c r="L1027">
        <f>_xlfn.XLOOKUP(AllDataCorrected[[#This Row],[Site Name]],Tables!$B$12:$B$78, Tables!C$12:C$78)</f>
        <v>52.094341024390218</v>
      </c>
      <c r="M1027">
        <f>_xlfn.XLOOKUP(AllDataCorrected[[#This Row],[Site Name]],Tables!$B$12:$B$78, Tables!D$12:D$78)</f>
        <v>-1.6731015853658531</v>
      </c>
      <c r="N1027" t="s">
        <v>29</v>
      </c>
      <c r="O1027">
        <v>799</v>
      </c>
      <c r="P1027">
        <v>16.899999999999999</v>
      </c>
      <c r="Q1027">
        <v>10</v>
      </c>
      <c r="R10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7">
        <v>1.06</v>
      </c>
      <c r="T10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7">
        <v>0</v>
      </c>
      <c r="V1027" t="s">
        <v>1901</v>
      </c>
    </row>
    <row r="1028" spans="1:22" x14ac:dyDescent="0.25">
      <c r="A1028" t="s">
        <v>1367</v>
      </c>
      <c r="B1028" s="2">
        <v>45480</v>
      </c>
      <c r="C1028" t="str" cm="1">
        <f t="array" ref="C10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8">
        <f>YEAR(AllDataCorrected[[#This Row],[Date]])</f>
        <v>2024</v>
      </c>
      <c r="F102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8" t="str">
        <f>_xlfn.XLOOKUP(AllDataCorrected[[#This Row],[Location Name]], Locations[Location Name],Locations[Group As])</f>
        <v>Site 3  :  Severn Trent Water processing plant outflow</v>
      </c>
      <c r="H1028" t="e" vm="2">
        <f>_xlfn.XLOOKUP(AllDataCorrected[[#This Row],[Site Name]],LocationsKey[Site Name],LocationsKey[District])</f>
        <v>#VALUE!</v>
      </c>
      <c r="I1028" t="e" vm="11">
        <f>_xlfn.XLOOKUP(AllDataCorrected[[#This Row],[Site Name]],LocationsKey[Site Name],LocationsKey[Town])</f>
        <v>#VALUE!</v>
      </c>
      <c r="J1028" t="str">
        <f>_xlfn.XLOOKUP(AllDataCorrected[[#This Row],[Site Name]],LocationsKey[Site Name], LocationsKey[Waterway])</f>
        <v>Fosseway Brook</v>
      </c>
      <c r="K1028" t="s">
        <v>1368</v>
      </c>
      <c r="L1028">
        <f>_xlfn.XLOOKUP(AllDataCorrected[[#This Row],[Site Name]],Tables!$B$12:$B$78, Tables!C$12:C$78)</f>
        <v>52.094341024390218</v>
      </c>
      <c r="M1028">
        <f>_xlfn.XLOOKUP(AllDataCorrected[[#This Row],[Site Name]],Tables!$B$12:$B$78, Tables!D$12:D$78)</f>
        <v>-1.6731015853658531</v>
      </c>
      <c r="N1028" t="s">
        <v>29</v>
      </c>
      <c r="O1028">
        <v>799</v>
      </c>
      <c r="P1028">
        <v>16.899999999999999</v>
      </c>
      <c r="Q1028">
        <v>10</v>
      </c>
      <c r="R10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8">
        <v>1.06</v>
      </c>
      <c r="T10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1028" t="s">
        <v>1369</v>
      </c>
    </row>
    <row r="1029" spans="1:22" x14ac:dyDescent="0.25">
      <c r="A1029" t="s">
        <v>1349</v>
      </c>
      <c r="B1029" s="2">
        <v>45481</v>
      </c>
      <c r="C1029" t="str" cm="1">
        <f t="array" ref="C10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9">
        <f>YEAR(AllDataCorrected[[#This Row],[Date]])</f>
        <v>2024</v>
      </c>
      <c r="E1029" s="1">
        <v>0.37777777777777777</v>
      </c>
      <c r="F10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9" t="str">
        <f>_xlfn.XLOOKUP(AllDataCorrected[[#This Row],[Location Name]], Locations[Location Name],Locations[Group As])</f>
        <v>Stour Stretton-on-Fosse Village</v>
      </c>
      <c r="H1029" t="e" vm="2">
        <f>_xlfn.XLOOKUP(AllDataCorrected[[#This Row],[Site Name]],LocationsKey[Site Name],LocationsKey[District])</f>
        <v>#VALUE!</v>
      </c>
      <c r="I1029" t="e" vm="14">
        <f>_xlfn.XLOOKUP(AllDataCorrected[[#This Row],[Site Name]],LocationsKey[Site Name],LocationsKey[Town])</f>
        <v>#VALUE!</v>
      </c>
      <c r="J1029" t="str">
        <f>_xlfn.XLOOKUP(AllDataCorrected[[#This Row],[Site Name]],LocationsKey[Site Name], LocationsKey[Waterway])</f>
        <v>Stour</v>
      </c>
      <c r="K1029" t="s">
        <v>544</v>
      </c>
      <c r="L1029">
        <f>_xlfn.XLOOKUP(AllDataCorrected[[#This Row],[Site Name]],Tables!$B$12:$B$78, Tables!C$12:C$78)</f>
        <v>52.046517558823524</v>
      </c>
      <c r="M1029">
        <f>_xlfn.XLOOKUP(AllDataCorrected[[#This Row],[Site Name]],Tables!$B$12:$B$78, Tables!D$12:D$78)</f>
        <v>-1.6734143529411767</v>
      </c>
      <c r="N1029" t="s">
        <v>66</v>
      </c>
      <c r="O1029">
        <v>684</v>
      </c>
      <c r="P1029">
        <v>13.1</v>
      </c>
      <c r="Q1029">
        <v>0.5</v>
      </c>
      <c r="R102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29">
        <v>2.5</v>
      </c>
      <c r="T10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9">
        <v>0.2</v>
      </c>
      <c r="V1029" t="s">
        <v>1177</v>
      </c>
    </row>
    <row r="1030" spans="1:22" x14ac:dyDescent="0.25">
      <c r="A1030" t="s">
        <v>1348</v>
      </c>
      <c r="B1030" s="2">
        <v>45481</v>
      </c>
      <c r="C1030" t="str" cm="1">
        <f t="array" ref="C10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0">
        <f>YEAR(AllDataCorrected[[#This Row],[Date]])</f>
        <v>2024</v>
      </c>
      <c r="E1030" s="1">
        <v>0.38472222222222224</v>
      </c>
      <c r="F103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0" t="str">
        <f>_xlfn.XLOOKUP(AllDataCorrected[[#This Row],[Location Name]], Locations[Location Name],Locations[Group As])</f>
        <v>Stour Stretton-on-Fosse Sewage Works</v>
      </c>
      <c r="H1030" t="e" vm="2">
        <f>_xlfn.XLOOKUP(AllDataCorrected[[#This Row],[Site Name]],LocationsKey[Site Name],LocationsKey[District])</f>
        <v>#VALUE!</v>
      </c>
      <c r="I1030" t="e" vm="14">
        <f>_xlfn.XLOOKUP(AllDataCorrected[[#This Row],[Site Name]],LocationsKey[Site Name],LocationsKey[Town])</f>
        <v>#VALUE!</v>
      </c>
      <c r="J1030" t="str">
        <f>_xlfn.XLOOKUP(AllDataCorrected[[#This Row],[Site Name]],LocationsKey[Site Name], LocationsKey[Waterway])</f>
        <v>Stour</v>
      </c>
      <c r="K1030" t="s">
        <v>335</v>
      </c>
      <c r="L1030">
        <f>_xlfn.XLOOKUP(AllDataCorrected[[#This Row],[Site Name]],Tables!$B$12:$B$78, Tables!C$12:C$78)</f>
        <v>52.045653647058806</v>
      </c>
      <c r="M1030">
        <f>_xlfn.XLOOKUP(AllDataCorrected[[#This Row],[Site Name]],Tables!$B$12:$B$78, Tables!D$12:D$78)</f>
        <v>-1.6719221470588235</v>
      </c>
      <c r="N1030" t="s">
        <v>29</v>
      </c>
      <c r="O1030">
        <v>739</v>
      </c>
      <c r="P1030">
        <v>13.7</v>
      </c>
      <c r="Q1030">
        <v>0.5</v>
      </c>
      <c r="R103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30">
        <v>2.5</v>
      </c>
      <c r="T10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0">
        <v>0.3</v>
      </c>
      <c r="V1030" t="s">
        <v>1177</v>
      </c>
    </row>
    <row r="1031" spans="1:22" x14ac:dyDescent="0.25">
      <c r="A1031" t="s">
        <v>1717</v>
      </c>
      <c r="B1031" s="2">
        <v>45523</v>
      </c>
      <c r="C1031" t="str" cm="1">
        <f t="array" ref="C10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1">
        <f>YEAR(AllDataCorrected[[#This Row],[Date]])</f>
        <v>2024</v>
      </c>
      <c r="E1031" s="1">
        <v>0.66666666666666663</v>
      </c>
      <c r="F10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1" t="str">
        <f>_xlfn.XLOOKUP(AllDataCorrected[[#This Row],[Location Name]], Locations[Location Name],Locations[Group As])</f>
        <v>Chipping Campden Craves</v>
      </c>
      <c r="H1031" t="e" vm="23">
        <f>_xlfn.XLOOKUP(AllDataCorrected[[#This Row],[Site Name]],LocationsKey[Site Name],LocationsKey[District])</f>
        <v>#VALUE!</v>
      </c>
      <c r="I1031" t="e" vm="24">
        <f>_xlfn.XLOOKUP(AllDataCorrected[[#This Row],[Site Name]],LocationsKey[Site Name],LocationsKey[Town])</f>
        <v>#VALUE!</v>
      </c>
      <c r="J1031" t="str">
        <f>_xlfn.XLOOKUP(AllDataCorrected[[#This Row],[Site Name]],LocationsKey[Site Name], LocationsKey[Waterway])</f>
        <v>Cam Brook</v>
      </c>
      <c r="K1031" t="s">
        <v>1857</v>
      </c>
      <c r="L1031">
        <f>_xlfn.XLOOKUP(AllDataCorrected[[#This Row],[Site Name]],Tables!$B$12:$B$78, Tables!C$12:C$78)</f>
        <v>52.048665</v>
      </c>
      <c r="M1031">
        <f>_xlfn.XLOOKUP(AllDataCorrected[[#This Row],[Site Name]],Tables!$B$12:$B$78, Tables!D$12:D$78)</f>
        <v>-1.7862663333333331</v>
      </c>
      <c r="N1031" t="s">
        <v>66</v>
      </c>
      <c r="O1031">
        <v>384</v>
      </c>
      <c r="P1031">
        <v>18</v>
      </c>
      <c r="Q1031">
        <v>2</v>
      </c>
      <c r="R1031" t="str">
        <f>IF(AllDataCorrected[[#This Row],[Nitrate (PPM)]]&gt;2, "4. Very high (&gt;2ppm)", IF(AllDataCorrected[[#This Row],[Nitrate (PPM)]]&gt;1, "3. High (1-2ppm)", IF(AllDataCorrected[[#This Row],[Nitrate (PPM)]]&gt;0.5, "2. Some evidence (0.5-1ppm)", IF(AllDataCorrected[[#This Row],[Nitrate (PPM)]]&gt;=0, "1. No evidence (&lt;0.5ppm)"))))</f>
        <v>3. High (1-2ppm)</v>
      </c>
      <c r="S1031">
        <v>0.1</v>
      </c>
      <c r="T10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031">
        <v>17</v>
      </c>
    </row>
    <row r="1032" spans="1:22" x14ac:dyDescent="0.25">
      <c r="A1032" t="s">
        <v>1666</v>
      </c>
      <c r="B1032" s="2">
        <v>45529</v>
      </c>
      <c r="C1032" t="str" cm="1">
        <f t="array" ref="C10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2">
        <f>YEAR(AllDataCorrected[[#This Row],[Date]])</f>
        <v>2024</v>
      </c>
      <c r="E1032" s="1">
        <v>0.4201388888888889</v>
      </c>
      <c r="F10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2" t="str">
        <f>_xlfn.XLOOKUP(AllDataCorrected[[#This Row],[Location Name]], Locations[Location Name],Locations[Group As])</f>
        <v>Chipping Campden Craves</v>
      </c>
      <c r="H1032" t="e" vm="23">
        <f>_xlfn.XLOOKUP(AllDataCorrected[[#This Row],[Site Name]],LocationsKey[Site Name],LocationsKey[District])</f>
        <v>#VALUE!</v>
      </c>
      <c r="I1032" t="e" vm="24">
        <f>_xlfn.XLOOKUP(AllDataCorrected[[#This Row],[Site Name]],LocationsKey[Site Name],LocationsKey[Town])</f>
        <v>#VALUE!</v>
      </c>
      <c r="J1032" t="str">
        <f>_xlfn.XLOOKUP(AllDataCorrected[[#This Row],[Site Name]],LocationsKey[Site Name], LocationsKey[Waterway])</f>
        <v>Cam Brook</v>
      </c>
      <c r="K1032" t="s">
        <v>1862</v>
      </c>
      <c r="L1032">
        <f>_xlfn.XLOOKUP(AllDataCorrected[[#This Row],[Site Name]],Tables!$B$12:$B$78, Tables!C$12:C$78)</f>
        <v>52.048665</v>
      </c>
      <c r="M1032">
        <f>_xlfn.XLOOKUP(AllDataCorrected[[#This Row],[Site Name]],Tables!$B$12:$B$78, Tables!D$12:D$78)</f>
        <v>-1.7862663333333331</v>
      </c>
      <c r="N1032" t="s">
        <v>66</v>
      </c>
      <c r="O1032">
        <v>1102</v>
      </c>
      <c r="P1032">
        <v>21.7</v>
      </c>
      <c r="Q1032">
        <v>5</v>
      </c>
      <c r="R10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2">
        <v>0.44</v>
      </c>
      <c r="T10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2">
        <v>1</v>
      </c>
    </row>
    <row r="1033" spans="1:22" x14ac:dyDescent="0.25">
      <c r="A1033" t="s">
        <v>1347</v>
      </c>
      <c r="B1033" s="2">
        <v>45481</v>
      </c>
      <c r="C1033" t="str" cm="1">
        <f t="array" ref="C10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3">
        <f>YEAR(AllDataCorrected[[#This Row],[Date]])</f>
        <v>2024</v>
      </c>
      <c r="E1033" s="1">
        <v>0.6118055555555556</v>
      </c>
      <c r="F10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3" t="str">
        <f>_xlfn.XLOOKUP(AllDataCorrected[[#This Row],[Location Name]], Locations[Location Name],Locations[Group As])</f>
        <v>Abbey Mill</v>
      </c>
      <c r="H1033" t="e" vm="1">
        <f>_xlfn.XLOOKUP(AllDataCorrected[[#This Row],[Site Name]],LocationsKey[Site Name],LocationsKey[District])</f>
        <v>#VALUE!</v>
      </c>
      <c r="I1033" t="e" vm="1">
        <f>_xlfn.XLOOKUP(AllDataCorrected[[#This Row],[Site Name]],LocationsKey[Site Name],LocationsKey[Town])</f>
        <v>#VALUE!</v>
      </c>
      <c r="J1033" t="str">
        <f>_xlfn.XLOOKUP(AllDataCorrected[[#This Row],[Site Name]],LocationsKey[Site Name], LocationsKey[Waterway])</f>
        <v>Avon</v>
      </c>
      <c r="K1033" t="s">
        <v>25</v>
      </c>
      <c r="L1033">
        <f>_xlfn.XLOOKUP(AllDataCorrected[[#This Row],[Site Name]],Tables!$B$12:$B$78, Tables!C$12:C$78)</f>
        <v>51.991389555555564</v>
      </c>
      <c r="M1033">
        <f>_xlfn.XLOOKUP(AllDataCorrected[[#This Row],[Site Name]],Tables!$B$12:$B$78, Tables!D$12:D$78)</f>
        <v>-2.1620794000000005</v>
      </c>
      <c r="N1033" t="s">
        <v>23</v>
      </c>
      <c r="O1033">
        <v>1020</v>
      </c>
      <c r="P1033">
        <v>18.600000000000001</v>
      </c>
      <c r="Q1033">
        <v>10</v>
      </c>
      <c r="R10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3">
        <v>0.95</v>
      </c>
      <c r="T10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3">
        <v>0.5</v>
      </c>
    </row>
    <row r="1034" spans="1:22" x14ac:dyDescent="0.25">
      <c r="A1034" t="s">
        <v>1354</v>
      </c>
      <c r="B1034" s="2">
        <v>45483</v>
      </c>
      <c r="C1034" t="str" cm="1">
        <f t="array" ref="C10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4">
        <f>YEAR(AllDataCorrected[[#This Row],[Date]])</f>
        <v>2024</v>
      </c>
      <c r="E1034" s="1">
        <v>0.45069444444444445</v>
      </c>
      <c r="F10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4" t="str">
        <f>_xlfn.XLOOKUP(AllDataCorrected[[#This Row],[Location Name]], Locations[Location Name],Locations[Group As])</f>
        <v>Bredon Dock Lane</v>
      </c>
      <c r="H1034" t="e" vm="1">
        <f>_xlfn.XLOOKUP(AllDataCorrected[[#This Row],[Site Name]],LocationsKey[Site Name],LocationsKey[District])</f>
        <v>#VALUE!</v>
      </c>
      <c r="I1034" t="e" vm="25">
        <f>_xlfn.XLOOKUP(AllDataCorrected[[#This Row],[Site Name]],LocationsKey[Site Name],LocationsKey[Town])</f>
        <v>#VALUE!</v>
      </c>
      <c r="J1034" t="str">
        <f>_xlfn.XLOOKUP(AllDataCorrected[[#This Row],[Site Name]],LocationsKey[Site Name], LocationsKey[Waterway])</f>
        <v>Avon</v>
      </c>
      <c r="K1034" t="s">
        <v>1355</v>
      </c>
      <c r="L1034">
        <f>_xlfn.XLOOKUP(AllDataCorrected[[#This Row],[Site Name]],Tables!$B$12:$B$78, Tables!C$12:C$78)</f>
        <v>52.033540000000002</v>
      </c>
      <c r="M1034">
        <f>_xlfn.XLOOKUP(AllDataCorrected[[#This Row],[Site Name]],Tables!$B$12:$B$78, Tables!D$12:D$78)</f>
        <v>-2.116123</v>
      </c>
      <c r="N1034" t="s">
        <v>23</v>
      </c>
      <c r="O1034">
        <v>964</v>
      </c>
      <c r="P1034">
        <v>19.100000000000001</v>
      </c>
      <c r="Q1034">
        <v>10</v>
      </c>
      <c r="R10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4">
        <v>0.88</v>
      </c>
      <c r="T10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4">
        <v>0</v>
      </c>
    </row>
    <row r="1035" spans="1:22" x14ac:dyDescent="0.25">
      <c r="A1035" t="s">
        <v>1353</v>
      </c>
      <c r="B1035" s="2">
        <v>45483</v>
      </c>
      <c r="C1035" t="str" cm="1">
        <f t="array" ref="C10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5">
        <f>YEAR(AllDataCorrected[[#This Row],[Date]])</f>
        <v>2024</v>
      </c>
      <c r="E1035" s="1">
        <v>0.4861111111111111</v>
      </c>
      <c r="F10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5" t="str">
        <f>_xlfn.XLOOKUP(AllDataCorrected[[#This Row],[Location Name]], Locations[Location Name],Locations[Group As])</f>
        <v>Carrant M5 Bridge</v>
      </c>
      <c r="H1035" t="e" vm="1">
        <f>_xlfn.XLOOKUP(AllDataCorrected[[#This Row],[Site Name]],LocationsKey[Site Name],LocationsKey[District])</f>
        <v>#VALUE!</v>
      </c>
      <c r="I1035" t="e" vm="1">
        <f>_xlfn.XLOOKUP(AllDataCorrected[[#This Row],[Site Name]],LocationsKey[Site Name],LocationsKey[Town])</f>
        <v>#VALUE!</v>
      </c>
      <c r="J1035" t="str">
        <f>_xlfn.XLOOKUP(AllDataCorrected[[#This Row],[Site Name]],LocationsKey[Site Name], LocationsKey[Waterway])</f>
        <v>Carrant</v>
      </c>
      <c r="K1035" t="s">
        <v>960</v>
      </c>
      <c r="L1035">
        <f>_xlfn.XLOOKUP(AllDataCorrected[[#This Row],[Site Name]],Tables!$B$12:$B$78, Tables!C$12:C$78)</f>
        <v>52.011600000000001</v>
      </c>
      <c r="M1035">
        <f>_xlfn.XLOOKUP(AllDataCorrected[[#This Row],[Site Name]],Tables!$B$12:$B$78, Tables!D$12:D$78)</f>
        <v>-2.1206</v>
      </c>
      <c r="N1035" t="s">
        <v>23</v>
      </c>
      <c r="O1035">
        <v>670</v>
      </c>
      <c r="P1035">
        <v>17.5</v>
      </c>
      <c r="Q1035">
        <v>4</v>
      </c>
      <c r="R10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5">
        <v>0.71</v>
      </c>
      <c r="T10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5">
        <v>0</v>
      </c>
    </row>
    <row r="1036" spans="1:22" x14ac:dyDescent="0.25">
      <c r="A1036" t="s">
        <v>1352</v>
      </c>
      <c r="B1036" s="2">
        <v>45483</v>
      </c>
      <c r="C1036" t="str" cm="1">
        <f t="array" ref="C10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6">
        <f>YEAR(AllDataCorrected[[#This Row],[Date]])</f>
        <v>2024</v>
      </c>
      <c r="E1036" s="1">
        <v>0.49861111111111112</v>
      </c>
      <c r="F10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6" t="str">
        <f>_xlfn.XLOOKUP(AllDataCorrected[[#This Row],[Location Name]], Locations[Location Name],Locations[Group As])</f>
        <v>Carrant Mitton Path</v>
      </c>
      <c r="H1036" t="e" vm="1">
        <f>_xlfn.XLOOKUP(AllDataCorrected[[#This Row],[Site Name]],LocationsKey[Site Name],LocationsKey[District])</f>
        <v>#VALUE!</v>
      </c>
      <c r="I1036" t="e" vm="1">
        <f>_xlfn.XLOOKUP(AllDataCorrected[[#This Row],[Site Name]],LocationsKey[Site Name],LocationsKey[Town])</f>
        <v>#VALUE!</v>
      </c>
      <c r="J1036" t="str">
        <f>_xlfn.XLOOKUP(AllDataCorrected[[#This Row],[Site Name]],LocationsKey[Site Name], LocationsKey[Waterway])</f>
        <v>Carrant</v>
      </c>
      <c r="K1036" t="s">
        <v>958</v>
      </c>
      <c r="L1036">
        <f>_xlfn.XLOOKUP(AllDataCorrected[[#This Row],[Site Name]],Tables!$B$12:$B$78, Tables!C$12:C$78)</f>
        <v>51.999946066666674</v>
      </c>
      <c r="M1036">
        <f>_xlfn.XLOOKUP(AllDataCorrected[[#This Row],[Site Name]],Tables!$B$12:$B$78, Tables!D$12:D$78)</f>
        <v>-2.1414862000000006</v>
      </c>
      <c r="N1036" t="s">
        <v>23</v>
      </c>
      <c r="O1036">
        <v>635</v>
      </c>
      <c r="P1036">
        <v>17.5</v>
      </c>
      <c r="Q1036">
        <v>5</v>
      </c>
      <c r="R10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6">
        <v>0.13</v>
      </c>
      <c r="T10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6">
        <v>0</v>
      </c>
    </row>
    <row r="1037" spans="1:22" x14ac:dyDescent="0.25">
      <c r="A1037" t="s">
        <v>1350</v>
      </c>
      <c r="B1037" s="2">
        <v>45483</v>
      </c>
      <c r="C1037" t="str" cm="1">
        <f t="array" ref="C10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7">
        <f>YEAR(AllDataCorrected[[#This Row],[Date]])</f>
        <v>2024</v>
      </c>
      <c r="E1037" s="1">
        <v>0.59375</v>
      </c>
      <c r="F10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7" t="str">
        <f>_xlfn.XLOOKUP(AllDataCorrected[[#This Row],[Location Name]], Locations[Location Name],Locations[Group As])</f>
        <v>Alveston Weir</v>
      </c>
      <c r="H1037" t="e" vm="2">
        <f>_xlfn.XLOOKUP(AllDataCorrected[[#This Row],[Site Name]],LocationsKey[Site Name],LocationsKey[District])</f>
        <v>#VALUE!</v>
      </c>
      <c r="I1037" t="e" vm="13">
        <f>_xlfn.XLOOKUP(AllDataCorrected[[#This Row],[Site Name]],LocationsKey[Site Name],LocationsKey[Town])</f>
        <v>#VALUE!</v>
      </c>
      <c r="J1037" t="str">
        <f>_xlfn.XLOOKUP(AllDataCorrected[[#This Row],[Site Name]],LocationsKey[Site Name], LocationsKey[Waterway])</f>
        <v>Avon</v>
      </c>
      <c r="K1037" t="s">
        <v>286</v>
      </c>
      <c r="L1037">
        <f>_xlfn.XLOOKUP(AllDataCorrected[[#This Row],[Site Name]],Tables!$B$12:$B$78, Tables!C$12:C$78)</f>
        <v>52.212366690476216</v>
      </c>
      <c r="M1037">
        <f>_xlfn.XLOOKUP(AllDataCorrected[[#This Row],[Site Name]],Tables!$B$12:$B$78, Tables!D$12:D$78)</f>
        <v>-1.6602567619047619</v>
      </c>
      <c r="N1037" t="s">
        <v>29</v>
      </c>
      <c r="O1037">
        <v>654</v>
      </c>
      <c r="P1037">
        <v>18.600000000000001</v>
      </c>
      <c r="Q1037">
        <v>10</v>
      </c>
      <c r="R10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7">
        <v>0.45</v>
      </c>
      <c r="T10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7">
        <v>0.5</v>
      </c>
      <c r="V1037" t="s">
        <v>1290</v>
      </c>
    </row>
    <row r="1038" spans="1:22" x14ac:dyDescent="0.25">
      <c r="A1038" t="s">
        <v>1351</v>
      </c>
      <c r="B1038" s="2">
        <v>45483</v>
      </c>
      <c r="C1038" t="str" cm="1">
        <f t="array" ref="C10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8">
        <f>YEAR(AllDataCorrected[[#This Row],[Date]])</f>
        <v>2024</v>
      </c>
      <c r="E1038" s="1">
        <v>0.60416666666666663</v>
      </c>
      <c r="F10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8" t="str">
        <f>_xlfn.XLOOKUP(AllDataCorrected[[#This Row],[Location Name]], Locations[Location Name],Locations[Group As])</f>
        <v>Swiffen Bank</v>
      </c>
      <c r="H1038" t="e" vm="2">
        <f>_xlfn.XLOOKUP(AllDataCorrected[[#This Row],[Site Name]],LocationsKey[Site Name],LocationsKey[District])</f>
        <v>#VALUE!</v>
      </c>
      <c r="I1038" t="e" vm="13">
        <f>_xlfn.XLOOKUP(AllDataCorrected[[#This Row],[Site Name]],LocationsKey[Site Name],LocationsKey[Town])</f>
        <v>#VALUE!</v>
      </c>
      <c r="J1038" t="str">
        <f>_xlfn.XLOOKUP(AllDataCorrected[[#This Row],[Site Name]],LocationsKey[Site Name], LocationsKey[Waterway])</f>
        <v>Avon</v>
      </c>
      <c r="K1038" t="s">
        <v>443</v>
      </c>
      <c r="L1038">
        <f>_xlfn.XLOOKUP(AllDataCorrected[[#This Row],[Site Name]],Tables!$B$12:$B$78, Tables!C$12:C$78)</f>
        <v>52.206446825000015</v>
      </c>
      <c r="M1038">
        <f>_xlfn.XLOOKUP(AllDataCorrected[[#This Row],[Site Name]],Tables!$B$12:$B$78, Tables!D$12:D$78)</f>
        <v>-1.6541684000000003</v>
      </c>
      <c r="N1038" t="s">
        <v>29</v>
      </c>
      <c r="O1038">
        <v>653</v>
      </c>
      <c r="P1038">
        <v>19.3</v>
      </c>
      <c r="Q1038">
        <v>10</v>
      </c>
      <c r="R10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8">
        <v>0.51</v>
      </c>
      <c r="T10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8">
        <v>0.5</v>
      </c>
    </row>
    <row r="1039" spans="1:22" x14ac:dyDescent="0.25">
      <c r="A1039" t="s">
        <v>1553</v>
      </c>
      <c r="B1039" s="2">
        <v>45483</v>
      </c>
      <c r="C1039" t="str" cm="1">
        <f t="array" ref="C10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9">
        <f>YEAR(AllDataCorrected[[#This Row],[Date]])</f>
        <v>2024</v>
      </c>
      <c r="E1039" s="1">
        <v>0.75</v>
      </c>
      <c r="F103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39" t="str">
        <f>_xlfn.XLOOKUP(AllDataCorrected[[#This Row],[Location Name]], Locations[Location Name],Locations[Group As])</f>
        <v>Stour Newbold Mill</v>
      </c>
      <c r="H1039" t="e" vm="2">
        <f>_xlfn.XLOOKUP(AllDataCorrected[[#This Row],[Site Name]],LocationsKey[Site Name],LocationsKey[District])</f>
        <v>#VALUE!</v>
      </c>
      <c r="I1039" t="e" vm="8">
        <f>_xlfn.XLOOKUP(AllDataCorrected[[#This Row],[Site Name]],LocationsKey[Site Name],LocationsKey[Town])</f>
        <v>#VALUE!</v>
      </c>
      <c r="J1039" t="str">
        <f>_xlfn.XLOOKUP(AllDataCorrected[[#This Row],[Site Name]],LocationsKey[Site Name], LocationsKey[Waterway])</f>
        <v>Stour</v>
      </c>
      <c r="K1039" t="s">
        <v>140</v>
      </c>
      <c r="L1039">
        <f>_xlfn.XLOOKUP(AllDataCorrected[[#This Row],[Site Name]],Tables!$B$12:$B$78, Tables!C$12:C$78)</f>
        <v>52.113052370370362</v>
      </c>
      <c r="M1039">
        <f>_xlfn.XLOOKUP(AllDataCorrected[[#This Row],[Site Name]],Tables!$B$12:$B$78, Tables!D$12:D$78)</f>
        <v>-1.6333685185185185</v>
      </c>
      <c r="N1039" t="s">
        <v>29</v>
      </c>
      <c r="O1039">
        <v>622</v>
      </c>
      <c r="P1039">
        <v>16.8</v>
      </c>
      <c r="Q1039">
        <v>2</v>
      </c>
      <c r="R1039" t="str">
        <f>IF(AllDataCorrected[[#This Row],[Nitrate (PPM)]]&gt;2, "4. Very high (&gt;2ppm)", IF(AllDataCorrected[[#This Row],[Nitrate (PPM)]]&gt;1, "3. High (1-2ppm)", IF(AllDataCorrected[[#This Row],[Nitrate (PPM)]]&gt;0.5, "2. Some evidence (0.5-1ppm)", IF(AllDataCorrected[[#This Row],[Nitrate (PPM)]]&gt;=0, "1. No evidence (&lt;0.5ppm)"))))</f>
        <v>3. High (1-2ppm)</v>
      </c>
      <c r="S1039">
        <v>0.51</v>
      </c>
      <c r="T10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9">
        <v>2</v>
      </c>
      <c r="V1039" t="s">
        <v>1554</v>
      </c>
    </row>
    <row r="1040" spans="1:22" x14ac:dyDescent="0.25">
      <c r="A1040" t="s">
        <v>1561</v>
      </c>
      <c r="B1040" s="2">
        <v>45484</v>
      </c>
      <c r="C1040" t="str" cm="1">
        <f t="array" ref="C10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0">
        <f>YEAR(AllDataCorrected[[#This Row],[Date]])</f>
        <v>2024</v>
      </c>
      <c r="E1040" s="1">
        <v>0.35416666666666669</v>
      </c>
      <c r="F10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0" t="str">
        <f>_xlfn.XLOOKUP(AllDataCorrected[[#This Row],[Location Name]], Locations[Location Name],Locations[Group As])</f>
        <v>Swilgate</v>
      </c>
      <c r="H1040" t="e" vm="1">
        <f>_xlfn.XLOOKUP(AllDataCorrected[[#This Row],[Site Name]],LocationsKey[Site Name],LocationsKey[District])</f>
        <v>#VALUE!</v>
      </c>
      <c r="I1040" t="e" vm="1">
        <f>_xlfn.XLOOKUP(AllDataCorrected[[#This Row],[Site Name]],LocationsKey[Site Name],LocationsKey[Town])</f>
        <v>#VALUE!</v>
      </c>
      <c r="J1040" t="str">
        <f>_xlfn.XLOOKUP(AllDataCorrected[[#This Row],[Site Name]],LocationsKey[Site Name], LocationsKey[Waterway])</f>
        <v>Swilgate</v>
      </c>
      <c r="K1040" t="s">
        <v>84</v>
      </c>
      <c r="L1040">
        <f>_xlfn.XLOOKUP(AllDataCorrected[[#This Row],[Site Name]],Tables!$B$12:$B$78, Tables!C$12:C$78)</f>
        <v>51.9885442</v>
      </c>
      <c r="M1040">
        <f>_xlfn.XLOOKUP(AllDataCorrected[[#This Row],[Site Name]],Tables!$B$12:$B$78, Tables!D$12:D$78)</f>
        <v>-2.1639010000000001</v>
      </c>
      <c r="N1040" t="s">
        <v>23</v>
      </c>
      <c r="O1040">
        <v>889</v>
      </c>
      <c r="P1040">
        <v>17.2</v>
      </c>
      <c r="Q1040">
        <v>4</v>
      </c>
      <c r="R10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0">
        <v>0.47</v>
      </c>
      <c r="T10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0">
        <v>0</v>
      </c>
    </row>
    <row r="1041" spans="1:22" x14ac:dyDescent="0.25">
      <c r="A1041" t="s">
        <v>1502</v>
      </c>
      <c r="B1041" s="2">
        <v>45484</v>
      </c>
      <c r="C1041" t="str" cm="1">
        <f t="array" ref="C10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1">
        <f>YEAR(AllDataCorrected[[#This Row],[Date]])</f>
        <v>2024</v>
      </c>
      <c r="E1041" s="1">
        <v>0.5</v>
      </c>
      <c r="F10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1" t="str">
        <f>_xlfn.XLOOKUP(AllDataCorrected[[#This Row],[Location Name]], Locations[Location Name],Locations[Group As])</f>
        <v>Stour Willington</v>
      </c>
      <c r="H1041" t="e" vm="2">
        <f>_xlfn.XLOOKUP(AllDataCorrected[[#This Row],[Site Name]],LocationsKey[Site Name],LocationsKey[District])</f>
        <v>#VALUE!</v>
      </c>
      <c r="I1041" t="str">
        <f>_xlfn.XLOOKUP(AllDataCorrected[[#This Row],[Site Name]],LocationsKey[Site Name],LocationsKey[Town])</f>
        <v>Willington</v>
      </c>
      <c r="J1041" t="str">
        <f>_xlfn.XLOOKUP(AllDataCorrected[[#This Row],[Site Name]],LocationsKey[Site Name], LocationsKey[Waterway])</f>
        <v>Stour</v>
      </c>
      <c r="K1041" t="s">
        <v>517</v>
      </c>
      <c r="L1041">
        <f>_xlfn.XLOOKUP(AllDataCorrected[[#This Row],[Site Name]],Tables!$B$12:$B$78, Tables!C$12:C$78)</f>
        <v>52.053154375000005</v>
      </c>
      <c r="M1041">
        <f>_xlfn.XLOOKUP(AllDataCorrected[[#This Row],[Site Name]],Tables!$B$12:$B$78, Tables!D$12:D$78)</f>
        <v>-1.6191991562500001</v>
      </c>
      <c r="N1041" t="s">
        <v>23</v>
      </c>
      <c r="O1041">
        <v>552</v>
      </c>
      <c r="P1041">
        <v>17.600000000000001</v>
      </c>
      <c r="Q1041">
        <v>5</v>
      </c>
      <c r="R10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1">
        <v>0.6</v>
      </c>
      <c r="T10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1">
        <v>0.5</v>
      </c>
    </row>
    <row r="1042" spans="1:22" x14ac:dyDescent="0.25">
      <c r="A1042" t="s">
        <v>1356</v>
      </c>
      <c r="B1042" s="2">
        <v>45485</v>
      </c>
      <c r="C1042" t="str" cm="1">
        <f t="array" ref="C10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2">
        <f>YEAR(AllDataCorrected[[#This Row],[Date]])</f>
        <v>2024</v>
      </c>
      <c r="E1042" s="1">
        <v>0.42708333333333331</v>
      </c>
      <c r="F10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2" t="str">
        <f>_xlfn.XLOOKUP(AllDataCorrected[[#This Row],[Location Name]], Locations[Location Name],Locations[Group As])</f>
        <v>Carrant Bredon Rd</v>
      </c>
      <c r="H1042" t="e" vm="1">
        <f>_xlfn.XLOOKUP(AllDataCorrected[[#This Row],[Site Name]],LocationsKey[Site Name],LocationsKey[District])</f>
        <v>#VALUE!</v>
      </c>
      <c r="I1042" t="e" vm="1">
        <f>_xlfn.XLOOKUP(AllDataCorrected[[#This Row],[Site Name]],LocationsKey[Site Name],LocationsKey[Town])</f>
        <v>#VALUE!</v>
      </c>
      <c r="J1042" t="str">
        <f>_xlfn.XLOOKUP(AllDataCorrected[[#This Row],[Site Name]],LocationsKey[Site Name], LocationsKey[Waterway])</f>
        <v>Carrant</v>
      </c>
      <c r="K1042" t="s">
        <v>600</v>
      </c>
      <c r="L1042">
        <f>_xlfn.XLOOKUP(AllDataCorrected[[#This Row],[Site Name]],Tables!$B$12:$B$78, Tables!C$12:C$78)</f>
        <v>51.996416567567572</v>
      </c>
      <c r="M1042">
        <f>_xlfn.XLOOKUP(AllDataCorrected[[#This Row],[Site Name]],Tables!$B$12:$B$78, Tables!D$12:D$78)</f>
        <v>-2.1556626756756749</v>
      </c>
      <c r="N1042" t="s">
        <v>23</v>
      </c>
      <c r="O1042">
        <v>613</v>
      </c>
      <c r="P1042">
        <v>16.3</v>
      </c>
      <c r="Q1042">
        <v>4</v>
      </c>
      <c r="R104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2">
        <v>0.68</v>
      </c>
      <c r="T10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2">
        <v>0.1</v>
      </c>
    </row>
    <row r="1043" spans="1:22" x14ac:dyDescent="0.25">
      <c r="A1043" t="s">
        <v>1357</v>
      </c>
      <c r="B1043" s="2">
        <v>45485</v>
      </c>
      <c r="C1043" t="str" cm="1">
        <f t="array" ref="C10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3">
        <f>YEAR(AllDataCorrected[[#This Row],[Date]])</f>
        <v>2024</v>
      </c>
      <c r="E1043" s="1">
        <v>0.43263888888888891</v>
      </c>
      <c r="F10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3" t="str">
        <f>_xlfn.XLOOKUP(AllDataCorrected[[#This Row],[Location Name]], Locations[Location Name],Locations[Group As])</f>
        <v>Mill Bridge Peopleton</v>
      </c>
      <c r="H1043" t="e" vm="17">
        <f>_xlfn.XLOOKUP(AllDataCorrected[[#This Row],[Site Name]],LocationsKey[Site Name],LocationsKey[District])</f>
        <v>#VALUE!</v>
      </c>
      <c r="I1043" t="str">
        <f>_xlfn.XLOOKUP(AllDataCorrected[[#This Row],[Site Name]],LocationsKey[Site Name],LocationsKey[Town])</f>
        <v>Peopleton</v>
      </c>
      <c r="J1043" t="str">
        <f>_xlfn.XLOOKUP(AllDataCorrected[[#This Row],[Site Name]],LocationsKey[Site Name], LocationsKey[Waterway])</f>
        <v>Bow Brook</v>
      </c>
      <c r="K1043" t="s">
        <v>1302</v>
      </c>
      <c r="L1043">
        <f>_xlfn.XLOOKUP(AllDataCorrected[[#This Row],[Site Name]],Tables!$B$12:$B$78, Tables!C$12:C$78)</f>
        <v>52.15202992857143</v>
      </c>
      <c r="M1043">
        <f>_xlfn.XLOOKUP(AllDataCorrected[[#This Row],[Site Name]],Tables!$B$12:$B$78, Tables!D$12:D$78)</f>
        <v>-2.0954780000000004</v>
      </c>
      <c r="N1043" t="s">
        <v>29</v>
      </c>
      <c r="O1043">
        <v>1040</v>
      </c>
      <c r="P1043">
        <v>16.5</v>
      </c>
      <c r="Q1043">
        <v>4</v>
      </c>
      <c r="R104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3">
        <v>1.39</v>
      </c>
      <c r="T10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3">
        <v>0.3</v>
      </c>
      <c r="V1043" t="s">
        <v>1358</v>
      </c>
    </row>
    <row r="1044" spans="1:22" x14ac:dyDescent="0.25">
      <c r="A1044" t="s">
        <v>1359</v>
      </c>
      <c r="B1044" s="2">
        <v>45485</v>
      </c>
      <c r="C1044" t="str" cm="1">
        <f t="array" ref="C10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4">
        <f>YEAR(AllDataCorrected[[#This Row],[Date]])</f>
        <v>2024</v>
      </c>
      <c r="E1044" s="1">
        <v>0.76041666666666663</v>
      </c>
      <c r="F104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44" t="str">
        <f>_xlfn.XLOOKUP(AllDataCorrected[[#This Row],[Location Name]], Locations[Location Name],Locations[Group As])</f>
        <v>Carrant Back Lane Beckford</v>
      </c>
      <c r="H1044" t="e" vm="1">
        <f>_xlfn.XLOOKUP(AllDataCorrected[[#This Row],[Site Name]],LocationsKey[Site Name],LocationsKey[District])</f>
        <v>#VALUE!</v>
      </c>
      <c r="I1044" t="str">
        <f>_xlfn.XLOOKUP(AllDataCorrected[[#This Row],[Site Name]],LocationsKey[Site Name],LocationsKey[Town])</f>
        <v>Beckford</v>
      </c>
      <c r="J1044" t="str">
        <f>_xlfn.XLOOKUP(AllDataCorrected[[#This Row],[Site Name]],LocationsKey[Site Name], LocationsKey[Waterway])</f>
        <v>Carrant</v>
      </c>
      <c r="K1044" t="s">
        <v>1307</v>
      </c>
      <c r="L1044">
        <f>_xlfn.XLOOKUP(AllDataCorrected[[#This Row],[Site Name]],Tables!$B$12:$B$78, Tables!C$12:C$78)</f>
        <v>52.017659444444448</v>
      </c>
      <c r="M1044">
        <f>_xlfn.XLOOKUP(AllDataCorrected[[#This Row],[Site Name]],Tables!$B$12:$B$78, Tables!D$12:D$78)</f>
        <v>-2.0390003333333335</v>
      </c>
      <c r="N1044" t="s">
        <v>66</v>
      </c>
      <c r="O1044">
        <v>772</v>
      </c>
      <c r="P1044">
        <v>16.5</v>
      </c>
      <c r="Q1044">
        <v>6</v>
      </c>
      <c r="R10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4">
        <v>0.49</v>
      </c>
      <c r="T10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4">
        <v>0.2</v>
      </c>
    </row>
    <row r="1045" spans="1:22" x14ac:dyDescent="0.25">
      <c r="A1045" t="s">
        <v>1363</v>
      </c>
      <c r="B1045" s="2">
        <v>45486</v>
      </c>
      <c r="C1045" t="str" cm="1">
        <f t="array" ref="C10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5">
        <f>YEAR(AllDataCorrected[[#This Row],[Date]])</f>
        <v>2024</v>
      </c>
      <c r="E1045" s="1">
        <v>0.41666666666666669</v>
      </c>
      <c r="F10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5" t="str">
        <f>_xlfn.XLOOKUP(AllDataCorrected[[#This Row],[Location Name]], Locations[Location Name],Locations[Group As])</f>
        <v>Avon Smiths Meadow Wyre Piddle</v>
      </c>
      <c r="H1045" t="e" vm="17">
        <f>_xlfn.XLOOKUP(AllDataCorrected[[#This Row],[Site Name]],LocationsKey[Site Name],LocationsKey[District])</f>
        <v>#VALUE!</v>
      </c>
      <c r="I1045" t="e" vm="20">
        <f>_xlfn.XLOOKUP(AllDataCorrected[[#This Row],[Site Name]],LocationsKey[Site Name],LocationsKey[Town])</f>
        <v>#VALUE!</v>
      </c>
      <c r="J1045" t="str">
        <f>_xlfn.XLOOKUP(AllDataCorrected[[#This Row],[Site Name]],LocationsKey[Site Name], LocationsKey[Waterway])</f>
        <v>Avon</v>
      </c>
      <c r="K1045" t="s">
        <v>741</v>
      </c>
      <c r="L1045">
        <f>_xlfn.XLOOKUP(AllDataCorrected[[#This Row],[Site Name]],Tables!$B$12:$B$78, Tables!C$12:C$78)</f>
        <v>52.123045961538452</v>
      </c>
      <c r="M1045">
        <f>_xlfn.XLOOKUP(AllDataCorrected[[#This Row],[Site Name]],Tables!$B$12:$B$78, Tables!D$12:D$78)</f>
        <v>-2.0572161923076919</v>
      </c>
      <c r="N1045" t="s">
        <v>23</v>
      </c>
      <c r="O1045">
        <v>835</v>
      </c>
      <c r="P1045">
        <v>13.8</v>
      </c>
      <c r="Q1045">
        <v>10</v>
      </c>
      <c r="R104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5">
        <v>0.86</v>
      </c>
      <c r="T10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5">
        <v>0.59</v>
      </c>
      <c r="V1045" t="s">
        <v>1364</v>
      </c>
    </row>
    <row r="1046" spans="1:22" x14ac:dyDescent="0.25">
      <c r="A1046" t="s">
        <v>1361</v>
      </c>
      <c r="B1046" s="2">
        <v>45486</v>
      </c>
      <c r="C1046" t="str" cm="1">
        <f t="array" ref="C10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6">
        <f>YEAR(AllDataCorrected[[#This Row],[Date]])</f>
        <v>2024</v>
      </c>
      <c r="E1046" s="1">
        <v>0.4375</v>
      </c>
      <c r="F10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6" t="str">
        <f>_xlfn.XLOOKUP(AllDataCorrected[[#This Row],[Location Name]], Locations[Location Name],Locations[Group As])</f>
        <v>Piddle Brook Wyre Piddle Bridge</v>
      </c>
      <c r="H1046" t="e" vm="17">
        <f>_xlfn.XLOOKUP(AllDataCorrected[[#This Row],[Site Name]],LocationsKey[Site Name],LocationsKey[District])</f>
        <v>#VALUE!</v>
      </c>
      <c r="I1046" t="e" vm="20">
        <f>_xlfn.XLOOKUP(AllDataCorrected[[#This Row],[Site Name]],LocationsKey[Site Name],LocationsKey[Town])</f>
        <v>#VALUE!</v>
      </c>
      <c r="J1046" t="str">
        <f>_xlfn.XLOOKUP(AllDataCorrected[[#This Row],[Site Name]],LocationsKey[Site Name], LocationsKey[Waterway])</f>
        <v>Piddle Brook</v>
      </c>
      <c r="K1046" t="s">
        <v>744</v>
      </c>
      <c r="L1046">
        <f>_xlfn.XLOOKUP(AllDataCorrected[[#This Row],[Site Name]],Tables!$B$12:$B$78, Tables!C$12:C$78)</f>
        <v>52.126401720000004</v>
      </c>
      <c r="M1046">
        <f>_xlfn.XLOOKUP(AllDataCorrected[[#This Row],[Site Name]],Tables!$B$12:$B$78, Tables!D$12:D$78)</f>
        <v>-2.0565162000000003</v>
      </c>
      <c r="N1046" t="s">
        <v>23</v>
      </c>
      <c r="O1046">
        <v>1480</v>
      </c>
      <c r="P1046">
        <v>15.7</v>
      </c>
      <c r="Q1046">
        <v>10</v>
      </c>
      <c r="R10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6">
        <v>1.18</v>
      </c>
      <c r="T10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6">
        <v>0.17</v>
      </c>
      <c r="V1046" t="s">
        <v>1362</v>
      </c>
    </row>
    <row r="1047" spans="1:22" x14ac:dyDescent="0.25">
      <c r="A1047" t="s">
        <v>1365</v>
      </c>
      <c r="B1047" s="2">
        <v>45486</v>
      </c>
      <c r="C1047" t="str" cm="1">
        <f t="array" ref="C10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7">
        <f>YEAR(AllDataCorrected[[#This Row],[Date]])</f>
        <v>2024</v>
      </c>
      <c r="E1047" s="1">
        <v>0.50624999999999998</v>
      </c>
      <c r="F10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7" t="str">
        <f>_xlfn.XLOOKUP(AllDataCorrected[[#This Row],[Location Name]], Locations[Location Name],Locations[Group As])</f>
        <v>Lower Lode</v>
      </c>
      <c r="H1047" t="e" vm="1">
        <f>_xlfn.XLOOKUP(AllDataCorrected[[#This Row],[Site Name]],LocationsKey[Site Name],LocationsKey[District])</f>
        <v>#VALUE!</v>
      </c>
      <c r="I1047" t="e" vm="1">
        <f>_xlfn.XLOOKUP(AllDataCorrected[[#This Row],[Site Name]],LocationsKey[Site Name],LocationsKey[Town])</f>
        <v>#VALUE!</v>
      </c>
      <c r="J1047" t="str">
        <f>_xlfn.XLOOKUP(AllDataCorrected[[#This Row],[Site Name]],LocationsKey[Site Name], LocationsKey[Waterway])</f>
        <v>Avon</v>
      </c>
      <c r="K1047" t="s">
        <v>592</v>
      </c>
      <c r="L1047">
        <f>_xlfn.XLOOKUP(AllDataCorrected[[#This Row],[Site Name]],Tables!$B$12:$B$78, Tables!C$12:C$78)</f>
        <v>51.984954782608689</v>
      </c>
      <c r="M1047">
        <f>_xlfn.XLOOKUP(AllDataCorrected[[#This Row],[Site Name]],Tables!$B$12:$B$78, Tables!D$12:D$78)</f>
        <v>-2.1744283478260868</v>
      </c>
      <c r="N1047" t="s">
        <v>29</v>
      </c>
      <c r="O1047">
        <v>8740</v>
      </c>
      <c r="P1047">
        <v>18.7</v>
      </c>
      <c r="Q1047">
        <v>10</v>
      </c>
      <c r="R104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7">
        <v>2.19</v>
      </c>
      <c r="T10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7">
        <v>0</v>
      </c>
      <c r="V1047" t="s">
        <v>1366</v>
      </c>
    </row>
    <row r="1048" spans="1:22" x14ac:dyDescent="0.25">
      <c r="A1048" t="s">
        <v>1360</v>
      </c>
      <c r="B1048" s="2">
        <v>45486</v>
      </c>
      <c r="C1048" t="str" cm="1">
        <f t="array" ref="C10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8">
        <f>YEAR(AllDataCorrected[[#This Row],[Date]])</f>
        <v>2024</v>
      </c>
      <c r="E1048" s="1">
        <v>0.52152777777777781</v>
      </c>
      <c r="F10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8" t="str">
        <f>_xlfn.XLOOKUP(AllDataCorrected[[#This Row],[Location Name]], Locations[Location Name],Locations[Group As])</f>
        <v>The Ford, Langley</v>
      </c>
      <c r="H1048" t="e" vm="2">
        <f>_xlfn.XLOOKUP(AllDataCorrected[[#This Row],[Site Name]],LocationsKey[Site Name],LocationsKey[District])</f>
        <v>#VALUE!</v>
      </c>
      <c r="I1048" t="str">
        <f>_xlfn.XLOOKUP(AllDataCorrected[[#This Row],[Site Name]],LocationsKey[Site Name],LocationsKey[Town])</f>
        <v>Langley</v>
      </c>
      <c r="J1048" t="str">
        <f>_xlfn.XLOOKUP(AllDataCorrected[[#This Row],[Site Name]],LocationsKey[Site Name], LocationsKey[Waterway])</f>
        <v>Langley Ford</v>
      </c>
      <c r="K1048" t="s">
        <v>557</v>
      </c>
      <c r="L1048">
        <f>_xlfn.XLOOKUP(AllDataCorrected[[#This Row],[Site Name]],Tables!$B$12:$B$78, Tables!C$12:C$78)</f>
        <v>52.261724821428579</v>
      </c>
      <c r="M1048">
        <f>_xlfn.XLOOKUP(AllDataCorrected[[#This Row],[Site Name]],Tables!$B$12:$B$78, Tables!D$12:D$78)</f>
        <v>-1.719408857142857</v>
      </c>
      <c r="N1048" t="s">
        <v>29</v>
      </c>
      <c r="O1048">
        <v>847</v>
      </c>
      <c r="P1048">
        <v>14.8</v>
      </c>
      <c r="Q1048">
        <v>5</v>
      </c>
      <c r="R104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8">
        <v>0.55000000000000004</v>
      </c>
      <c r="T10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8">
        <v>0.1</v>
      </c>
    </row>
    <row r="1049" spans="1:22" x14ac:dyDescent="0.25">
      <c r="A1049" t="s">
        <v>1696</v>
      </c>
      <c r="B1049" s="2">
        <v>45487</v>
      </c>
      <c r="C1049" t="str" cm="1">
        <f t="array" ref="C10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9">
        <f>YEAR(AllDataCorrected[[#This Row],[Date]])</f>
        <v>2024</v>
      </c>
      <c r="E1049" s="1">
        <v>0.41666666666666669</v>
      </c>
      <c r="F10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9" t="str">
        <f>_xlfn.XLOOKUP(AllDataCorrected[[#This Row],[Location Name]], Locations[Location Name],Locations[Group As])</f>
        <v>Sherbourne Brook 1</v>
      </c>
      <c r="H1049" t="e" vm="2">
        <f>_xlfn.XLOOKUP(AllDataCorrected[[#This Row],[Site Name]],LocationsKey[Site Name],LocationsKey[District])</f>
        <v>#VALUE!</v>
      </c>
      <c r="I1049" t="e" vm="16">
        <f>_xlfn.XLOOKUP(AllDataCorrected[[#This Row],[Site Name]],LocationsKey[Site Name],LocationsKey[Town])</f>
        <v>#VALUE!</v>
      </c>
      <c r="J1049" t="str">
        <f>_xlfn.XLOOKUP(AllDataCorrected[[#This Row],[Site Name]],LocationsKey[Site Name], LocationsKey[Waterway])</f>
        <v>Sherbourne Brook</v>
      </c>
      <c r="K1049" t="s">
        <v>570</v>
      </c>
      <c r="L1049">
        <f>_xlfn.XLOOKUP(AllDataCorrected[[#This Row],[Site Name]],Tables!$B$12:$B$78, Tables!C$12:C$78)</f>
        <v>52.252500000000033</v>
      </c>
      <c r="M1049">
        <f>_xlfn.XLOOKUP(AllDataCorrected[[#This Row],[Site Name]],Tables!$B$12:$B$78, Tables!D$12:D$78)</f>
        <v>-1.6685000000000012</v>
      </c>
      <c r="N1049" t="s">
        <v>23</v>
      </c>
      <c r="O1049">
        <v>1120</v>
      </c>
      <c r="P1049">
        <v>16.100000000000001</v>
      </c>
      <c r="Q1049">
        <v>10</v>
      </c>
      <c r="R104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9">
        <v>0.42</v>
      </c>
      <c r="T10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9">
        <v>0.15</v>
      </c>
    </row>
    <row r="1050" spans="1:22" x14ac:dyDescent="0.25">
      <c r="A1050" t="s">
        <v>1695</v>
      </c>
      <c r="B1050" s="2">
        <v>45487</v>
      </c>
      <c r="C1050" t="str" cm="1">
        <f t="array" ref="C10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0">
        <f>YEAR(AllDataCorrected[[#This Row],[Date]])</f>
        <v>2024</v>
      </c>
      <c r="E1050" s="1">
        <v>0.42708333333333331</v>
      </c>
      <c r="F10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0" t="str">
        <f>_xlfn.XLOOKUP(AllDataCorrected[[#This Row],[Location Name]], Locations[Location Name],Locations[Group As])</f>
        <v>Bell Brook 1</v>
      </c>
      <c r="H1050" t="e" vm="2">
        <f>_xlfn.XLOOKUP(AllDataCorrected[[#This Row],[Site Name]],LocationsKey[Site Name],LocationsKey[District])</f>
        <v>#VALUE!</v>
      </c>
      <c r="I1050" t="e" vm="15">
        <f>_xlfn.XLOOKUP(AllDataCorrected[[#This Row],[Site Name]],LocationsKey[Site Name],LocationsKey[Town])</f>
        <v>#VALUE!</v>
      </c>
      <c r="J1050" t="str">
        <f>_xlfn.XLOOKUP(AllDataCorrected[[#This Row],[Site Name]],LocationsKey[Site Name], LocationsKey[Waterway])</f>
        <v>Bell Brook</v>
      </c>
      <c r="K1050" t="s">
        <v>534</v>
      </c>
      <c r="L1050">
        <f>_xlfn.XLOOKUP(AllDataCorrected[[#This Row],[Site Name]],Tables!$B$12:$B$78, Tables!C$12:C$78)</f>
        <v>52.24489999999998</v>
      </c>
      <c r="M1050">
        <f>_xlfn.XLOOKUP(AllDataCorrected[[#This Row],[Site Name]],Tables!$B$12:$B$78, Tables!D$12:D$78)</f>
        <v>-1.6617000000000013</v>
      </c>
      <c r="N1050" t="s">
        <v>23</v>
      </c>
      <c r="O1050">
        <v>878</v>
      </c>
      <c r="P1050">
        <v>17.8</v>
      </c>
      <c r="Q1050">
        <v>7</v>
      </c>
      <c r="R10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0">
        <v>0.53</v>
      </c>
      <c r="T10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0">
        <v>0.15</v>
      </c>
    </row>
    <row r="1051" spans="1:22" x14ac:dyDescent="0.25">
      <c r="A1051" t="s">
        <v>1560</v>
      </c>
      <c r="B1051" s="2">
        <v>45487</v>
      </c>
      <c r="C1051" t="str" cm="1">
        <f t="array" ref="C10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1">
        <f>YEAR(AllDataCorrected[[#This Row],[Date]])</f>
        <v>2024</v>
      </c>
      <c r="E1051" s="1">
        <v>0.69861111111111107</v>
      </c>
      <c r="F10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1" t="str">
        <f>_xlfn.XLOOKUP(AllDataCorrected[[#This Row],[Location Name]], Locations[Location Name],Locations[Group As])</f>
        <v>Black Bear</v>
      </c>
      <c r="H1051" t="e" vm="1">
        <f>_xlfn.XLOOKUP(AllDataCorrected[[#This Row],[Site Name]],LocationsKey[Site Name],LocationsKey[District])</f>
        <v>#VALUE!</v>
      </c>
      <c r="I1051" t="e" vm="1">
        <f>_xlfn.XLOOKUP(AllDataCorrected[[#This Row],[Site Name]],LocationsKey[Site Name],LocationsKey[Town])</f>
        <v>#VALUE!</v>
      </c>
      <c r="J1051" t="str">
        <f>_xlfn.XLOOKUP(AllDataCorrected[[#This Row],[Site Name]],LocationsKey[Site Name], LocationsKey[Waterway])</f>
        <v>Avon</v>
      </c>
      <c r="K1051" t="s">
        <v>1045</v>
      </c>
      <c r="L1051">
        <f>_xlfn.XLOOKUP(AllDataCorrected[[#This Row],[Site Name]],Tables!$B$12:$B$78, Tables!C$12:C$78)</f>
        <v>51.997435214285723</v>
      </c>
      <c r="M1051">
        <f>_xlfn.XLOOKUP(AllDataCorrected[[#This Row],[Site Name]],Tables!$B$12:$B$78, Tables!D$12:D$78)</f>
        <v>-2.1562056785714288</v>
      </c>
      <c r="N1051" t="s">
        <v>23</v>
      </c>
      <c r="O1051">
        <v>860</v>
      </c>
      <c r="P1051">
        <v>20.5</v>
      </c>
      <c r="Q1051">
        <v>10</v>
      </c>
      <c r="R10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1">
        <v>0.46</v>
      </c>
      <c r="T10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1">
        <v>0</v>
      </c>
    </row>
    <row r="1052" spans="1:22" x14ac:dyDescent="0.25">
      <c r="A1052" t="s">
        <v>1676</v>
      </c>
      <c r="B1052" s="2">
        <v>45531</v>
      </c>
      <c r="C1052" t="str" cm="1">
        <f t="array" ref="C10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2">
        <f>YEAR(AllDataCorrected[[#This Row],[Date]])</f>
        <v>2024</v>
      </c>
      <c r="E1052" s="1">
        <v>0.46111111111111114</v>
      </c>
      <c r="F10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2" t="str">
        <f>_xlfn.XLOOKUP(AllDataCorrected[[#This Row],[Location Name]], Locations[Location Name],Locations[Group As])</f>
        <v>Chipping Campden Craves</v>
      </c>
      <c r="H1052" t="e" vm="23">
        <f>_xlfn.XLOOKUP(AllDataCorrected[[#This Row],[Site Name]],LocationsKey[Site Name],LocationsKey[District])</f>
        <v>#VALUE!</v>
      </c>
      <c r="I1052" t="e" vm="24">
        <f>_xlfn.XLOOKUP(AllDataCorrected[[#This Row],[Site Name]],LocationsKey[Site Name],LocationsKey[Town])</f>
        <v>#VALUE!</v>
      </c>
      <c r="J1052" t="str">
        <f>_xlfn.XLOOKUP(AllDataCorrected[[#This Row],[Site Name]],LocationsKey[Site Name], LocationsKey[Waterway])</f>
        <v>Cam Brook</v>
      </c>
      <c r="K1052" t="s">
        <v>1862</v>
      </c>
      <c r="L1052">
        <f>_xlfn.XLOOKUP(AllDataCorrected[[#This Row],[Site Name]],Tables!$B$12:$B$78, Tables!C$12:C$78)</f>
        <v>52.048665</v>
      </c>
      <c r="M1052">
        <f>_xlfn.XLOOKUP(AllDataCorrected[[#This Row],[Site Name]],Tables!$B$12:$B$78, Tables!D$12:D$78)</f>
        <v>-1.7862663333333331</v>
      </c>
      <c r="N1052" t="s">
        <v>66</v>
      </c>
      <c r="O1052">
        <v>691</v>
      </c>
      <c r="P1052">
        <v>16.8</v>
      </c>
      <c r="Q1052">
        <v>5</v>
      </c>
      <c r="R105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2">
        <v>0.64</v>
      </c>
      <c r="T10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2">
        <v>0</v>
      </c>
    </row>
    <row r="1053" spans="1:22" x14ac:dyDescent="0.25">
      <c r="A1053" t="s">
        <v>1679</v>
      </c>
      <c r="B1053" s="2">
        <v>45537</v>
      </c>
      <c r="C1053" t="str" cm="1">
        <f t="array" ref="C10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53">
        <f>YEAR(AllDataCorrected[[#This Row],[Date]])</f>
        <v>2024</v>
      </c>
      <c r="E1053" s="1">
        <v>0.45833333333333331</v>
      </c>
      <c r="F10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3" t="str">
        <f>_xlfn.XLOOKUP(AllDataCorrected[[#This Row],[Location Name]], Locations[Location Name],Locations[Group As])</f>
        <v>Chipping Campden Craves</v>
      </c>
      <c r="H1053" t="e" vm="23">
        <f>_xlfn.XLOOKUP(AllDataCorrected[[#This Row],[Site Name]],LocationsKey[Site Name],LocationsKey[District])</f>
        <v>#VALUE!</v>
      </c>
      <c r="I1053" t="e" vm="24">
        <f>_xlfn.XLOOKUP(AllDataCorrected[[#This Row],[Site Name]],LocationsKey[Site Name],LocationsKey[Town])</f>
        <v>#VALUE!</v>
      </c>
      <c r="J1053" t="str">
        <f>_xlfn.XLOOKUP(AllDataCorrected[[#This Row],[Site Name]],LocationsKey[Site Name], LocationsKey[Waterway])</f>
        <v>Cam Brook</v>
      </c>
      <c r="K1053" t="s">
        <v>1857</v>
      </c>
      <c r="L1053">
        <f>_xlfn.XLOOKUP(AllDataCorrected[[#This Row],[Site Name]],Tables!$B$12:$B$78, Tables!C$12:C$78)</f>
        <v>52.048665</v>
      </c>
      <c r="M1053">
        <f>_xlfn.XLOOKUP(AllDataCorrected[[#This Row],[Site Name]],Tables!$B$12:$B$78, Tables!D$12:D$78)</f>
        <v>-1.7862663333333331</v>
      </c>
      <c r="N1053" t="s">
        <v>66</v>
      </c>
      <c r="O1053">
        <v>442</v>
      </c>
      <c r="P1053">
        <v>20</v>
      </c>
      <c r="Q1053">
        <v>5</v>
      </c>
      <c r="R105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3">
        <v>0.83</v>
      </c>
      <c r="T10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3">
        <v>6.5</v>
      </c>
    </row>
    <row r="1054" spans="1:22" x14ac:dyDescent="0.25">
      <c r="A1054" t="s">
        <v>1559</v>
      </c>
      <c r="B1054" s="2">
        <v>45489</v>
      </c>
      <c r="C1054" t="str" cm="1">
        <f t="array" ref="C10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4">
        <f>YEAR(AllDataCorrected[[#This Row],[Date]])</f>
        <v>2024</v>
      </c>
      <c r="E1054" s="1">
        <v>0.60486111111111107</v>
      </c>
      <c r="F10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4" t="str">
        <f>_xlfn.XLOOKUP(AllDataCorrected[[#This Row],[Location Name]], Locations[Location Name],Locations[Group As])</f>
        <v>Carrant M5 Bridge</v>
      </c>
      <c r="H1054" t="e" vm="1">
        <f>_xlfn.XLOOKUP(AllDataCorrected[[#This Row],[Site Name]],LocationsKey[Site Name],LocationsKey[District])</f>
        <v>#VALUE!</v>
      </c>
      <c r="I1054" t="e" vm="1">
        <f>_xlfn.XLOOKUP(AllDataCorrected[[#This Row],[Site Name]],LocationsKey[Site Name],LocationsKey[Town])</f>
        <v>#VALUE!</v>
      </c>
      <c r="J1054" t="str">
        <f>_xlfn.XLOOKUP(AllDataCorrected[[#This Row],[Site Name]],LocationsKey[Site Name], LocationsKey[Waterway])</f>
        <v>Carrant</v>
      </c>
      <c r="K1054" t="s">
        <v>960</v>
      </c>
      <c r="L1054">
        <f>_xlfn.XLOOKUP(AllDataCorrected[[#This Row],[Site Name]],Tables!$B$12:$B$78, Tables!C$12:C$78)</f>
        <v>52.011600000000001</v>
      </c>
      <c r="M1054">
        <f>_xlfn.XLOOKUP(AllDataCorrected[[#This Row],[Site Name]],Tables!$B$12:$B$78, Tables!D$12:D$78)</f>
        <v>-2.1206</v>
      </c>
      <c r="N1054" t="s">
        <v>23</v>
      </c>
      <c r="O1054">
        <v>742</v>
      </c>
      <c r="P1054">
        <v>17.2</v>
      </c>
      <c r="Q1054">
        <v>7</v>
      </c>
      <c r="R10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4">
        <v>0.88</v>
      </c>
      <c r="T10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4">
        <v>0</v>
      </c>
    </row>
    <row r="1055" spans="1:22" x14ac:dyDescent="0.25">
      <c r="A1055" t="s">
        <v>1558</v>
      </c>
      <c r="B1055" s="2">
        <v>45490</v>
      </c>
      <c r="C1055" t="str" cm="1">
        <f t="array" ref="C10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5">
        <f>YEAR(AllDataCorrected[[#This Row],[Date]])</f>
        <v>2024</v>
      </c>
      <c r="E1055" s="1">
        <v>0.44791666666666669</v>
      </c>
      <c r="F10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5" t="str">
        <f>_xlfn.XLOOKUP(AllDataCorrected[[#This Row],[Location Name]], Locations[Location Name],Locations[Group As])</f>
        <v>Carrant Mitton Path</v>
      </c>
      <c r="H1055" t="e" vm="1">
        <f>_xlfn.XLOOKUP(AllDataCorrected[[#This Row],[Site Name]],LocationsKey[Site Name],LocationsKey[District])</f>
        <v>#VALUE!</v>
      </c>
      <c r="I1055" t="e" vm="1">
        <f>_xlfn.XLOOKUP(AllDataCorrected[[#This Row],[Site Name]],LocationsKey[Site Name],LocationsKey[Town])</f>
        <v>#VALUE!</v>
      </c>
      <c r="J1055" t="str">
        <f>_xlfn.XLOOKUP(AllDataCorrected[[#This Row],[Site Name]],LocationsKey[Site Name], LocationsKey[Waterway])</f>
        <v>Carrant</v>
      </c>
      <c r="K1055" t="s">
        <v>958</v>
      </c>
      <c r="L1055">
        <f>_xlfn.XLOOKUP(AllDataCorrected[[#This Row],[Site Name]],Tables!$B$12:$B$78, Tables!C$12:C$78)</f>
        <v>51.999946066666674</v>
      </c>
      <c r="M1055">
        <f>_xlfn.XLOOKUP(AllDataCorrected[[#This Row],[Site Name]],Tables!$B$12:$B$78, Tables!D$12:D$78)</f>
        <v>-2.1414862000000006</v>
      </c>
      <c r="N1055" t="s">
        <v>23</v>
      </c>
      <c r="O1055">
        <v>662</v>
      </c>
      <c r="P1055">
        <v>17.8</v>
      </c>
      <c r="Q1055">
        <v>5</v>
      </c>
      <c r="R10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5">
        <v>0.71</v>
      </c>
      <c r="T10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5">
        <v>0</v>
      </c>
    </row>
    <row r="1056" spans="1:22" x14ac:dyDescent="0.25">
      <c r="A1056" t="s">
        <v>1556</v>
      </c>
      <c r="B1056" s="2">
        <v>45490</v>
      </c>
      <c r="C1056" t="str" cm="1">
        <f t="array" ref="C10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6">
        <f>YEAR(AllDataCorrected[[#This Row],[Date]])</f>
        <v>2024</v>
      </c>
      <c r="E1056" s="1">
        <v>0.61250000000000004</v>
      </c>
      <c r="F10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6" t="str">
        <f>_xlfn.XLOOKUP(AllDataCorrected[[#This Row],[Location Name]], Locations[Location Name],Locations[Group As])</f>
        <v>Alveston Weir</v>
      </c>
      <c r="H1056" t="e" vm="2">
        <f>_xlfn.XLOOKUP(AllDataCorrected[[#This Row],[Site Name]],LocationsKey[Site Name],LocationsKey[District])</f>
        <v>#VALUE!</v>
      </c>
      <c r="I1056" t="e" vm="13">
        <f>_xlfn.XLOOKUP(AllDataCorrected[[#This Row],[Site Name]],LocationsKey[Site Name],LocationsKey[Town])</f>
        <v>#VALUE!</v>
      </c>
      <c r="J1056" t="str">
        <f>_xlfn.XLOOKUP(AllDataCorrected[[#This Row],[Site Name]],LocationsKey[Site Name], LocationsKey[Waterway])</f>
        <v>Avon</v>
      </c>
      <c r="K1056" t="s">
        <v>286</v>
      </c>
      <c r="L1056">
        <f>_xlfn.XLOOKUP(AllDataCorrected[[#This Row],[Site Name]],Tables!$B$12:$B$78, Tables!C$12:C$78)</f>
        <v>52.212366690476216</v>
      </c>
      <c r="M1056">
        <f>_xlfn.XLOOKUP(AllDataCorrected[[#This Row],[Site Name]],Tables!$B$12:$B$78, Tables!D$12:D$78)</f>
        <v>-1.6602567619047619</v>
      </c>
      <c r="N1056" t="s">
        <v>29</v>
      </c>
      <c r="O1056">
        <v>689</v>
      </c>
      <c r="P1056">
        <v>19</v>
      </c>
      <c r="Q1056">
        <v>10</v>
      </c>
      <c r="R10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6">
        <v>0.46</v>
      </c>
      <c r="T10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6">
        <v>0</v>
      </c>
    </row>
    <row r="1057" spans="1:22" x14ac:dyDescent="0.25">
      <c r="A1057" t="s">
        <v>1555</v>
      </c>
      <c r="B1057" s="2">
        <v>45490</v>
      </c>
      <c r="C1057" t="str" cm="1">
        <f t="array" ref="C10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7">
        <f>YEAR(AllDataCorrected[[#This Row],[Date]])</f>
        <v>2024</v>
      </c>
      <c r="E1057" s="1">
        <v>0.78055555555555556</v>
      </c>
      <c r="F105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57" t="str">
        <f>_xlfn.XLOOKUP(AllDataCorrected[[#This Row],[Location Name]], Locations[Location Name],Locations[Group As])</f>
        <v>Bredon Marina</v>
      </c>
      <c r="H1057" t="e" vm="1">
        <f>_xlfn.XLOOKUP(AllDataCorrected[[#This Row],[Site Name]],LocationsKey[Site Name],LocationsKey[District])</f>
        <v>#VALUE!</v>
      </c>
      <c r="I1057" t="e" vm="25">
        <f>_xlfn.XLOOKUP(AllDataCorrected[[#This Row],[Site Name]],LocationsKey[Site Name],LocationsKey[Town])</f>
        <v>#VALUE!</v>
      </c>
      <c r="J1057" t="str">
        <f>_xlfn.XLOOKUP(AllDataCorrected[[#This Row],[Site Name]],LocationsKey[Site Name], LocationsKey[Waterway])</f>
        <v>Avon</v>
      </c>
      <c r="K1057" t="s">
        <v>1500</v>
      </c>
      <c r="L1057">
        <f>_xlfn.XLOOKUP(AllDataCorrected[[#This Row],[Site Name]],Tables!$B$12:$B$78, Tables!C$12:C$78)</f>
        <v>52.032660333333332</v>
      </c>
      <c r="M1057">
        <f>_xlfn.XLOOKUP(AllDataCorrected[[#This Row],[Site Name]],Tables!$B$12:$B$78, Tables!D$12:D$78)</f>
        <v>-2.1157033333333337</v>
      </c>
      <c r="N1057" t="s">
        <v>29</v>
      </c>
      <c r="O1057">
        <v>829</v>
      </c>
      <c r="P1057">
        <v>20</v>
      </c>
      <c r="Q1057">
        <v>1</v>
      </c>
      <c r="R105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57">
        <v>0.83</v>
      </c>
      <c r="T10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7">
        <v>0</v>
      </c>
    </row>
    <row r="1058" spans="1:22" x14ac:dyDescent="0.25">
      <c r="A1058" t="s">
        <v>1501</v>
      </c>
      <c r="B1058" s="2">
        <v>45491</v>
      </c>
      <c r="C1058" t="str" cm="1">
        <f t="array" ref="C10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8">
        <f>YEAR(AllDataCorrected[[#This Row],[Date]])</f>
        <v>2024</v>
      </c>
      <c r="E1058" s="1">
        <v>0.4375</v>
      </c>
      <c r="F10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8" t="str">
        <f>_xlfn.XLOOKUP(AllDataCorrected[[#This Row],[Location Name]], Locations[Location Name],Locations[Group As])</f>
        <v>Stour Willington</v>
      </c>
      <c r="H1058" t="e" vm="2">
        <f>_xlfn.XLOOKUP(AllDataCorrected[[#This Row],[Site Name]],LocationsKey[Site Name],LocationsKey[District])</f>
        <v>#VALUE!</v>
      </c>
      <c r="I1058" t="str">
        <f>_xlfn.XLOOKUP(AllDataCorrected[[#This Row],[Site Name]],LocationsKey[Site Name],LocationsKey[Town])</f>
        <v>Willington</v>
      </c>
      <c r="J1058" t="str">
        <f>_xlfn.XLOOKUP(AllDataCorrected[[#This Row],[Site Name]],LocationsKey[Site Name], LocationsKey[Waterway])</f>
        <v>Stour</v>
      </c>
      <c r="K1058" t="s">
        <v>517</v>
      </c>
      <c r="L1058">
        <f>_xlfn.XLOOKUP(AllDataCorrected[[#This Row],[Site Name]],Tables!$B$12:$B$78, Tables!C$12:C$78)</f>
        <v>52.053154375000005</v>
      </c>
      <c r="M1058">
        <f>_xlfn.XLOOKUP(AllDataCorrected[[#This Row],[Site Name]],Tables!$B$12:$B$78, Tables!D$12:D$78)</f>
        <v>-1.6191991562500001</v>
      </c>
      <c r="N1058" t="s">
        <v>23</v>
      </c>
      <c r="O1058">
        <v>625</v>
      </c>
      <c r="P1058">
        <v>16</v>
      </c>
      <c r="Q1058">
        <v>2</v>
      </c>
      <c r="R1058" t="str">
        <f>IF(AllDataCorrected[[#This Row],[Nitrate (PPM)]]&gt;2, "4. Very high (&gt;2ppm)", IF(AllDataCorrected[[#This Row],[Nitrate (PPM)]]&gt;1, "3. High (1-2ppm)", IF(AllDataCorrected[[#This Row],[Nitrate (PPM)]]&gt;0.5, "2. Some evidence (0.5-1ppm)", IF(AllDataCorrected[[#This Row],[Nitrate (PPM)]]&gt;=0, "1. No evidence (&lt;0.5ppm)"))))</f>
        <v>3. High (1-2ppm)</v>
      </c>
      <c r="S1058">
        <v>0.41</v>
      </c>
      <c r="T10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8">
        <v>0.5</v>
      </c>
    </row>
    <row r="1059" spans="1:22" x14ac:dyDescent="0.25">
      <c r="A1059" t="s">
        <v>1551</v>
      </c>
      <c r="B1059" s="2">
        <v>45491</v>
      </c>
      <c r="C1059" t="str" cm="1">
        <f t="array" ref="C10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9">
        <f>YEAR(AllDataCorrected[[#This Row],[Date]])</f>
        <v>2024</v>
      </c>
      <c r="E1059" s="1">
        <v>0.75</v>
      </c>
      <c r="F105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59" t="str">
        <f>_xlfn.XLOOKUP(AllDataCorrected[[#This Row],[Location Name]], Locations[Location Name],Locations[Group As])</f>
        <v>Stour Newbold Mill</v>
      </c>
      <c r="H1059" t="e" vm="2">
        <f>_xlfn.XLOOKUP(AllDataCorrected[[#This Row],[Site Name]],LocationsKey[Site Name],LocationsKey[District])</f>
        <v>#VALUE!</v>
      </c>
      <c r="I1059" t="e" vm="8">
        <f>_xlfn.XLOOKUP(AllDataCorrected[[#This Row],[Site Name]],LocationsKey[Site Name],LocationsKey[Town])</f>
        <v>#VALUE!</v>
      </c>
      <c r="J1059" t="str">
        <f>_xlfn.XLOOKUP(AllDataCorrected[[#This Row],[Site Name]],LocationsKey[Site Name], LocationsKey[Waterway])</f>
        <v>Stour</v>
      </c>
      <c r="K1059" t="s">
        <v>140</v>
      </c>
      <c r="L1059">
        <f>_xlfn.XLOOKUP(AllDataCorrected[[#This Row],[Site Name]],Tables!$B$12:$B$78, Tables!C$12:C$78)</f>
        <v>52.113052370370362</v>
      </c>
      <c r="M1059">
        <f>_xlfn.XLOOKUP(AllDataCorrected[[#This Row],[Site Name]],Tables!$B$12:$B$78, Tables!D$12:D$78)</f>
        <v>-1.6333685185185185</v>
      </c>
      <c r="N1059" t="s">
        <v>29</v>
      </c>
      <c r="O1059">
        <v>640</v>
      </c>
      <c r="P1059">
        <v>18.600000000000001</v>
      </c>
      <c r="Q1059">
        <v>2</v>
      </c>
      <c r="R1059" t="str">
        <f>IF(AllDataCorrected[[#This Row],[Nitrate (PPM)]]&gt;2, "4. Very high (&gt;2ppm)", IF(AllDataCorrected[[#This Row],[Nitrate (PPM)]]&gt;1, "3. High (1-2ppm)", IF(AllDataCorrected[[#This Row],[Nitrate (PPM)]]&gt;0.5, "2. Some evidence (0.5-1ppm)", IF(AllDataCorrected[[#This Row],[Nitrate (PPM)]]&gt;=0, "1. No evidence (&lt;0.5ppm)"))))</f>
        <v>3. High (1-2ppm)</v>
      </c>
      <c r="S1059">
        <v>0.54</v>
      </c>
      <c r="T10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9">
        <v>2</v>
      </c>
      <c r="V1059" t="s">
        <v>1552</v>
      </c>
    </row>
    <row r="1060" spans="1:22" x14ac:dyDescent="0.25">
      <c r="A1060" t="s">
        <v>1550</v>
      </c>
      <c r="B1060" s="2">
        <v>45491</v>
      </c>
      <c r="C1060" t="str" cm="1">
        <f t="array" ref="C10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0">
        <f>YEAR(AllDataCorrected[[#This Row],[Date]])</f>
        <v>2024</v>
      </c>
      <c r="E1060" s="1">
        <v>0.89722222222222225</v>
      </c>
      <c r="F106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60" t="str">
        <f>_xlfn.XLOOKUP(AllDataCorrected[[#This Row],[Location Name]], Locations[Location Name],Locations[Group As])</f>
        <v>Abbey Mill</v>
      </c>
      <c r="H1060" t="e" vm="1">
        <f>_xlfn.XLOOKUP(AllDataCorrected[[#This Row],[Site Name]],LocationsKey[Site Name],LocationsKey[District])</f>
        <v>#VALUE!</v>
      </c>
      <c r="I1060" t="e" vm="1">
        <f>_xlfn.XLOOKUP(AllDataCorrected[[#This Row],[Site Name]],LocationsKey[Site Name],LocationsKey[Town])</f>
        <v>#VALUE!</v>
      </c>
      <c r="J1060" t="str">
        <f>_xlfn.XLOOKUP(AllDataCorrected[[#This Row],[Site Name]],LocationsKey[Site Name], LocationsKey[Waterway])</f>
        <v>Avon</v>
      </c>
      <c r="K1060" t="s">
        <v>25</v>
      </c>
      <c r="L1060">
        <f>_xlfn.XLOOKUP(AllDataCorrected[[#This Row],[Site Name]],Tables!$B$12:$B$78, Tables!C$12:C$78)</f>
        <v>51.991389555555564</v>
      </c>
      <c r="M1060">
        <f>_xlfn.XLOOKUP(AllDataCorrected[[#This Row],[Site Name]],Tables!$B$12:$B$78, Tables!D$12:D$78)</f>
        <v>-2.1620794000000005</v>
      </c>
      <c r="N1060" t="s">
        <v>23</v>
      </c>
      <c r="O1060">
        <v>834</v>
      </c>
      <c r="P1060">
        <v>20.6</v>
      </c>
      <c r="Q1060">
        <v>7</v>
      </c>
      <c r="R10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0">
        <v>0.86</v>
      </c>
      <c r="T10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0">
        <v>0.5</v>
      </c>
    </row>
    <row r="1061" spans="1:22" x14ac:dyDescent="0.25">
      <c r="A1061" t="s">
        <v>1549</v>
      </c>
      <c r="B1061" s="2">
        <v>45492</v>
      </c>
      <c r="C1061" t="str" cm="1">
        <f t="array" ref="C10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1">
        <f>YEAR(AllDataCorrected[[#This Row],[Date]])</f>
        <v>2024</v>
      </c>
      <c r="E1061" s="1">
        <v>0.3527777777777778</v>
      </c>
      <c r="F10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1" t="str">
        <f>_xlfn.XLOOKUP(AllDataCorrected[[#This Row],[Location Name]], Locations[Location Name],Locations[Group As])</f>
        <v>Lower Lode</v>
      </c>
      <c r="H1061" t="e" vm="1">
        <f>_xlfn.XLOOKUP(AllDataCorrected[[#This Row],[Site Name]],LocationsKey[Site Name],LocationsKey[District])</f>
        <v>#VALUE!</v>
      </c>
      <c r="I1061" t="e" vm="1">
        <f>_xlfn.XLOOKUP(AllDataCorrected[[#This Row],[Site Name]],LocationsKey[Site Name],LocationsKey[Town])</f>
        <v>#VALUE!</v>
      </c>
      <c r="J1061" t="str">
        <f>_xlfn.XLOOKUP(AllDataCorrected[[#This Row],[Site Name]],LocationsKey[Site Name], LocationsKey[Waterway])</f>
        <v>Avon</v>
      </c>
      <c r="K1061" t="s">
        <v>592</v>
      </c>
      <c r="L1061">
        <f>_xlfn.XLOOKUP(AllDataCorrected[[#This Row],[Site Name]],Tables!$B$12:$B$78, Tables!C$12:C$78)</f>
        <v>51.984954782608689</v>
      </c>
      <c r="M1061">
        <f>_xlfn.XLOOKUP(AllDataCorrected[[#This Row],[Site Name]],Tables!$B$12:$B$78, Tables!D$12:D$78)</f>
        <v>-2.1744283478260868</v>
      </c>
      <c r="N1061" t="s">
        <v>29</v>
      </c>
      <c r="O1061">
        <v>8880</v>
      </c>
      <c r="P1061">
        <v>21.5</v>
      </c>
      <c r="Q1061">
        <v>10</v>
      </c>
      <c r="R10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1">
        <v>0.82</v>
      </c>
      <c r="T10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1">
        <v>0</v>
      </c>
    </row>
    <row r="1062" spans="1:22" x14ac:dyDescent="0.25">
      <c r="A1062" t="s">
        <v>1546</v>
      </c>
      <c r="B1062" s="2">
        <v>45492</v>
      </c>
      <c r="C1062" t="str" cm="1">
        <f t="array" ref="C10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2">
        <f>YEAR(AllDataCorrected[[#This Row],[Date]])</f>
        <v>2024</v>
      </c>
      <c r="E1062" s="1">
        <v>0.70833333333333337</v>
      </c>
      <c r="F10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62" t="str">
        <f>_xlfn.XLOOKUP(AllDataCorrected[[#This Row],[Location Name]], Locations[Location Name],Locations[Group As])</f>
        <v>Carrant Back Lane Beckford</v>
      </c>
      <c r="H1062" t="e" vm="1">
        <f>_xlfn.XLOOKUP(AllDataCorrected[[#This Row],[Site Name]],LocationsKey[Site Name],LocationsKey[District])</f>
        <v>#VALUE!</v>
      </c>
      <c r="I1062" t="str">
        <f>_xlfn.XLOOKUP(AllDataCorrected[[#This Row],[Site Name]],LocationsKey[Site Name],LocationsKey[Town])</f>
        <v>Beckford</v>
      </c>
      <c r="J1062" t="str">
        <f>_xlfn.XLOOKUP(AllDataCorrected[[#This Row],[Site Name]],LocationsKey[Site Name], LocationsKey[Waterway])</f>
        <v>Carrant</v>
      </c>
      <c r="K1062" t="s">
        <v>1547</v>
      </c>
      <c r="L1062">
        <f>_xlfn.XLOOKUP(AllDataCorrected[[#This Row],[Site Name]],Tables!$B$12:$B$78, Tables!C$12:C$78)</f>
        <v>52.017659444444448</v>
      </c>
      <c r="M1062">
        <f>_xlfn.XLOOKUP(AllDataCorrected[[#This Row],[Site Name]],Tables!$B$12:$B$78, Tables!D$12:D$78)</f>
        <v>-2.0390003333333335</v>
      </c>
      <c r="N1062" t="s">
        <v>66</v>
      </c>
      <c r="O1062">
        <v>726</v>
      </c>
      <c r="P1062">
        <v>19.600000000000001</v>
      </c>
      <c r="Q1062">
        <v>6</v>
      </c>
      <c r="R10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2">
        <v>0.8</v>
      </c>
      <c r="T10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2">
        <v>0</v>
      </c>
      <c r="V1062" t="s">
        <v>1548</v>
      </c>
    </row>
    <row r="1063" spans="1:22" x14ac:dyDescent="0.25">
      <c r="A1063" t="s">
        <v>1520</v>
      </c>
      <c r="B1063" s="2">
        <v>45492</v>
      </c>
      <c r="C1063" t="str" cm="1">
        <f t="array" ref="C10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3">
        <f>YEAR(AllDataCorrected[[#This Row],[Date]])</f>
        <v>2024</v>
      </c>
      <c r="E1063" s="1">
        <v>0.83333333333333337</v>
      </c>
      <c r="F106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63" t="str">
        <f>_xlfn.XLOOKUP(AllDataCorrected[[#This Row],[Location Name]], Locations[Location Name],Locations[Group As])</f>
        <v>Swilgate</v>
      </c>
      <c r="H1063" t="e" vm="1">
        <f>_xlfn.XLOOKUP(AllDataCorrected[[#This Row],[Site Name]],LocationsKey[Site Name],LocationsKey[District])</f>
        <v>#VALUE!</v>
      </c>
      <c r="I1063" t="e" vm="1">
        <f>_xlfn.XLOOKUP(AllDataCorrected[[#This Row],[Site Name]],LocationsKey[Site Name],LocationsKey[Town])</f>
        <v>#VALUE!</v>
      </c>
      <c r="J1063" t="str">
        <f>_xlfn.XLOOKUP(AllDataCorrected[[#This Row],[Site Name]],LocationsKey[Site Name], LocationsKey[Waterway])</f>
        <v>Swilgate</v>
      </c>
      <c r="K1063" t="s">
        <v>84</v>
      </c>
      <c r="L1063">
        <f>_xlfn.XLOOKUP(AllDataCorrected[[#This Row],[Site Name]],Tables!$B$12:$B$78, Tables!C$12:C$78)</f>
        <v>51.9885442</v>
      </c>
      <c r="M1063">
        <f>_xlfn.XLOOKUP(AllDataCorrected[[#This Row],[Site Name]],Tables!$B$12:$B$78, Tables!D$12:D$78)</f>
        <v>-2.1639010000000001</v>
      </c>
      <c r="N1063" t="s">
        <v>23</v>
      </c>
      <c r="O1063">
        <v>998</v>
      </c>
      <c r="P1063">
        <v>22.8</v>
      </c>
      <c r="Q1063">
        <v>5</v>
      </c>
      <c r="R10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3">
        <v>0.59</v>
      </c>
      <c r="T10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3">
        <v>0</v>
      </c>
    </row>
    <row r="1064" spans="1:22" x14ac:dyDescent="0.25">
      <c r="A1064" t="s">
        <v>1544</v>
      </c>
      <c r="B1064" s="2">
        <v>45493</v>
      </c>
      <c r="C1064" t="str" cm="1">
        <f t="array" ref="C10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4">
        <f>YEAR(AllDataCorrected[[#This Row],[Date]])</f>
        <v>2024</v>
      </c>
      <c r="E1064" s="1">
        <v>0.34722222222222221</v>
      </c>
      <c r="F10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4" t="str">
        <f>_xlfn.XLOOKUP(AllDataCorrected[[#This Row],[Location Name]], Locations[Location Name],Locations[Group As])</f>
        <v>Avon Smiths Meadow Wyre Piddle</v>
      </c>
      <c r="H1064" t="e" vm="17">
        <f>_xlfn.XLOOKUP(AllDataCorrected[[#This Row],[Site Name]],LocationsKey[Site Name],LocationsKey[District])</f>
        <v>#VALUE!</v>
      </c>
      <c r="I1064" t="e" vm="20">
        <f>_xlfn.XLOOKUP(AllDataCorrected[[#This Row],[Site Name]],LocationsKey[Site Name],LocationsKey[Town])</f>
        <v>#VALUE!</v>
      </c>
      <c r="J1064" t="str">
        <f>_xlfn.XLOOKUP(AllDataCorrected[[#This Row],[Site Name]],LocationsKey[Site Name], LocationsKey[Waterway])</f>
        <v>Avon</v>
      </c>
      <c r="K1064" t="s">
        <v>741</v>
      </c>
      <c r="L1064">
        <f>_xlfn.XLOOKUP(AllDataCorrected[[#This Row],[Site Name]],Tables!$B$12:$B$78, Tables!C$12:C$78)</f>
        <v>52.123045961538452</v>
      </c>
      <c r="M1064">
        <f>_xlfn.XLOOKUP(AllDataCorrected[[#This Row],[Site Name]],Tables!$B$12:$B$78, Tables!D$12:D$78)</f>
        <v>-2.0572161923076919</v>
      </c>
      <c r="N1064" t="s">
        <v>23</v>
      </c>
      <c r="O1064">
        <v>851</v>
      </c>
      <c r="P1064">
        <v>20.100000000000001</v>
      </c>
      <c r="Q1064">
        <v>5</v>
      </c>
      <c r="R10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4">
        <v>0.87</v>
      </c>
      <c r="T10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4">
        <v>0.56999999999999995</v>
      </c>
      <c r="V1064" t="s">
        <v>1545</v>
      </c>
    </row>
    <row r="1065" spans="1:22" x14ac:dyDescent="0.25">
      <c r="A1065" t="s">
        <v>1542</v>
      </c>
      <c r="B1065" s="2">
        <v>45493</v>
      </c>
      <c r="C1065" t="str" cm="1">
        <f t="array" ref="C10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5">
        <f>YEAR(AllDataCorrected[[#This Row],[Date]])</f>
        <v>2024</v>
      </c>
      <c r="E1065" s="1">
        <v>0.36458333333333331</v>
      </c>
      <c r="F10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5" t="str">
        <f>_xlfn.XLOOKUP(AllDataCorrected[[#This Row],[Location Name]], Locations[Location Name],Locations[Group As])</f>
        <v>Piddle Brook Wyre Piddle Bridge</v>
      </c>
      <c r="H1065" t="e" vm="17">
        <f>_xlfn.XLOOKUP(AllDataCorrected[[#This Row],[Site Name]],LocationsKey[Site Name],LocationsKey[District])</f>
        <v>#VALUE!</v>
      </c>
      <c r="I1065" t="e" vm="20">
        <f>_xlfn.XLOOKUP(AllDataCorrected[[#This Row],[Site Name]],LocationsKey[Site Name],LocationsKey[Town])</f>
        <v>#VALUE!</v>
      </c>
      <c r="J1065" t="str">
        <f>_xlfn.XLOOKUP(AllDataCorrected[[#This Row],[Site Name]],LocationsKey[Site Name], LocationsKey[Waterway])</f>
        <v>Piddle Brook</v>
      </c>
      <c r="K1065" t="s">
        <v>744</v>
      </c>
      <c r="L1065">
        <f>_xlfn.XLOOKUP(AllDataCorrected[[#This Row],[Site Name]],Tables!$B$12:$B$78, Tables!C$12:C$78)</f>
        <v>52.126401720000004</v>
      </c>
      <c r="M1065">
        <f>_xlfn.XLOOKUP(AllDataCorrected[[#This Row],[Site Name]],Tables!$B$12:$B$78, Tables!D$12:D$78)</f>
        <v>-2.0565162000000003</v>
      </c>
      <c r="N1065" t="s">
        <v>23</v>
      </c>
      <c r="O1065">
        <v>1660</v>
      </c>
      <c r="P1065">
        <v>18.5</v>
      </c>
      <c r="Q1065">
        <v>10</v>
      </c>
      <c r="R106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5">
        <v>1.2</v>
      </c>
      <c r="T10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5">
        <v>0.16</v>
      </c>
      <c r="V1065" t="s">
        <v>1543</v>
      </c>
    </row>
    <row r="1066" spans="1:22" x14ac:dyDescent="0.25">
      <c r="A1066" t="s">
        <v>1540</v>
      </c>
      <c r="B1066" s="2">
        <v>45493</v>
      </c>
      <c r="C1066" t="str" cm="1">
        <f t="array" ref="C10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6">
        <f>YEAR(AllDataCorrected[[#This Row],[Date]])</f>
        <v>2024</v>
      </c>
      <c r="E1066" s="1">
        <v>0.38333333333333336</v>
      </c>
      <c r="F10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6" t="str">
        <f>_xlfn.XLOOKUP(AllDataCorrected[[#This Row],[Location Name]], Locations[Location Name],Locations[Group As])</f>
        <v>Piddle Brook Long Lane Pinvin</v>
      </c>
      <c r="H1066" t="e" vm="17">
        <f>_xlfn.XLOOKUP(AllDataCorrected[[#This Row],[Site Name]],LocationsKey[Site Name],LocationsKey[District])</f>
        <v>#VALUE!</v>
      </c>
      <c r="I1066" t="str">
        <f>_xlfn.XLOOKUP(AllDataCorrected[[#This Row],[Site Name]],LocationsKey[Site Name],LocationsKey[Town])</f>
        <v>Tilesford</v>
      </c>
      <c r="J1066" t="str">
        <f>_xlfn.XLOOKUP(AllDataCorrected[[#This Row],[Site Name]],LocationsKey[Site Name], LocationsKey[Waterway])</f>
        <v>Piddle Brook</v>
      </c>
      <c r="K1066" t="s">
        <v>1541</v>
      </c>
      <c r="L1066">
        <f>_xlfn.XLOOKUP(AllDataCorrected[[#This Row],[Site Name]],Tables!$B$12:$B$78, Tables!C$12:C$78)</f>
        <v>52.148406999999999</v>
      </c>
      <c r="M1066">
        <f>_xlfn.XLOOKUP(AllDataCorrected[[#This Row],[Site Name]],Tables!$B$12:$B$78, Tables!D$12:D$78)</f>
        <v>-2.055247</v>
      </c>
      <c r="O1066">
        <v>1670</v>
      </c>
      <c r="P1066">
        <v>18.2</v>
      </c>
      <c r="Q1066">
        <v>8</v>
      </c>
      <c r="R10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6">
        <v>1.32</v>
      </c>
      <c r="T10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6">
        <v>0.16</v>
      </c>
      <c r="V1066" t="s">
        <v>1941</v>
      </c>
    </row>
    <row r="1067" spans="1:22" x14ac:dyDescent="0.25">
      <c r="A1067" t="s">
        <v>1538</v>
      </c>
      <c r="B1067" s="2">
        <v>45493</v>
      </c>
      <c r="C1067" t="str" cm="1">
        <f t="array" ref="C10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7">
        <f>YEAR(AllDataCorrected[[#This Row],[Date]])</f>
        <v>2024</v>
      </c>
      <c r="E1067" s="1">
        <v>0.40069444444444446</v>
      </c>
      <c r="F10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7" t="str">
        <f>_xlfn.XLOOKUP(AllDataCorrected[[#This Row],[Location Name]], Locations[Location Name],Locations[Group As])</f>
        <v>Piddle Brook Norton Beachamp Bridge</v>
      </c>
      <c r="H1067" t="e" vm="17">
        <f>_xlfn.XLOOKUP(AllDataCorrected[[#This Row],[Site Name]],LocationsKey[Site Name],LocationsKey[District])</f>
        <v>#VALUE!</v>
      </c>
      <c r="I1067" t="str">
        <f>_xlfn.XLOOKUP(AllDataCorrected[[#This Row],[Site Name]],LocationsKey[Site Name],LocationsKey[Town])</f>
        <v>Norton Beauchamp</v>
      </c>
      <c r="J1067" t="str">
        <f>_xlfn.XLOOKUP(AllDataCorrected[[#This Row],[Site Name]],LocationsKey[Site Name], LocationsKey[Waterway])</f>
        <v>Piddle Brook</v>
      </c>
      <c r="K1067" t="s">
        <v>1539</v>
      </c>
      <c r="L1067">
        <f>_xlfn.XLOOKUP(AllDataCorrected[[#This Row],[Site Name]],Tables!$B$12:$B$78, Tables!C$12:C$78)</f>
        <v>52.169983999999999</v>
      </c>
      <c r="M1067">
        <f>_xlfn.XLOOKUP(AllDataCorrected[[#This Row],[Site Name]],Tables!$B$12:$B$78, Tables!D$12:D$78)</f>
        <v>-2.058351</v>
      </c>
      <c r="O1067">
        <v>1350</v>
      </c>
      <c r="P1067">
        <v>18.7</v>
      </c>
      <c r="Q1067">
        <v>5</v>
      </c>
      <c r="R10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7">
        <v>1.45</v>
      </c>
      <c r="T10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7">
        <v>0.16</v>
      </c>
      <c r="V1067" t="s">
        <v>1943</v>
      </c>
    </row>
    <row r="1068" spans="1:22" x14ac:dyDescent="0.25">
      <c r="A1068" t="s">
        <v>1536</v>
      </c>
      <c r="B1068" s="2">
        <v>45493</v>
      </c>
      <c r="C1068" t="str" cm="1">
        <f t="array" ref="C10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8">
        <f>YEAR(AllDataCorrected[[#This Row],[Date]])</f>
        <v>2024</v>
      </c>
      <c r="E1068" s="1">
        <v>0.43611111111111112</v>
      </c>
      <c r="F10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8" t="str">
        <f>_xlfn.XLOOKUP(AllDataCorrected[[#This Row],[Location Name]], Locations[Location Name],Locations[Group As])</f>
        <v>Piddle Brook North of Radford</v>
      </c>
      <c r="H1068" t="e" vm="17">
        <f>_xlfn.XLOOKUP(AllDataCorrected[[#This Row],[Site Name]],LocationsKey[Site Name],LocationsKey[District])</f>
        <v>#VALUE!</v>
      </c>
      <c r="I1068" t="str">
        <f>_xlfn.XLOOKUP(AllDataCorrected[[#This Row],[Site Name]],LocationsKey[Site Name],LocationsKey[Town])</f>
        <v>Radford</v>
      </c>
      <c r="J1068" t="str">
        <f>_xlfn.XLOOKUP(AllDataCorrected[[#This Row],[Site Name]],LocationsKey[Site Name], LocationsKey[Waterway])</f>
        <v>Piddle Brook</v>
      </c>
      <c r="K1068" t="s">
        <v>1537</v>
      </c>
      <c r="L1068">
        <f>_xlfn.XLOOKUP(AllDataCorrected[[#This Row],[Site Name]],Tables!$B$12:$B$78, Tables!C$12:C$78)</f>
        <v>52.196624999999997</v>
      </c>
      <c r="M1068">
        <f>_xlfn.XLOOKUP(AllDataCorrected[[#This Row],[Site Name]],Tables!$B$12:$B$78, Tables!D$12:D$78)</f>
        <v>-1.9924109999999999</v>
      </c>
      <c r="O1068">
        <v>1400</v>
      </c>
      <c r="P1068">
        <v>17.2</v>
      </c>
      <c r="Q1068">
        <v>10</v>
      </c>
      <c r="R10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8">
        <v>1.04</v>
      </c>
      <c r="T10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8">
        <v>0.16</v>
      </c>
      <c r="V1068" t="s">
        <v>1942</v>
      </c>
    </row>
    <row r="1069" spans="1:22" x14ac:dyDescent="0.25">
      <c r="A1069" t="s">
        <v>1533</v>
      </c>
      <c r="B1069" s="2">
        <v>45493</v>
      </c>
      <c r="C1069" t="str" cm="1">
        <f t="array" ref="C10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9">
        <f>YEAR(AllDataCorrected[[#This Row],[Date]])</f>
        <v>2024</v>
      </c>
      <c r="E1069" s="1">
        <v>0.45694444444444443</v>
      </c>
      <c r="F10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9" t="str">
        <f>_xlfn.XLOOKUP(AllDataCorrected[[#This Row],[Location Name]], Locations[Location Name],Locations[Group As])</f>
        <v>Whitsun Brook Rous Church Lench</v>
      </c>
      <c r="H1069" t="e" vm="17">
        <f>_xlfn.XLOOKUP(AllDataCorrected[[#This Row],[Site Name]],LocationsKey[Site Name],LocationsKey[District])</f>
        <v>#VALUE!</v>
      </c>
      <c r="I1069" t="e" vm="26">
        <f>_xlfn.XLOOKUP(AllDataCorrected[[#This Row],[Site Name]],LocationsKey[Site Name],LocationsKey[Town])</f>
        <v>#VALUE!</v>
      </c>
      <c r="J1069" t="str">
        <f>_xlfn.XLOOKUP(AllDataCorrected[[#This Row],[Site Name]],LocationsKey[Site Name], LocationsKey[Waterway])</f>
        <v>Whitsun Brook</v>
      </c>
      <c r="K1069" t="s">
        <v>1534</v>
      </c>
      <c r="L1069">
        <f>_xlfn.XLOOKUP(AllDataCorrected[[#This Row],[Site Name]],Tables!$B$12:$B$78, Tables!C$12:C$78)</f>
        <v>52.168419999999998</v>
      </c>
      <c r="M1069">
        <f>_xlfn.XLOOKUP(AllDataCorrected[[#This Row],[Site Name]],Tables!$B$12:$B$78, Tables!D$12:D$78)</f>
        <v>-1.96041</v>
      </c>
      <c r="N1069" t="s">
        <v>66</v>
      </c>
      <c r="O1069">
        <v>762</v>
      </c>
      <c r="P1069">
        <v>17.899999999999999</v>
      </c>
      <c r="Q1069">
        <v>2</v>
      </c>
      <c r="R1069" t="str">
        <f>IF(AllDataCorrected[[#This Row],[Nitrate (PPM)]]&gt;2, "4. Very high (&gt;2ppm)", IF(AllDataCorrected[[#This Row],[Nitrate (PPM)]]&gt;1, "3. High (1-2ppm)", IF(AllDataCorrected[[#This Row],[Nitrate (PPM)]]&gt;0.5, "2. Some evidence (0.5-1ppm)", IF(AllDataCorrected[[#This Row],[Nitrate (PPM)]]&gt;=0, "1. No evidence (&lt;0.5ppm)"))))</f>
        <v>3. High (1-2ppm)</v>
      </c>
      <c r="S1069">
        <v>2.5</v>
      </c>
      <c r="T10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9">
        <v>0.16</v>
      </c>
      <c r="V1069" t="s">
        <v>1535</v>
      </c>
    </row>
    <row r="1070" spans="1:22" x14ac:dyDescent="0.25">
      <c r="A1070" t="s">
        <v>1530</v>
      </c>
      <c r="B1070" s="2">
        <v>45493</v>
      </c>
      <c r="C1070" t="str" cm="1">
        <f t="array" ref="C10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0">
        <f>YEAR(AllDataCorrected[[#This Row],[Date]])</f>
        <v>2024</v>
      </c>
      <c r="E1070" s="1">
        <v>0.47361111111111109</v>
      </c>
      <c r="F10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70" t="str">
        <f>_xlfn.XLOOKUP(AllDataCorrected[[#This Row],[Location Name]], Locations[Location Name],Locations[Group As])</f>
        <v>Whitsun Brook Atch Lench Road, Church Lench.</v>
      </c>
      <c r="H1070" t="e" vm="17">
        <f>_xlfn.XLOOKUP(AllDataCorrected[[#This Row],[Site Name]],LocationsKey[Site Name],LocationsKey[District])</f>
        <v>#VALUE!</v>
      </c>
      <c r="I1070" t="e" vm="26">
        <f>_xlfn.XLOOKUP(AllDataCorrected[[#This Row],[Site Name]],LocationsKey[Site Name],LocationsKey[Town])</f>
        <v>#VALUE!</v>
      </c>
      <c r="J1070" t="str">
        <f>_xlfn.XLOOKUP(AllDataCorrected[[#This Row],[Site Name]],LocationsKey[Site Name], LocationsKey[Waterway])</f>
        <v>Whitsun Brook</v>
      </c>
      <c r="K1070" t="s">
        <v>1531</v>
      </c>
      <c r="L1070">
        <f>_xlfn.XLOOKUP(AllDataCorrected[[#This Row],[Site Name]],Tables!$B$12:$B$78, Tables!C$12:C$78)</f>
        <v>52.158735499999999</v>
      </c>
      <c r="M1070">
        <f>_xlfn.XLOOKUP(AllDataCorrected[[#This Row],[Site Name]],Tables!$B$12:$B$78, Tables!D$12:D$78)</f>
        <v>-1.9573510000000001</v>
      </c>
      <c r="N1070" t="s">
        <v>66</v>
      </c>
      <c r="O1070">
        <v>632</v>
      </c>
      <c r="P1070">
        <v>18.2</v>
      </c>
      <c r="Q1070">
        <v>1</v>
      </c>
      <c r="R1070"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0">
        <v>0.69</v>
      </c>
      <c r="T10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0">
        <v>0.16</v>
      </c>
      <c r="V1070" t="s">
        <v>1532</v>
      </c>
    </row>
    <row r="1071" spans="1:22" x14ac:dyDescent="0.25">
      <c r="A1071" t="s">
        <v>1527</v>
      </c>
      <c r="B1071" s="2">
        <v>45493</v>
      </c>
      <c r="C1071" t="str" cm="1">
        <f t="array" ref="C10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1">
        <f>YEAR(AllDataCorrected[[#This Row],[Date]])</f>
        <v>2024</v>
      </c>
      <c r="E1071" s="1">
        <v>0.50208333333333333</v>
      </c>
      <c r="F10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1" t="str">
        <f>_xlfn.XLOOKUP(AllDataCorrected[[#This Row],[Location Name]], Locations[Location Name],Locations[Group As])</f>
        <v>Whitsun Brook Rous Lench Bishampton</v>
      </c>
      <c r="H1071" t="e" vm="17">
        <f>_xlfn.XLOOKUP(AllDataCorrected[[#This Row],[Site Name]],LocationsKey[Site Name],LocationsKey[District])</f>
        <v>#VALUE!</v>
      </c>
      <c r="I1071" t="e" vm="27">
        <f>_xlfn.XLOOKUP(AllDataCorrected[[#This Row],[Site Name]],LocationsKey[Site Name],LocationsKey[Town])</f>
        <v>#VALUE!</v>
      </c>
      <c r="J1071" t="str">
        <f>_xlfn.XLOOKUP(AllDataCorrected[[#This Row],[Site Name]],LocationsKey[Site Name], LocationsKey[Waterway])</f>
        <v>Whitsun Brook</v>
      </c>
      <c r="K1071" t="s">
        <v>1528</v>
      </c>
      <c r="L1071">
        <f>_xlfn.XLOOKUP(AllDataCorrected[[#This Row],[Site Name]],Tables!$B$12:$B$78, Tables!C$12:C$78)</f>
        <v>52.169851000000001</v>
      </c>
      <c r="M1071">
        <f>_xlfn.XLOOKUP(AllDataCorrected[[#This Row],[Site Name]],Tables!$B$12:$B$78, Tables!D$12:D$78)</f>
        <v>-1.9903459999999999</v>
      </c>
      <c r="N1071" t="s">
        <v>29</v>
      </c>
      <c r="O1071">
        <v>994</v>
      </c>
      <c r="P1071">
        <v>18.100000000000001</v>
      </c>
      <c r="Q1071">
        <v>9</v>
      </c>
      <c r="R10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1">
        <v>1.95</v>
      </c>
      <c r="T10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1">
        <v>0.16</v>
      </c>
      <c r="V1071" t="s">
        <v>1529</v>
      </c>
    </row>
    <row r="1072" spans="1:22" x14ac:dyDescent="0.25">
      <c r="A1072" t="s">
        <v>1524</v>
      </c>
      <c r="B1072" s="2">
        <v>45493</v>
      </c>
      <c r="C1072" t="str" cm="1">
        <f t="array" ref="C10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2">
        <f>YEAR(AllDataCorrected[[#This Row],[Date]])</f>
        <v>2024</v>
      </c>
      <c r="E1072" s="1">
        <v>0.52083333333333337</v>
      </c>
      <c r="F10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2" t="str">
        <f>_xlfn.XLOOKUP(AllDataCorrected[[#This Row],[Location Name]], Locations[Location Name],Locations[Group As])</f>
        <v>Whitsun Brook north of Bishampton</v>
      </c>
      <c r="H1072" t="e" vm="17">
        <f>_xlfn.XLOOKUP(AllDataCorrected[[#This Row],[Site Name]],LocationsKey[Site Name],LocationsKey[District])</f>
        <v>#VALUE!</v>
      </c>
      <c r="I1072" t="e" vm="28">
        <f>_xlfn.XLOOKUP(AllDataCorrected[[#This Row],[Site Name]],LocationsKey[Site Name],LocationsKey[Town])</f>
        <v>#VALUE!</v>
      </c>
      <c r="J1072" t="str">
        <f>_xlfn.XLOOKUP(AllDataCorrected[[#This Row],[Site Name]],LocationsKey[Site Name], LocationsKey[Waterway])</f>
        <v>Whitsun Brook</v>
      </c>
      <c r="K1072" t="s">
        <v>1525</v>
      </c>
      <c r="L1072">
        <f>_xlfn.XLOOKUP(AllDataCorrected[[#This Row],[Site Name]],Tables!$B$12:$B$78, Tables!C$12:C$78)</f>
        <v>52.168118999999997</v>
      </c>
      <c r="M1072">
        <f>_xlfn.XLOOKUP(AllDataCorrected[[#This Row],[Site Name]],Tables!$B$12:$B$78, Tables!D$12:D$78)</f>
        <v>-2.0151129999999999</v>
      </c>
      <c r="N1072" t="s">
        <v>29</v>
      </c>
      <c r="O1072">
        <v>2300</v>
      </c>
      <c r="P1072">
        <v>16.7</v>
      </c>
      <c r="Q1072">
        <v>10</v>
      </c>
      <c r="R107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2">
        <v>1.44</v>
      </c>
      <c r="T10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2">
        <v>0.16</v>
      </c>
      <c r="V1072" t="s">
        <v>1526</v>
      </c>
    </row>
    <row r="1073" spans="1:22" x14ac:dyDescent="0.25">
      <c r="A1073" t="s">
        <v>1523</v>
      </c>
      <c r="B1073" s="2">
        <v>45493</v>
      </c>
      <c r="C1073" t="str" cm="1">
        <f t="array" ref="C10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3">
        <f>YEAR(AllDataCorrected[[#This Row],[Date]])</f>
        <v>2024</v>
      </c>
      <c r="E1073" s="1">
        <v>0.5625</v>
      </c>
      <c r="F10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3" t="str">
        <f>_xlfn.XLOOKUP(AllDataCorrected[[#This Row],[Location Name]], Locations[Location Name],Locations[Group As])</f>
        <v>Pitch 16</v>
      </c>
      <c r="H1073" t="e" vm="2">
        <f>_xlfn.XLOOKUP(AllDataCorrected[[#This Row],[Site Name]],LocationsKey[Site Name],LocationsKey[District])</f>
        <v>#VALUE!</v>
      </c>
      <c r="I1073" t="e" vm="7">
        <f>_xlfn.XLOOKUP(AllDataCorrected[[#This Row],[Site Name]],LocationsKey[Site Name],LocationsKey[Town])</f>
        <v>#VALUE!</v>
      </c>
      <c r="J1073" t="str">
        <f>_xlfn.XLOOKUP(AllDataCorrected[[#This Row],[Site Name]],LocationsKey[Site Name], LocationsKey[Waterway])</f>
        <v>Avon</v>
      </c>
      <c r="K1073" t="s">
        <v>69</v>
      </c>
      <c r="L1073">
        <f>_xlfn.XLOOKUP(AllDataCorrected[[#This Row],[Site Name]],Tables!$B$12:$B$78, Tables!C$12:C$78)</f>
        <v>52.17355294117646</v>
      </c>
      <c r="M1073">
        <f>_xlfn.XLOOKUP(AllDataCorrected[[#This Row],[Site Name]],Tables!$B$12:$B$78, Tables!D$12:D$78)</f>
        <v>-1.7433199411764708</v>
      </c>
      <c r="N1073" t="s">
        <v>29</v>
      </c>
      <c r="O1073">
        <v>839</v>
      </c>
      <c r="P1073">
        <v>21.4</v>
      </c>
      <c r="Q1073">
        <v>5</v>
      </c>
      <c r="R10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3">
        <v>0.64</v>
      </c>
      <c r="T10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3">
        <v>0.65</v>
      </c>
    </row>
    <row r="1074" spans="1:22" x14ac:dyDescent="0.25">
      <c r="A1074" t="s">
        <v>1522</v>
      </c>
      <c r="B1074" s="2">
        <v>45493</v>
      </c>
      <c r="C1074" t="str" cm="1">
        <f t="array" ref="C10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4">
        <f>YEAR(AllDataCorrected[[#This Row],[Date]])</f>
        <v>2024</v>
      </c>
      <c r="E1074" s="1">
        <v>0.57638888888888884</v>
      </c>
      <c r="F10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4" t="str">
        <f>_xlfn.XLOOKUP(AllDataCorrected[[#This Row],[Location Name]], Locations[Location Name],Locations[Group As])</f>
        <v>Avonbank Drive</v>
      </c>
      <c r="H1074" t="e" vm="2">
        <f>_xlfn.XLOOKUP(AllDataCorrected[[#This Row],[Site Name]],LocationsKey[Site Name],LocationsKey[District])</f>
        <v>#VALUE!</v>
      </c>
      <c r="I1074" t="e" vm="7">
        <f>_xlfn.XLOOKUP(AllDataCorrected[[#This Row],[Site Name]],LocationsKey[Site Name],LocationsKey[Town])</f>
        <v>#VALUE!</v>
      </c>
      <c r="J1074" t="str">
        <f>_xlfn.XLOOKUP(AllDataCorrected[[#This Row],[Site Name]],LocationsKey[Site Name], LocationsKey[Waterway])</f>
        <v>Avon</v>
      </c>
      <c r="K1074" t="s">
        <v>65</v>
      </c>
      <c r="L1074">
        <f>_xlfn.XLOOKUP(AllDataCorrected[[#This Row],[Site Name]],Tables!$B$12:$B$78, Tables!C$12:C$78)</f>
        <v>52.177054657142854</v>
      </c>
      <c r="M1074">
        <f>_xlfn.XLOOKUP(AllDataCorrected[[#This Row],[Site Name]],Tables!$B$12:$B$78, Tables!D$12:D$78)</f>
        <v>-1.7358669999999996</v>
      </c>
      <c r="N1074" t="s">
        <v>66</v>
      </c>
      <c r="O1074">
        <v>864</v>
      </c>
      <c r="P1074">
        <v>21.3</v>
      </c>
      <c r="Q1074">
        <v>5</v>
      </c>
      <c r="R107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4">
        <v>0.51</v>
      </c>
      <c r="T10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4">
        <v>0.65</v>
      </c>
    </row>
    <row r="1075" spans="1:22" x14ac:dyDescent="0.25">
      <c r="A1075" t="s">
        <v>1521</v>
      </c>
      <c r="B1075" s="2">
        <v>45493</v>
      </c>
      <c r="C1075" t="str" cm="1">
        <f t="array" ref="C10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5">
        <f>YEAR(AllDataCorrected[[#This Row],[Date]])</f>
        <v>2024</v>
      </c>
      <c r="E1075" s="1">
        <v>0.74236111111111114</v>
      </c>
      <c r="F10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5" t="str">
        <f>_xlfn.XLOOKUP(AllDataCorrected[[#This Row],[Location Name]], Locations[Location Name],Locations[Group As])</f>
        <v>Preston-on-Stour River Bridge</v>
      </c>
      <c r="H1075" t="e" vm="2">
        <f>_xlfn.XLOOKUP(AllDataCorrected[[#This Row],[Site Name]],LocationsKey[Site Name],LocationsKey[District])</f>
        <v>#VALUE!</v>
      </c>
      <c r="I1075" t="e" vm="9">
        <f>_xlfn.XLOOKUP(AllDataCorrected[[#This Row],[Site Name]],LocationsKey[Site Name],LocationsKey[Town])</f>
        <v>#VALUE!</v>
      </c>
      <c r="J1075" t="str">
        <f>_xlfn.XLOOKUP(AllDataCorrected[[#This Row],[Site Name]],LocationsKey[Site Name], LocationsKey[Waterway])</f>
        <v>Stour</v>
      </c>
      <c r="K1075" t="s">
        <v>163</v>
      </c>
      <c r="L1075">
        <f>_xlfn.XLOOKUP(AllDataCorrected[[#This Row],[Site Name]],Tables!$B$12:$B$78, Tables!C$12:C$78)</f>
        <v>52.146529500000007</v>
      </c>
      <c r="M1075">
        <f>_xlfn.XLOOKUP(AllDataCorrected[[#This Row],[Site Name]],Tables!$B$12:$B$78, Tables!D$12:D$78)</f>
        <v>-1.6996899999999999</v>
      </c>
      <c r="N1075" t="s">
        <v>29</v>
      </c>
      <c r="O1075">
        <v>647</v>
      </c>
      <c r="P1075">
        <v>20.3</v>
      </c>
      <c r="Q1075">
        <v>5</v>
      </c>
      <c r="R10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5">
        <v>0.69</v>
      </c>
      <c r="T10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5">
        <v>1</v>
      </c>
    </row>
    <row r="1076" spans="1:22" x14ac:dyDescent="0.25">
      <c r="A1076" t="s">
        <v>1794</v>
      </c>
      <c r="B1076" s="2">
        <v>45493</v>
      </c>
      <c r="C1076" t="str" cm="1">
        <f t="array" ref="C10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6">
        <f>YEAR(AllDataCorrected[[#This Row],[Date]])</f>
        <v>2024</v>
      </c>
      <c r="F107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6" t="str">
        <f>_xlfn.XLOOKUP(AllDataCorrected[[#This Row],[Location Name]], Locations[Location Name],Locations[Group As])</f>
        <v>Site 1  :  Middle Street</v>
      </c>
      <c r="H1076" t="e" vm="2">
        <f>_xlfn.XLOOKUP(AllDataCorrected[[#This Row],[Site Name]],LocationsKey[Site Name],LocationsKey[District])</f>
        <v>#VALUE!</v>
      </c>
      <c r="I1076" t="e" vm="11">
        <f>_xlfn.XLOOKUP(AllDataCorrected[[#This Row],[Site Name]],LocationsKey[Site Name],LocationsKey[Town])</f>
        <v>#VALUE!</v>
      </c>
      <c r="J1076" t="str">
        <f>_xlfn.XLOOKUP(AllDataCorrected[[#This Row],[Site Name]],LocationsKey[Site Name], LocationsKey[Waterway])</f>
        <v>Fosseway Brook</v>
      </c>
      <c r="K1076" t="s">
        <v>1859</v>
      </c>
      <c r="L1076">
        <f>_xlfn.XLOOKUP(AllDataCorrected[[#This Row],[Site Name]],Tables!$B$12:$B$78, Tables!C$12:C$78)</f>
        <v>52.090077380952394</v>
      </c>
      <c r="M1076">
        <f>_xlfn.XLOOKUP(AllDataCorrected[[#This Row],[Site Name]],Tables!$B$12:$B$78, Tables!D$12:D$78)</f>
        <v>-1.6926051666666673</v>
      </c>
      <c r="N1076" t="s">
        <v>66</v>
      </c>
      <c r="O1076">
        <v>603</v>
      </c>
      <c r="P1076">
        <v>21.7</v>
      </c>
      <c r="Q1076">
        <v>1</v>
      </c>
      <c r="R1076"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6">
        <v>0.36</v>
      </c>
      <c r="T10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76">
        <v>0</v>
      </c>
      <c r="V1076" t="s">
        <v>1925</v>
      </c>
    </row>
    <row r="1077" spans="1:22" x14ac:dyDescent="0.25">
      <c r="A1077" t="s">
        <v>1390</v>
      </c>
      <c r="B1077" s="2">
        <v>45493</v>
      </c>
      <c r="C1077" t="str" cm="1">
        <f t="array" ref="C10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7">
        <f>YEAR(AllDataCorrected[[#This Row],[Date]])</f>
        <v>2024</v>
      </c>
      <c r="F107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7" t="str">
        <f>_xlfn.XLOOKUP(AllDataCorrected[[#This Row],[Location Name]], Locations[Location Name],Locations[Group As])</f>
        <v>Site 1  :  Middle Street</v>
      </c>
      <c r="H1077" t="e" vm="2">
        <f>_xlfn.XLOOKUP(AllDataCorrected[[#This Row],[Site Name]],LocationsKey[Site Name],LocationsKey[District])</f>
        <v>#VALUE!</v>
      </c>
      <c r="I1077" t="e" vm="11">
        <f>_xlfn.XLOOKUP(AllDataCorrected[[#This Row],[Site Name]],LocationsKey[Site Name],LocationsKey[Town])</f>
        <v>#VALUE!</v>
      </c>
      <c r="J1077" t="str">
        <f>_xlfn.XLOOKUP(AllDataCorrected[[#This Row],[Site Name]],LocationsKey[Site Name], LocationsKey[Waterway])</f>
        <v>Fosseway Brook</v>
      </c>
      <c r="K1077" t="s">
        <v>1373</v>
      </c>
      <c r="L1077">
        <f>_xlfn.XLOOKUP(AllDataCorrected[[#This Row],[Site Name]],Tables!$B$12:$B$78, Tables!C$12:C$78)</f>
        <v>52.090077380952394</v>
      </c>
      <c r="M1077">
        <f>_xlfn.XLOOKUP(AllDataCorrected[[#This Row],[Site Name]],Tables!$B$12:$B$78, Tables!D$12:D$78)</f>
        <v>-1.6926051666666673</v>
      </c>
      <c r="N1077" t="s">
        <v>66</v>
      </c>
      <c r="O1077">
        <v>603</v>
      </c>
      <c r="P1077">
        <v>21.7</v>
      </c>
      <c r="Q1077">
        <v>1</v>
      </c>
      <c r="R107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7">
        <v>0.36</v>
      </c>
      <c r="T10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1077" t="s">
        <v>1391</v>
      </c>
    </row>
    <row r="1078" spans="1:22" x14ac:dyDescent="0.25">
      <c r="A1078" t="s">
        <v>1795</v>
      </c>
      <c r="B1078" s="2">
        <v>45493</v>
      </c>
      <c r="C1078" t="str" cm="1">
        <f t="array" ref="C10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8">
        <f>YEAR(AllDataCorrected[[#This Row],[Date]])</f>
        <v>2024</v>
      </c>
      <c r="F10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8" t="str">
        <f>_xlfn.XLOOKUP(AllDataCorrected[[#This Row],[Location Name]], Locations[Location Name],Locations[Group As])</f>
        <v>Site 2  :  Cross Leys culvert</v>
      </c>
      <c r="H1078" t="e" vm="2">
        <f>_xlfn.XLOOKUP(AllDataCorrected[[#This Row],[Site Name]],LocationsKey[Site Name],LocationsKey[District])</f>
        <v>#VALUE!</v>
      </c>
      <c r="I1078" t="e" vm="11">
        <f>_xlfn.XLOOKUP(AllDataCorrected[[#This Row],[Site Name]],LocationsKey[Site Name],LocationsKey[Town])</f>
        <v>#VALUE!</v>
      </c>
      <c r="J1078" t="str">
        <f>_xlfn.XLOOKUP(AllDataCorrected[[#This Row],[Site Name]],LocationsKey[Site Name], LocationsKey[Waterway])</f>
        <v>Fosseway Brook</v>
      </c>
      <c r="K1078" t="s">
        <v>1860</v>
      </c>
      <c r="L1078">
        <f>_xlfn.XLOOKUP(AllDataCorrected[[#This Row],[Site Name]],Tables!$B$12:$B$78, Tables!C$12:C$78)</f>
        <v>52.092990199999988</v>
      </c>
      <c r="M1078">
        <f>_xlfn.XLOOKUP(AllDataCorrected[[#This Row],[Site Name]],Tables!$B$12:$B$78, Tables!D$12:D$78)</f>
        <v>-1.6862810999999998</v>
      </c>
      <c r="N1078" t="s">
        <v>66</v>
      </c>
      <c r="O1078">
        <v>834</v>
      </c>
      <c r="P1078">
        <v>18.5</v>
      </c>
      <c r="Q1078">
        <v>0</v>
      </c>
      <c r="R107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78">
        <v>0.93</v>
      </c>
      <c r="T10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8">
        <v>0</v>
      </c>
      <c r="V1078" t="s">
        <v>1909</v>
      </c>
    </row>
    <row r="1079" spans="1:22" x14ac:dyDescent="0.25">
      <c r="A1079" t="s">
        <v>1389</v>
      </c>
      <c r="B1079" s="2">
        <v>45493</v>
      </c>
      <c r="C1079" t="str" cm="1">
        <f t="array" ref="C10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9">
        <f>YEAR(AllDataCorrected[[#This Row],[Date]])</f>
        <v>2024</v>
      </c>
      <c r="F10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9" t="str">
        <f>_xlfn.XLOOKUP(AllDataCorrected[[#This Row],[Location Name]], Locations[Location Name],Locations[Group As])</f>
        <v>Site 2  :  Cross Leys culvert</v>
      </c>
      <c r="H1079" t="e" vm="2">
        <f>_xlfn.XLOOKUP(AllDataCorrected[[#This Row],[Site Name]],LocationsKey[Site Name],LocationsKey[District])</f>
        <v>#VALUE!</v>
      </c>
      <c r="I1079" t="e" vm="11">
        <f>_xlfn.XLOOKUP(AllDataCorrected[[#This Row],[Site Name]],LocationsKey[Site Name],LocationsKey[Town])</f>
        <v>#VALUE!</v>
      </c>
      <c r="J1079" t="str">
        <f>_xlfn.XLOOKUP(AllDataCorrected[[#This Row],[Site Name]],LocationsKey[Site Name], LocationsKey[Waterway])</f>
        <v>Fosseway Brook</v>
      </c>
      <c r="K1079" t="s">
        <v>1371</v>
      </c>
      <c r="L1079">
        <f>_xlfn.XLOOKUP(AllDataCorrected[[#This Row],[Site Name]],Tables!$B$12:$B$78, Tables!C$12:C$78)</f>
        <v>52.092990199999988</v>
      </c>
      <c r="M1079">
        <f>_xlfn.XLOOKUP(AllDataCorrected[[#This Row],[Site Name]],Tables!$B$12:$B$78, Tables!D$12:D$78)</f>
        <v>-1.6862810999999998</v>
      </c>
      <c r="N1079" t="s">
        <v>66</v>
      </c>
      <c r="O1079">
        <v>834</v>
      </c>
      <c r="P1079">
        <v>18.5</v>
      </c>
      <c r="Q1079">
        <v>0</v>
      </c>
      <c r="R107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79">
        <v>0.93</v>
      </c>
      <c r="T10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1080" spans="1:22" x14ac:dyDescent="0.25">
      <c r="A1080" t="s">
        <v>1796</v>
      </c>
      <c r="B1080" s="2">
        <v>45493</v>
      </c>
      <c r="C1080" t="str" cm="1">
        <f t="array" ref="C10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0">
        <f>YEAR(AllDataCorrected[[#This Row],[Date]])</f>
        <v>2024</v>
      </c>
      <c r="F10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80" t="str">
        <f>_xlfn.XLOOKUP(AllDataCorrected[[#This Row],[Location Name]], Locations[Location Name],Locations[Group As])</f>
        <v>Site 3  :  Severn Trent Water processing plant outflow</v>
      </c>
      <c r="H1080" t="e" vm="2">
        <f>_xlfn.XLOOKUP(AllDataCorrected[[#This Row],[Site Name]],LocationsKey[Site Name],LocationsKey[District])</f>
        <v>#VALUE!</v>
      </c>
      <c r="I1080" t="e" vm="11">
        <f>_xlfn.XLOOKUP(AllDataCorrected[[#This Row],[Site Name]],LocationsKey[Site Name],LocationsKey[Town])</f>
        <v>#VALUE!</v>
      </c>
      <c r="J1080" t="str">
        <f>_xlfn.XLOOKUP(AllDataCorrected[[#This Row],[Site Name]],LocationsKey[Site Name], LocationsKey[Waterway])</f>
        <v>Fosseway Brook</v>
      </c>
      <c r="K1080" t="s">
        <v>1861</v>
      </c>
      <c r="L1080">
        <f>_xlfn.XLOOKUP(AllDataCorrected[[#This Row],[Site Name]],Tables!$B$12:$B$78, Tables!C$12:C$78)</f>
        <v>52.094341024390218</v>
      </c>
      <c r="M1080">
        <f>_xlfn.XLOOKUP(AllDataCorrected[[#This Row],[Site Name]],Tables!$B$12:$B$78, Tables!D$12:D$78)</f>
        <v>-1.6731015853658531</v>
      </c>
      <c r="N1080" t="s">
        <v>29</v>
      </c>
      <c r="O1080">
        <v>897</v>
      </c>
      <c r="P1080">
        <v>19.399999999999999</v>
      </c>
      <c r="Q1080">
        <v>10</v>
      </c>
      <c r="R10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0">
        <v>2.5</v>
      </c>
      <c r="T10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0">
        <v>0</v>
      </c>
      <c r="V1080" t="s">
        <v>1912</v>
      </c>
    </row>
    <row r="1081" spans="1:22" x14ac:dyDescent="0.25">
      <c r="A1081" t="s">
        <v>1388</v>
      </c>
      <c r="B1081" s="2">
        <v>45493</v>
      </c>
      <c r="C1081" t="str" cm="1">
        <f t="array" ref="C10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1">
        <f>YEAR(AllDataCorrected[[#This Row],[Date]])</f>
        <v>2024</v>
      </c>
      <c r="F10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81" t="str">
        <f>_xlfn.XLOOKUP(AllDataCorrected[[#This Row],[Location Name]], Locations[Location Name],Locations[Group As])</f>
        <v>Site 3  :  Severn Trent Water processing plant outflow</v>
      </c>
      <c r="H1081" t="e" vm="2">
        <f>_xlfn.XLOOKUP(AllDataCorrected[[#This Row],[Site Name]],LocationsKey[Site Name],LocationsKey[District])</f>
        <v>#VALUE!</v>
      </c>
      <c r="I1081" t="e" vm="11">
        <f>_xlfn.XLOOKUP(AllDataCorrected[[#This Row],[Site Name]],LocationsKey[Site Name],LocationsKey[Town])</f>
        <v>#VALUE!</v>
      </c>
      <c r="J1081" t="str">
        <f>_xlfn.XLOOKUP(AllDataCorrected[[#This Row],[Site Name]],LocationsKey[Site Name], LocationsKey[Waterway])</f>
        <v>Fosseway Brook</v>
      </c>
      <c r="K1081" t="s">
        <v>1368</v>
      </c>
      <c r="L1081">
        <f>_xlfn.XLOOKUP(AllDataCorrected[[#This Row],[Site Name]],Tables!$B$12:$B$78, Tables!C$12:C$78)</f>
        <v>52.094341024390218</v>
      </c>
      <c r="M1081">
        <f>_xlfn.XLOOKUP(AllDataCorrected[[#This Row],[Site Name]],Tables!$B$12:$B$78, Tables!D$12:D$78)</f>
        <v>-1.6731015853658531</v>
      </c>
      <c r="N1081" t="s">
        <v>29</v>
      </c>
      <c r="O1081">
        <v>897</v>
      </c>
      <c r="P1081">
        <v>19.399999999999999</v>
      </c>
      <c r="Q1081">
        <v>10</v>
      </c>
      <c r="R10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1">
        <v>2.5</v>
      </c>
      <c r="T10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1082" spans="1:22" x14ac:dyDescent="0.25">
      <c r="A1082" t="s">
        <v>1518</v>
      </c>
      <c r="B1082" s="2">
        <v>45494</v>
      </c>
      <c r="C1082" t="str" cm="1">
        <f t="array" ref="C10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2">
        <f>YEAR(AllDataCorrected[[#This Row],[Date]])</f>
        <v>2024</v>
      </c>
      <c r="E1082" s="1">
        <v>0.3972222222222222</v>
      </c>
      <c r="F10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2" t="str">
        <f>_xlfn.XLOOKUP(AllDataCorrected[[#This Row],[Location Name]], Locations[Location Name],Locations[Group As])</f>
        <v>Twyning Fleet</v>
      </c>
      <c r="H1082" t="e" vm="1">
        <f>_xlfn.XLOOKUP(AllDataCorrected[[#This Row],[Site Name]],LocationsKey[Site Name],LocationsKey[District])</f>
        <v>#VALUE!</v>
      </c>
      <c r="I1082" t="str">
        <f>_xlfn.XLOOKUP(AllDataCorrected[[#This Row],[Site Name]],LocationsKey[Site Name],LocationsKey[Town])</f>
        <v>Twyning Green</v>
      </c>
      <c r="J1082" t="str">
        <f>_xlfn.XLOOKUP(AllDataCorrected[[#This Row],[Site Name]],LocationsKey[Site Name], LocationsKey[Waterway])</f>
        <v>Avon</v>
      </c>
      <c r="K1082" t="s">
        <v>54</v>
      </c>
      <c r="L1082">
        <f>_xlfn.XLOOKUP(AllDataCorrected[[#This Row],[Site Name]],Tables!$B$12:$B$78, Tables!C$12:C$78)</f>
        <v>52.027190153846163</v>
      </c>
      <c r="M1082">
        <f>_xlfn.XLOOKUP(AllDataCorrected[[#This Row],[Site Name]],Tables!$B$12:$B$78, Tables!D$12:D$78)</f>
        <v>-2.1406086923076924</v>
      </c>
      <c r="N1082" t="s">
        <v>29</v>
      </c>
      <c r="O1082">
        <v>8590</v>
      </c>
      <c r="P1082">
        <v>20.7</v>
      </c>
      <c r="Q1082">
        <v>7</v>
      </c>
      <c r="R10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2">
        <v>1.1599999999999999</v>
      </c>
      <c r="T10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2">
        <v>0</v>
      </c>
      <c r="V1082" t="s">
        <v>1519</v>
      </c>
    </row>
    <row r="1083" spans="1:22" x14ac:dyDescent="0.25">
      <c r="A1083" t="s">
        <v>1694</v>
      </c>
      <c r="B1083" s="2">
        <v>45494</v>
      </c>
      <c r="C1083" t="str" cm="1">
        <f t="array" ref="C10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3">
        <f>YEAR(AllDataCorrected[[#This Row],[Date]])</f>
        <v>2024</v>
      </c>
      <c r="E1083" s="1">
        <v>0.41666666666666669</v>
      </c>
      <c r="F10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3" t="str">
        <f>_xlfn.XLOOKUP(AllDataCorrected[[#This Row],[Location Name]], Locations[Location Name],Locations[Group As])</f>
        <v>Sherbourne Brook 1</v>
      </c>
      <c r="H1083" t="e" vm="2">
        <f>_xlfn.XLOOKUP(AllDataCorrected[[#This Row],[Site Name]],LocationsKey[Site Name],LocationsKey[District])</f>
        <v>#VALUE!</v>
      </c>
      <c r="I1083" t="e" vm="16">
        <f>_xlfn.XLOOKUP(AllDataCorrected[[#This Row],[Site Name]],LocationsKey[Site Name],LocationsKey[Town])</f>
        <v>#VALUE!</v>
      </c>
      <c r="J1083" t="str">
        <f>_xlfn.XLOOKUP(AllDataCorrected[[#This Row],[Site Name]],LocationsKey[Site Name], LocationsKey[Waterway])</f>
        <v>Sherbourne Brook</v>
      </c>
      <c r="K1083" t="s">
        <v>570</v>
      </c>
      <c r="L1083">
        <f>_xlfn.XLOOKUP(AllDataCorrected[[#This Row],[Site Name]],Tables!$B$12:$B$78, Tables!C$12:C$78)</f>
        <v>52.252500000000033</v>
      </c>
      <c r="M1083">
        <f>_xlfn.XLOOKUP(AllDataCorrected[[#This Row],[Site Name]],Tables!$B$12:$B$78, Tables!D$12:D$78)</f>
        <v>-1.6685000000000012</v>
      </c>
      <c r="N1083" t="s">
        <v>23</v>
      </c>
      <c r="O1083">
        <v>1050</v>
      </c>
      <c r="P1083">
        <v>17.5</v>
      </c>
      <c r="Q1083">
        <v>7</v>
      </c>
      <c r="R108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3">
        <v>0.51</v>
      </c>
      <c r="T10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3">
        <v>0.15</v>
      </c>
    </row>
    <row r="1084" spans="1:22" x14ac:dyDescent="0.25">
      <c r="A1084" t="s">
        <v>1693</v>
      </c>
      <c r="B1084" s="2">
        <v>45494</v>
      </c>
      <c r="C1084" t="str" cm="1">
        <f t="array" ref="C10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4">
        <f>YEAR(AllDataCorrected[[#This Row],[Date]])</f>
        <v>2024</v>
      </c>
      <c r="E1084" s="1">
        <v>0.42708333333333331</v>
      </c>
      <c r="F10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4" t="str">
        <f>_xlfn.XLOOKUP(AllDataCorrected[[#This Row],[Location Name]], Locations[Location Name],Locations[Group As])</f>
        <v>Bell Brook 1</v>
      </c>
      <c r="H1084" t="e" vm="2">
        <f>_xlfn.XLOOKUP(AllDataCorrected[[#This Row],[Site Name]],LocationsKey[Site Name],LocationsKey[District])</f>
        <v>#VALUE!</v>
      </c>
      <c r="I1084" t="e" vm="15">
        <f>_xlfn.XLOOKUP(AllDataCorrected[[#This Row],[Site Name]],LocationsKey[Site Name],LocationsKey[Town])</f>
        <v>#VALUE!</v>
      </c>
      <c r="J1084" t="str">
        <f>_xlfn.XLOOKUP(AllDataCorrected[[#This Row],[Site Name]],LocationsKey[Site Name], LocationsKey[Waterway])</f>
        <v>Bell Brook</v>
      </c>
      <c r="K1084" t="s">
        <v>534</v>
      </c>
      <c r="L1084">
        <f>_xlfn.XLOOKUP(AllDataCorrected[[#This Row],[Site Name]],Tables!$B$12:$B$78, Tables!C$12:C$78)</f>
        <v>52.24489999999998</v>
      </c>
      <c r="M1084">
        <f>_xlfn.XLOOKUP(AllDataCorrected[[#This Row],[Site Name]],Tables!$B$12:$B$78, Tables!D$12:D$78)</f>
        <v>-1.6617000000000013</v>
      </c>
      <c r="N1084" t="s">
        <v>23</v>
      </c>
      <c r="O1084">
        <v>726</v>
      </c>
      <c r="P1084">
        <v>18.7</v>
      </c>
      <c r="Q1084">
        <v>6</v>
      </c>
      <c r="R10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4">
        <v>0.56999999999999995</v>
      </c>
      <c r="T10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4">
        <v>0.15</v>
      </c>
    </row>
    <row r="1085" spans="1:22" x14ac:dyDescent="0.25">
      <c r="A1085" t="s">
        <v>1508</v>
      </c>
      <c r="B1085" s="2">
        <v>45494</v>
      </c>
      <c r="C1085" t="str" cm="1">
        <f t="array" ref="C10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5">
        <f>YEAR(AllDataCorrected[[#This Row],[Date]])</f>
        <v>2024</v>
      </c>
      <c r="E1085" s="1">
        <v>0.5</v>
      </c>
      <c r="F10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5" t="str">
        <f>_xlfn.XLOOKUP(AllDataCorrected[[#This Row],[Location Name]], Locations[Location Name],Locations[Group As])</f>
        <v>Carrant Bredon Rd</v>
      </c>
      <c r="H1085" t="e" vm="1">
        <f>_xlfn.XLOOKUP(AllDataCorrected[[#This Row],[Site Name]],LocationsKey[Site Name],LocationsKey[District])</f>
        <v>#VALUE!</v>
      </c>
      <c r="I1085" t="e" vm="1">
        <f>_xlfn.XLOOKUP(AllDataCorrected[[#This Row],[Site Name]],LocationsKey[Site Name],LocationsKey[Town])</f>
        <v>#VALUE!</v>
      </c>
      <c r="J1085" t="str">
        <f>_xlfn.XLOOKUP(AllDataCorrected[[#This Row],[Site Name]],LocationsKey[Site Name], LocationsKey[Waterway])</f>
        <v>Carrant</v>
      </c>
      <c r="K1085" t="s">
        <v>600</v>
      </c>
      <c r="L1085">
        <f>_xlfn.XLOOKUP(AllDataCorrected[[#This Row],[Site Name]],Tables!$B$12:$B$78, Tables!C$12:C$78)</f>
        <v>51.996416567567572</v>
      </c>
      <c r="M1085">
        <f>_xlfn.XLOOKUP(AllDataCorrected[[#This Row],[Site Name]],Tables!$B$12:$B$78, Tables!D$12:D$78)</f>
        <v>-2.1556626756756749</v>
      </c>
      <c r="N1085" t="s">
        <v>23</v>
      </c>
      <c r="O1085">
        <v>693</v>
      </c>
      <c r="P1085">
        <v>18.7</v>
      </c>
      <c r="Q1085">
        <v>6</v>
      </c>
      <c r="R10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5">
        <v>0.69</v>
      </c>
      <c r="T10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5">
        <v>0.05</v>
      </c>
    </row>
    <row r="1086" spans="1:22" x14ac:dyDescent="0.25">
      <c r="A1086" t="s">
        <v>1516</v>
      </c>
      <c r="B1086" s="2">
        <v>45494</v>
      </c>
      <c r="C1086" t="str" cm="1">
        <f t="array" ref="C10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6">
        <f>YEAR(AllDataCorrected[[#This Row],[Date]])</f>
        <v>2024</v>
      </c>
      <c r="E1086" s="1">
        <v>0.5180555555555556</v>
      </c>
      <c r="F10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6" t="str">
        <f>_xlfn.XLOOKUP(AllDataCorrected[[#This Row],[Location Name]], Locations[Location Name],Locations[Group As])</f>
        <v>Fell Mill Footbridge</v>
      </c>
      <c r="H1086" t="e" vm="2">
        <f>_xlfn.XLOOKUP(AllDataCorrected[[#This Row],[Site Name]],LocationsKey[Site Name],LocationsKey[District])</f>
        <v>#VALUE!</v>
      </c>
      <c r="I1086" t="e" vm="10">
        <f>_xlfn.XLOOKUP(AllDataCorrected[[#This Row],[Site Name]],LocationsKey[Site Name],LocationsKey[Town])</f>
        <v>#VALUE!</v>
      </c>
      <c r="J1086" t="str">
        <f>_xlfn.XLOOKUP(AllDataCorrected[[#This Row],[Site Name]],LocationsKey[Site Name], LocationsKey[Waterway])</f>
        <v>Stour</v>
      </c>
      <c r="K1086" t="s">
        <v>818</v>
      </c>
      <c r="L1086">
        <f>_xlfn.XLOOKUP(AllDataCorrected[[#This Row],[Site Name]],Tables!$B$12:$B$78, Tables!C$12:C$78)</f>
        <v>52.067966827586183</v>
      </c>
      <c r="M1086">
        <f>_xlfn.XLOOKUP(AllDataCorrected[[#This Row],[Site Name]],Tables!$B$12:$B$78, Tables!D$12:D$78)</f>
        <v>-1.6118101379310343</v>
      </c>
      <c r="N1086" t="s">
        <v>29</v>
      </c>
      <c r="O1086">
        <v>654</v>
      </c>
      <c r="P1086">
        <v>18.100000000000001</v>
      </c>
      <c r="Q1086">
        <v>5</v>
      </c>
      <c r="R10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6">
        <v>0.7</v>
      </c>
      <c r="T10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6">
        <v>1</v>
      </c>
    </row>
    <row r="1087" spans="1:22" x14ac:dyDescent="0.25">
      <c r="A1087" t="s">
        <v>1517</v>
      </c>
      <c r="B1087" s="2">
        <v>45494</v>
      </c>
      <c r="C1087" t="str" cm="1">
        <f t="array" ref="C10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7">
        <f>YEAR(AllDataCorrected[[#This Row],[Date]])</f>
        <v>2024</v>
      </c>
      <c r="E1087" s="1">
        <v>0.61597222222222225</v>
      </c>
      <c r="F10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7" t="str">
        <f>_xlfn.XLOOKUP(AllDataCorrected[[#This Row],[Location Name]], Locations[Location Name],Locations[Group As])</f>
        <v>Black Bear</v>
      </c>
      <c r="H1087" t="e" vm="1">
        <f>_xlfn.XLOOKUP(AllDataCorrected[[#This Row],[Site Name]],LocationsKey[Site Name],LocationsKey[District])</f>
        <v>#VALUE!</v>
      </c>
      <c r="I1087" t="e" vm="1">
        <f>_xlfn.XLOOKUP(AllDataCorrected[[#This Row],[Site Name]],LocationsKey[Site Name],LocationsKey[Town])</f>
        <v>#VALUE!</v>
      </c>
      <c r="J1087" t="str">
        <f>_xlfn.XLOOKUP(AllDataCorrected[[#This Row],[Site Name]],LocationsKey[Site Name], LocationsKey[Waterway])</f>
        <v>Avon</v>
      </c>
      <c r="K1087" t="s">
        <v>1045</v>
      </c>
      <c r="L1087">
        <f>_xlfn.XLOOKUP(AllDataCorrected[[#This Row],[Site Name]],Tables!$B$12:$B$78, Tables!C$12:C$78)</f>
        <v>51.997435214285723</v>
      </c>
      <c r="M1087">
        <f>_xlfn.XLOOKUP(AllDataCorrected[[#This Row],[Site Name]],Tables!$B$12:$B$78, Tables!D$12:D$78)</f>
        <v>-2.1562056785714288</v>
      </c>
      <c r="N1087" t="s">
        <v>23</v>
      </c>
      <c r="O1087">
        <v>875</v>
      </c>
      <c r="P1087">
        <v>22.4</v>
      </c>
      <c r="Q1087">
        <v>9</v>
      </c>
      <c r="R108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7">
        <v>0.95</v>
      </c>
      <c r="T10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7">
        <v>0</v>
      </c>
    </row>
    <row r="1088" spans="1:22" x14ac:dyDescent="0.25">
      <c r="A1088" t="s">
        <v>1511</v>
      </c>
      <c r="B1088" s="2">
        <v>45495</v>
      </c>
      <c r="C1088" t="str" cm="1">
        <f t="array" ref="C10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8">
        <f>YEAR(AllDataCorrected[[#This Row],[Date]])</f>
        <v>2024</v>
      </c>
      <c r="E1088" s="1">
        <v>0.33333333333333331</v>
      </c>
      <c r="F10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8" t="str">
        <f>_xlfn.XLOOKUP(AllDataCorrected[[#This Row],[Location Name]], Locations[Location Name],Locations[Group As])</f>
        <v>Carrant M5 Bridge</v>
      </c>
      <c r="H1088" t="e" vm="1">
        <f>_xlfn.XLOOKUP(AllDataCorrected[[#This Row],[Site Name]],LocationsKey[Site Name],LocationsKey[District])</f>
        <v>#VALUE!</v>
      </c>
      <c r="I1088" t="e" vm="1">
        <f>_xlfn.XLOOKUP(AllDataCorrected[[#This Row],[Site Name]],LocationsKey[Site Name],LocationsKey[Town])</f>
        <v>#VALUE!</v>
      </c>
      <c r="J1088" t="str">
        <f>_xlfn.XLOOKUP(AllDataCorrected[[#This Row],[Site Name]],LocationsKey[Site Name], LocationsKey[Waterway])</f>
        <v>Carrant</v>
      </c>
      <c r="K1088" t="s">
        <v>960</v>
      </c>
      <c r="L1088">
        <f>_xlfn.XLOOKUP(AllDataCorrected[[#This Row],[Site Name]],Tables!$B$12:$B$78, Tables!C$12:C$78)</f>
        <v>52.011600000000001</v>
      </c>
      <c r="M1088">
        <f>_xlfn.XLOOKUP(AllDataCorrected[[#This Row],[Site Name]],Tables!$B$12:$B$78, Tables!D$12:D$78)</f>
        <v>-2.1206</v>
      </c>
      <c r="N1088" t="s">
        <v>23</v>
      </c>
      <c r="O1088">
        <v>752</v>
      </c>
      <c r="P1088">
        <v>20.3</v>
      </c>
      <c r="Q1088">
        <v>7</v>
      </c>
      <c r="R108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8">
        <v>1.57</v>
      </c>
      <c r="T10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8">
        <v>0</v>
      </c>
    </row>
    <row r="1089" spans="1:22" x14ac:dyDescent="0.25">
      <c r="A1089" t="s">
        <v>1514</v>
      </c>
      <c r="B1089" s="2">
        <v>45474</v>
      </c>
      <c r="C1089" t="str" cm="1">
        <f t="array" ref="C10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9">
        <f>YEAR(AllDataCorrected[[#This Row],[Date]])</f>
        <v>2024</v>
      </c>
      <c r="E1089" s="1">
        <v>0.46875</v>
      </c>
      <c r="F10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9" t="str">
        <f>_xlfn.XLOOKUP(AllDataCorrected[[#This Row],[Location Name]], Locations[Location Name],Locations[Group As])</f>
        <v>Chipping Campden Lady J Gateway</v>
      </c>
      <c r="H1089" t="e" vm="23">
        <f>_xlfn.XLOOKUP(AllDataCorrected[[#This Row],[Site Name]],LocationsKey[Site Name],LocationsKey[District])</f>
        <v>#VALUE!</v>
      </c>
      <c r="I1089" t="e" vm="24">
        <f>_xlfn.XLOOKUP(AllDataCorrected[[#This Row],[Site Name]],LocationsKey[Site Name],LocationsKey[Town])</f>
        <v>#VALUE!</v>
      </c>
      <c r="J1089" t="str">
        <f>_xlfn.XLOOKUP(AllDataCorrected[[#This Row],[Site Name]],LocationsKey[Site Name], LocationsKey[Waterway])</f>
        <v>Cam Brook</v>
      </c>
      <c r="K1089" t="s">
        <v>1476</v>
      </c>
      <c r="L1089" t="str">
        <f>_xlfn.XLOOKUP(AllDataCorrected[[#This Row],[Site Name]],Tables!$B$12:$B$78, Tables!C$12:C$78)</f>
        <v>Unknown</v>
      </c>
      <c r="M1089" t="str">
        <f>_xlfn.XLOOKUP(AllDataCorrected[[#This Row],[Site Name]],Tables!$B$12:$B$78, Tables!D$12:D$78)</f>
        <v>Unknown</v>
      </c>
      <c r="N1089" t="s">
        <v>66</v>
      </c>
      <c r="O1089">
        <v>515</v>
      </c>
      <c r="P1089">
        <v>17.899999999999999</v>
      </c>
      <c r="Q1089">
        <v>5</v>
      </c>
      <c r="R10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9">
        <v>0.32</v>
      </c>
      <c r="T10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89">
        <v>7.0000000000000007E-2</v>
      </c>
    </row>
    <row r="1090" spans="1:22" x14ac:dyDescent="0.25">
      <c r="A1090" t="s">
        <v>1513</v>
      </c>
      <c r="B1090" s="2">
        <v>45481</v>
      </c>
      <c r="C1090" t="str" cm="1">
        <f t="array" ref="C10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0">
        <f>YEAR(AllDataCorrected[[#This Row],[Date]])</f>
        <v>2024</v>
      </c>
      <c r="E1090" s="1">
        <v>0.4826388888888889</v>
      </c>
      <c r="F10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0" t="str">
        <f>_xlfn.XLOOKUP(AllDataCorrected[[#This Row],[Location Name]], Locations[Location Name],Locations[Group As])</f>
        <v>Chipping Campden Lady J Gateway</v>
      </c>
      <c r="H1090" t="e" vm="23">
        <f>_xlfn.XLOOKUP(AllDataCorrected[[#This Row],[Site Name]],LocationsKey[Site Name],LocationsKey[District])</f>
        <v>#VALUE!</v>
      </c>
      <c r="I1090" t="e" vm="24">
        <f>_xlfn.XLOOKUP(AllDataCorrected[[#This Row],[Site Name]],LocationsKey[Site Name],LocationsKey[Town])</f>
        <v>#VALUE!</v>
      </c>
      <c r="J1090" t="str">
        <f>_xlfn.XLOOKUP(AllDataCorrected[[#This Row],[Site Name]],LocationsKey[Site Name], LocationsKey[Waterway])</f>
        <v>Cam Brook</v>
      </c>
      <c r="K1090" t="s">
        <v>1476</v>
      </c>
      <c r="L1090" t="str">
        <f>_xlfn.XLOOKUP(AllDataCorrected[[#This Row],[Site Name]],Tables!$B$12:$B$78, Tables!C$12:C$78)</f>
        <v>Unknown</v>
      </c>
      <c r="M1090" t="str">
        <f>_xlfn.XLOOKUP(AllDataCorrected[[#This Row],[Site Name]],Tables!$B$12:$B$78, Tables!D$12:D$78)</f>
        <v>Unknown</v>
      </c>
      <c r="N1090" t="s">
        <v>66</v>
      </c>
      <c r="O1090">
        <v>494</v>
      </c>
      <c r="P1090">
        <v>16.399999999999999</v>
      </c>
      <c r="Q1090">
        <v>5</v>
      </c>
      <c r="R10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0">
        <v>0.18</v>
      </c>
      <c r="T10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90">
        <v>0.11</v>
      </c>
    </row>
    <row r="1091" spans="1:22" x14ac:dyDescent="0.25">
      <c r="A1091" t="s">
        <v>1826</v>
      </c>
      <c r="B1091" s="2">
        <v>45495</v>
      </c>
      <c r="C1091" t="str" cm="1">
        <f t="array" ref="C10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1">
        <f>YEAR(AllDataCorrected[[#This Row],[Date]])</f>
        <v>2024</v>
      </c>
      <c r="E1091" s="1">
        <v>0.63888888888888884</v>
      </c>
      <c r="F10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1" t="str">
        <f>_xlfn.XLOOKUP(AllDataCorrected[[#This Row],[Location Name]], Locations[Location Name],Locations[Group As])</f>
        <v>The Ford, Langley</v>
      </c>
      <c r="H1091" t="e" vm="2">
        <f>_xlfn.XLOOKUP(AllDataCorrected[[#This Row],[Site Name]],LocationsKey[Site Name],LocationsKey[District])</f>
        <v>#VALUE!</v>
      </c>
      <c r="I1091" t="str">
        <f>_xlfn.XLOOKUP(AllDataCorrected[[#This Row],[Site Name]],LocationsKey[Site Name],LocationsKey[Town])</f>
        <v>Langley</v>
      </c>
      <c r="J1091" t="str">
        <f>_xlfn.XLOOKUP(AllDataCorrected[[#This Row],[Site Name]],LocationsKey[Site Name], LocationsKey[Waterway])</f>
        <v>Langley Ford</v>
      </c>
      <c r="K1091" t="s">
        <v>557</v>
      </c>
      <c r="L1091">
        <f>_xlfn.XLOOKUP(AllDataCorrected[[#This Row],[Site Name]],Tables!$B$12:$B$78, Tables!C$12:C$78)</f>
        <v>52.261724821428579</v>
      </c>
      <c r="M1091">
        <f>_xlfn.XLOOKUP(AllDataCorrected[[#This Row],[Site Name]],Tables!$B$12:$B$78, Tables!D$12:D$78)</f>
        <v>-1.719408857142857</v>
      </c>
      <c r="N1091" t="s">
        <v>29</v>
      </c>
      <c r="O1091">
        <v>854</v>
      </c>
      <c r="P1091">
        <v>16.899999999999999</v>
      </c>
      <c r="Q1091">
        <v>2</v>
      </c>
      <c r="R1091" t="str">
        <f>IF(AllDataCorrected[[#This Row],[Nitrate (PPM)]]&gt;2, "4. Very high (&gt;2ppm)", IF(AllDataCorrected[[#This Row],[Nitrate (PPM)]]&gt;1, "3. High (1-2ppm)", IF(AllDataCorrected[[#This Row],[Nitrate (PPM)]]&gt;0.5, "2. Some evidence (0.5-1ppm)", IF(AllDataCorrected[[#This Row],[Nitrate (PPM)]]&gt;=0, "1. No evidence (&lt;0.5ppm)"))))</f>
        <v>3. High (1-2ppm)</v>
      </c>
      <c r="S1091">
        <v>0.69</v>
      </c>
      <c r="T10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1">
        <v>0.06</v>
      </c>
    </row>
    <row r="1092" spans="1:22" x14ac:dyDescent="0.25">
      <c r="A1092" t="s">
        <v>1510</v>
      </c>
      <c r="B1092" s="2">
        <v>45496</v>
      </c>
      <c r="C1092" t="str" cm="1">
        <f t="array" ref="C10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2">
        <f>YEAR(AllDataCorrected[[#This Row],[Date]])</f>
        <v>2024</v>
      </c>
      <c r="E1092" s="1">
        <v>0.39374999999999999</v>
      </c>
      <c r="F10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2" t="str">
        <f>_xlfn.XLOOKUP(AllDataCorrected[[#This Row],[Location Name]], Locations[Location Name],Locations[Group As])</f>
        <v>Stour Stretton-on-Fosse Village</v>
      </c>
      <c r="H1092" t="e" vm="2">
        <f>_xlfn.XLOOKUP(AllDataCorrected[[#This Row],[Site Name]],LocationsKey[Site Name],LocationsKey[District])</f>
        <v>#VALUE!</v>
      </c>
      <c r="I1092" t="e" vm="14">
        <f>_xlfn.XLOOKUP(AllDataCorrected[[#This Row],[Site Name]],LocationsKey[Site Name],LocationsKey[Town])</f>
        <v>#VALUE!</v>
      </c>
      <c r="J1092" t="str">
        <f>_xlfn.XLOOKUP(AllDataCorrected[[#This Row],[Site Name]],LocationsKey[Site Name], LocationsKey[Waterway])</f>
        <v>Stour</v>
      </c>
      <c r="K1092" t="s">
        <v>544</v>
      </c>
      <c r="L1092">
        <f>_xlfn.XLOOKUP(AllDataCorrected[[#This Row],[Site Name]],Tables!$B$12:$B$78, Tables!C$12:C$78)</f>
        <v>52.046517558823524</v>
      </c>
      <c r="M1092">
        <f>_xlfn.XLOOKUP(AllDataCorrected[[#This Row],[Site Name]],Tables!$B$12:$B$78, Tables!D$12:D$78)</f>
        <v>-1.6734143529411767</v>
      </c>
      <c r="N1092" t="s">
        <v>66</v>
      </c>
      <c r="O1092">
        <v>687</v>
      </c>
      <c r="P1092">
        <v>16.8</v>
      </c>
      <c r="Q1092">
        <v>0.5</v>
      </c>
      <c r="R109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92">
        <v>2.5</v>
      </c>
      <c r="T10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2">
        <v>0.15</v>
      </c>
      <c r="V1092" t="s">
        <v>1177</v>
      </c>
    </row>
    <row r="1093" spans="1:22" x14ac:dyDescent="0.25">
      <c r="A1093" t="s">
        <v>1509</v>
      </c>
      <c r="B1093" s="2">
        <v>45496</v>
      </c>
      <c r="C1093" t="str" cm="1">
        <f t="array" ref="C10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3">
        <f>YEAR(AllDataCorrected[[#This Row],[Date]])</f>
        <v>2024</v>
      </c>
      <c r="E1093" s="1">
        <v>0.40486111111111112</v>
      </c>
      <c r="F10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3" t="str">
        <f>_xlfn.XLOOKUP(AllDataCorrected[[#This Row],[Location Name]], Locations[Location Name],Locations[Group As])</f>
        <v>Stour Stretton-on-Fosse Sewage Works</v>
      </c>
      <c r="H1093" t="e" vm="2">
        <f>_xlfn.XLOOKUP(AllDataCorrected[[#This Row],[Site Name]],LocationsKey[Site Name],LocationsKey[District])</f>
        <v>#VALUE!</v>
      </c>
      <c r="I1093" t="e" vm="14">
        <f>_xlfn.XLOOKUP(AllDataCorrected[[#This Row],[Site Name]],LocationsKey[Site Name],LocationsKey[Town])</f>
        <v>#VALUE!</v>
      </c>
      <c r="J1093" t="str">
        <f>_xlfn.XLOOKUP(AllDataCorrected[[#This Row],[Site Name]],LocationsKey[Site Name], LocationsKey[Waterway])</f>
        <v>Stour</v>
      </c>
      <c r="K1093" t="s">
        <v>335</v>
      </c>
      <c r="L1093">
        <f>_xlfn.XLOOKUP(AllDataCorrected[[#This Row],[Site Name]],Tables!$B$12:$B$78, Tables!C$12:C$78)</f>
        <v>52.045653647058806</v>
      </c>
      <c r="M1093">
        <f>_xlfn.XLOOKUP(AllDataCorrected[[#This Row],[Site Name]],Tables!$B$12:$B$78, Tables!D$12:D$78)</f>
        <v>-1.6719221470588235</v>
      </c>
      <c r="N1093" t="s">
        <v>29</v>
      </c>
      <c r="O1093">
        <v>869</v>
      </c>
      <c r="P1093">
        <v>17.3</v>
      </c>
      <c r="Q1093">
        <v>5</v>
      </c>
      <c r="R109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3">
        <v>2.5</v>
      </c>
      <c r="T10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3">
        <v>0.3</v>
      </c>
      <c r="V1093" t="s">
        <v>1177</v>
      </c>
    </row>
    <row r="1094" spans="1:22" x14ac:dyDescent="0.25">
      <c r="A1094" t="s">
        <v>1507</v>
      </c>
      <c r="B1094" s="2">
        <v>45497</v>
      </c>
      <c r="C1094" t="str" cm="1">
        <f t="array" ref="C10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4">
        <f>YEAR(AllDataCorrected[[#This Row],[Date]])</f>
        <v>2024</v>
      </c>
      <c r="E1094" s="1">
        <v>0.48125000000000001</v>
      </c>
      <c r="F10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4" t="str">
        <f>_xlfn.XLOOKUP(AllDataCorrected[[#This Row],[Location Name]], Locations[Location Name],Locations[Group As])</f>
        <v>Carrant Mitton Path</v>
      </c>
      <c r="H1094" t="e" vm="1">
        <f>_xlfn.XLOOKUP(AllDataCorrected[[#This Row],[Site Name]],LocationsKey[Site Name],LocationsKey[District])</f>
        <v>#VALUE!</v>
      </c>
      <c r="I1094" t="e" vm="1">
        <f>_xlfn.XLOOKUP(AllDataCorrected[[#This Row],[Site Name]],LocationsKey[Site Name],LocationsKey[Town])</f>
        <v>#VALUE!</v>
      </c>
      <c r="J1094" t="str">
        <f>_xlfn.XLOOKUP(AllDataCorrected[[#This Row],[Site Name]],LocationsKey[Site Name], LocationsKey[Waterway])</f>
        <v>Carrant</v>
      </c>
      <c r="K1094" t="s">
        <v>958</v>
      </c>
      <c r="L1094">
        <f>_xlfn.XLOOKUP(AllDataCorrected[[#This Row],[Site Name]],Tables!$B$12:$B$78, Tables!C$12:C$78)</f>
        <v>51.999946066666674</v>
      </c>
      <c r="M1094">
        <f>_xlfn.XLOOKUP(AllDataCorrected[[#This Row],[Site Name]],Tables!$B$12:$B$78, Tables!D$12:D$78)</f>
        <v>-2.1414862000000006</v>
      </c>
      <c r="N1094" t="s">
        <v>23</v>
      </c>
      <c r="O1094">
        <v>675</v>
      </c>
      <c r="P1094">
        <v>19.100000000000001</v>
      </c>
      <c r="Q1094">
        <v>4</v>
      </c>
      <c r="R10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4">
        <v>0.62</v>
      </c>
      <c r="T10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4">
        <v>0</v>
      </c>
    </row>
    <row r="1095" spans="1:22" x14ac:dyDescent="0.25">
      <c r="A1095" t="s">
        <v>1506</v>
      </c>
      <c r="B1095" s="2">
        <v>45497</v>
      </c>
      <c r="C1095" t="str" cm="1">
        <f t="array" ref="C10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5">
        <f>YEAR(AllDataCorrected[[#This Row],[Date]])</f>
        <v>2024</v>
      </c>
      <c r="E1095" s="1">
        <v>0.67708333333333337</v>
      </c>
      <c r="F10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5" t="str">
        <f>_xlfn.XLOOKUP(AllDataCorrected[[#This Row],[Location Name]], Locations[Location Name],Locations[Group As])</f>
        <v>Alveston Weir</v>
      </c>
      <c r="H1095" t="e" vm="2">
        <f>_xlfn.XLOOKUP(AllDataCorrected[[#This Row],[Site Name]],LocationsKey[Site Name],LocationsKey[District])</f>
        <v>#VALUE!</v>
      </c>
      <c r="I1095" t="e" vm="13">
        <f>_xlfn.XLOOKUP(AllDataCorrected[[#This Row],[Site Name]],LocationsKey[Site Name],LocationsKey[Town])</f>
        <v>#VALUE!</v>
      </c>
      <c r="J1095" t="str">
        <f>_xlfn.XLOOKUP(AllDataCorrected[[#This Row],[Site Name]],LocationsKey[Site Name], LocationsKey[Waterway])</f>
        <v>Avon</v>
      </c>
      <c r="K1095" t="s">
        <v>286</v>
      </c>
      <c r="L1095">
        <f>_xlfn.XLOOKUP(AllDataCorrected[[#This Row],[Site Name]],Tables!$B$12:$B$78, Tables!C$12:C$78)</f>
        <v>52.212366690476216</v>
      </c>
      <c r="M1095">
        <f>_xlfn.XLOOKUP(AllDataCorrected[[#This Row],[Site Name]],Tables!$B$12:$B$78, Tables!D$12:D$78)</f>
        <v>-1.6602567619047619</v>
      </c>
      <c r="N1095" t="s">
        <v>29</v>
      </c>
      <c r="O1095">
        <v>707</v>
      </c>
      <c r="P1095">
        <v>24.7</v>
      </c>
      <c r="Q1095">
        <v>5</v>
      </c>
      <c r="R10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5">
        <v>0.65</v>
      </c>
      <c r="T10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5">
        <v>-0.5</v>
      </c>
    </row>
    <row r="1096" spans="1:22" x14ac:dyDescent="0.25">
      <c r="A1096" t="s">
        <v>1504</v>
      </c>
      <c r="B1096" s="2">
        <v>45497</v>
      </c>
      <c r="C1096" t="str" cm="1">
        <f t="array" ref="C10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6">
        <f>YEAR(AllDataCorrected[[#This Row],[Date]])</f>
        <v>2024</v>
      </c>
      <c r="E1096" s="1">
        <v>0.69374999999999998</v>
      </c>
      <c r="F10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6" t="str">
        <f>_xlfn.XLOOKUP(AllDataCorrected[[#This Row],[Location Name]], Locations[Location Name],Locations[Group As])</f>
        <v>Swiffen Bank</v>
      </c>
      <c r="H1096" t="e" vm="2">
        <f>_xlfn.XLOOKUP(AllDataCorrected[[#This Row],[Site Name]],LocationsKey[Site Name],LocationsKey[District])</f>
        <v>#VALUE!</v>
      </c>
      <c r="I1096" t="e" vm="13">
        <f>_xlfn.XLOOKUP(AllDataCorrected[[#This Row],[Site Name]],LocationsKey[Site Name],LocationsKey[Town])</f>
        <v>#VALUE!</v>
      </c>
      <c r="J1096" t="str">
        <f>_xlfn.XLOOKUP(AllDataCorrected[[#This Row],[Site Name]],LocationsKey[Site Name], LocationsKey[Waterway])</f>
        <v>Avon</v>
      </c>
      <c r="K1096" t="s">
        <v>284</v>
      </c>
      <c r="L1096">
        <f>_xlfn.XLOOKUP(AllDataCorrected[[#This Row],[Site Name]],Tables!$B$12:$B$78, Tables!C$12:C$78)</f>
        <v>52.206446825000015</v>
      </c>
      <c r="M1096">
        <f>_xlfn.XLOOKUP(AllDataCorrected[[#This Row],[Site Name]],Tables!$B$12:$B$78, Tables!D$12:D$78)</f>
        <v>-1.6541684000000003</v>
      </c>
      <c r="N1096" t="s">
        <v>29</v>
      </c>
      <c r="O1096">
        <v>710</v>
      </c>
      <c r="P1096">
        <v>20.399999999999999</v>
      </c>
      <c r="Q1096">
        <v>10</v>
      </c>
      <c r="R10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6">
        <v>0.56000000000000005</v>
      </c>
      <c r="T10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6">
        <v>0</v>
      </c>
      <c r="V1096" t="s">
        <v>1505</v>
      </c>
    </row>
    <row r="1097" spans="1:22" x14ac:dyDescent="0.25">
      <c r="A1097" t="s">
        <v>1499</v>
      </c>
      <c r="B1097" s="2">
        <v>45498</v>
      </c>
      <c r="C1097" t="str" cm="1">
        <f t="array" ref="C10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7">
        <f>YEAR(AllDataCorrected[[#This Row],[Date]])</f>
        <v>2024</v>
      </c>
      <c r="E1097" s="1">
        <v>0.43472222222222223</v>
      </c>
      <c r="F10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7" t="str">
        <f>_xlfn.XLOOKUP(AllDataCorrected[[#This Row],[Location Name]], Locations[Location Name],Locations[Group As])</f>
        <v>Bredon Marina</v>
      </c>
      <c r="H1097" t="e" vm="1">
        <f>_xlfn.XLOOKUP(AllDataCorrected[[#This Row],[Site Name]],LocationsKey[Site Name],LocationsKey[District])</f>
        <v>#VALUE!</v>
      </c>
      <c r="I1097" t="e" vm="25">
        <f>_xlfn.XLOOKUP(AllDataCorrected[[#This Row],[Site Name]],LocationsKey[Site Name],LocationsKey[Town])</f>
        <v>#VALUE!</v>
      </c>
      <c r="J1097" t="str">
        <f>_xlfn.XLOOKUP(AllDataCorrected[[#This Row],[Site Name]],LocationsKey[Site Name], LocationsKey[Waterway])</f>
        <v>Avon</v>
      </c>
      <c r="K1097" t="s">
        <v>1500</v>
      </c>
      <c r="L1097">
        <f>_xlfn.XLOOKUP(AllDataCorrected[[#This Row],[Site Name]],Tables!$B$12:$B$78, Tables!C$12:C$78)</f>
        <v>52.032660333333332</v>
      </c>
      <c r="M1097">
        <f>_xlfn.XLOOKUP(AllDataCorrected[[#This Row],[Site Name]],Tables!$B$12:$B$78, Tables!D$12:D$78)</f>
        <v>-2.1157033333333337</v>
      </c>
      <c r="N1097" t="s">
        <v>29</v>
      </c>
      <c r="O1097">
        <v>818</v>
      </c>
      <c r="P1097">
        <v>21.5</v>
      </c>
      <c r="Q1097">
        <v>15</v>
      </c>
      <c r="R10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7">
        <v>0.83</v>
      </c>
      <c r="T10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7">
        <v>1</v>
      </c>
    </row>
    <row r="1098" spans="1:22" x14ac:dyDescent="0.25">
      <c r="A1098" t="s">
        <v>1477</v>
      </c>
      <c r="B1098" s="2">
        <v>45498</v>
      </c>
      <c r="C1098" t="str" cm="1">
        <f t="array" ref="C10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8">
        <f>YEAR(AllDataCorrected[[#This Row],[Date]])</f>
        <v>2024</v>
      </c>
      <c r="E1098" s="1">
        <v>0.69444444444444442</v>
      </c>
      <c r="F10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8" t="str">
        <f>_xlfn.XLOOKUP(AllDataCorrected[[#This Row],[Location Name]], Locations[Location Name],Locations[Group As])</f>
        <v>Stour Willington</v>
      </c>
      <c r="H1098" t="e" vm="2">
        <f>_xlfn.XLOOKUP(AllDataCorrected[[#This Row],[Site Name]],LocationsKey[Site Name],LocationsKey[District])</f>
        <v>#VALUE!</v>
      </c>
      <c r="I1098" t="str">
        <f>_xlfn.XLOOKUP(AllDataCorrected[[#This Row],[Site Name]],LocationsKey[Site Name],LocationsKey[Town])</f>
        <v>Willington</v>
      </c>
      <c r="J1098" t="str">
        <f>_xlfn.XLOOKUP(AllDataCorrected[[#This Row],[Site Name]],LocationsKey[Site Name], LocationsKey[Waterway])</f>
        <v>Stour</v>
      </c>
      <c r="K1098" t="s">
        <v>517</v>
      </c>
      <c r="L1098">
        <f>_xlfn.XLOOKUP(AllDataCorrected[[#This Row],[Site Name]],Tables!$B$12:$B$78, Tables!C$12:C$78)</f>
        <v>52.053154375000005</v>
      </c>
      <c r="M1098">
        <f>_xlfn.XLOOKUP(AllDataCorrected[[#This Row],[Site Name]],Tables!$B$12:$B$78, Tables!D$12:D$78)</f>
        <v>-1.6191991562500001</v>
      </c>
      <c r="N1098" t="s">
        <v>23</v>
      </c>
      <c r="O1098">
        <v>543</v>
      </c>
      <c r="P1098">
        <v>18.100000000000001</v>
      </c>
      <c r="Q1098">
        <v>2</v>
      </c>
      <c r="R1098" t="str">
        <f>IF(AllDataCorrected[[#This Row],[Nitrate (PPM)]]&gt;2, "4. Very high (&gt;2ppm)", IF(AllDataCorrected[[#This Row],[Nitrate (PPM)]]&gt;1, "3. High (1-2ppm)", IF(AllDataCorrected[[#This Row],[Nitrate (PPM)]]&gt;0.5, "2. Some evidence (0.5-1ppm)", IF(AllDataCorrected[[#This Row],[Nitrate (PPM)]]&gt;=0, "1. No evidence (&lt;0.5ppm)"))))</f>
        <v>3. High (1-2ppm)</v>
      </c>
      <c r="S1098">
        <v>0.44</v>
      </c>
      <c r="T10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98">
        <v>0.5</v>
      </c>
    </row>
    <row r="1099" spans="1:22" x14ac:dyDescent="0.25">
      <c r="A1099" t="s">
        <v>1491</v>
      </c>
      <c r="B1099" s="2">
        <v>45498</v>
      </c>
      <c r="C1099" t="str" cm="1">
        <f t="array" ref="C10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9">
        <f>YEAR(AllDataCorrected[[#This Row],[Date]])</f>
        <v>2024</v>
      </c>
      <c r="E1099" s="1">
        <v>0.72916666666666663</v>
      </c>
      <c r="F10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9" t="str">
        <f>_xlfn.XLOOKUP(AllDataCorrected[[#This Row],[Location Name]], Locations[Location Name],Locations[Group As])</f>
        <v>Swilgate</v>
      </c>
      <c r="H1099" t="e" vm="1">
        <f>_xlfn.XLOOKUP(AllDataCorrected[[#This Row],[Site Name]],LocationsKey[Site Name],LocationsKey[District])</f>
        <v>#VALUE!</v>
      </c>
      <c r="I1099" t="e" vm="1">
        <f>_xlfn.XLOOKUP(AllDataCorrected[[#This Row],[Site Name]],LocationsKey[Site Name],LocationsKey[Town])</f>
        <v>#VALUE!</v>
      </c>
      <c r="J1099" t="str">
        <f>_xlfn.XLOOKUP(AllDataCorrected[[#This Row],[Site Name]],LocationsKey[Site Name], LocationsKey[Waterway])</f>
        <v>Swilgate</v>
      </c>
      <c r="K1099" t="s">
        <v>84</v>
      </c>
      <c r="L1099">
        <f>_xlfn.XLOOKUP(AllDataCorrected[[#This Row],[Site Name]],Tables!$B$12:$B$78, Tables!C$12:C$78)</f>
        <v>51.9885442</v>
      </c>
      <c r="M1099">
        <f>_xlfn.XLOOKUP(AllDataCorrected[[#This Row],[Site Name]],Tables!$B$12:$B$78, Tables!D$12:D$78)</f>
        <v>-2.1639010000000001</v>
      </c>
      <c r="N1099" t="s">
        <v>23</v>
      </c>
      <c r="O1099">
        <v>890</v>
      </c>
      <c r="P1099">
        <v>19.7</v>
      </c>
      <c r="Q1099">
        <v>4</v>
      </c>
      <c r="R10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9">
        <v>0.94</v>
      </c>
      <c r="T10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9">
        <v>0</v>
      </c>
    </row>
    <row r="1100" spans="1:22" x14ac:dyDescent="0.25">
      <c r="A1100" t="s">
        <v>1493</v>
      </c>
      <c r="B1100" s="2">
        <v>45498</v>
      </c>
      <c r="C1100" t="str" cm="1">
        <f t="array" ref="C11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0">
        <f>YEAR(AllDataCorrected[[#This Row],[Date]])</f>
        <v>2024</v>
      </c>
      <c r="E1100" s="1">
        <v>0.84027777777777779</v>
      </c>
      <c r="F110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00" t="str">
        <f>_xlfn.XLOOKUP(AllDataCorrected[[#This Row],[Location Name]], Locations[Location Name],Locations[Group As])</f>
        <v>Abbey Mill</v>
      </c>
      <c r="H1100" t="e" vm="1">
        <f>_xlfn.XLOOKUP(AllDataCorrected[[#This Row],[Site Name]],LocationsKey[Site Name],LocationsKey[District])</f>
        <v>#VALUE!</v>
      </c>
      <c r="I1100" t="e" vm="1">
        <f>_xlfn.XLOOKUP(AllDataCorrected[[#This Row],[Site Name]],LocationsKey[Site Name],LocationsKey[Town])</f>
        <v>#VALUE!</v>
      </c>
      <c r="J1100" t="str">
        <f>_xlfn.XLOOKUP(AllDataCorrected[[#This Row],[Site Name]],LocationsKey[Site Name], LocationsKey[Waterway])</f>
        <v>Avon</v>
      </c>
      <c r="K1100" t="s">
        <v>25</v>
      </c>
      <c r="L1100">
        <f>_xlfn.XLOOKUP(AllDataCorrected[[#This Row],[Site Name]],Tables!$B$12:$B$78, Tables!C$12:C$78)</f>
        <v>51.991389555555564</v>
      </c>
      <c r="M1100">
        <f>_xlfn.XLOOKUP(AllDataCorrected[[#This Row],[Site Name]],Tables!$B$12:$B$78, Tables!D$12:D$78)</f>
        <v>-2.1620794000000005</v>
      </c>
      <c r="N1100" t="s">
        <v>23</v>
      </c>
      <c r="O1100">
        <v>892</v>
      </c>
      <c r="P1100">
        <v>20.7</v>
      </c>
      <c r="Q1100">
        <v>7</v>
      </c>
      <c r="R11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0">
        <v>0.94</v>
      </c>
      <c r="T11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0">
        <v>0.5</v>
      </c>
    </row>
    <row r="1101" spans="1:22" x14ac:dyDescent="0.25">
      <c r="A1101" t="s">
        <v>1492</v>
      </c>
      <c r="B1101" s="2">
        <v>45499</v>
      </c>
      <c r="C1101" t="str" cm="1">
        <f t="array" ref="C11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1">
        <f>YEAR(AllDataCorrected[[#This Row],[Date]])</f>
        <v>2024</v>
      </c>
      <c r="E1101" s="1">
        <v>0.40625</v>
      </c>
      <c r="F11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1" t="str">
        <f>_xlfn.XLOOKUP(AllDataCorrected[[#This Row],[Location Name]], Locations[Location Name],Locations[Group As])</f>
        <v>Lower Lode</v>
      </c>
      <c r="H1101" t="e" vm="1">
        <f>_xlfn.XLOOKUP(AllDataCorrected[[#This Row],[Site Name]],LocationsKey[Site Name],LocationsKey[District])</f>
        <v>#VALUE!</v>
      </c>
      <c r="I1101" t="e" vm="1">
        <f>_xlfn.XLOOKUP(AllDataCorrected[[#This Row],[Site Name]],LocationsKey[Site Name],LocationsKey[Town])</f>
        <v>#VALUE!</v>
      </c>
      <c r="J1101" t="str">
        <f>_xlfn.XLOOKUP(AllDataCorrected[[#This Row],[Site Name]],LocationsKey[Site Name], LocationsKey[Waterway])</f>
        <v>Avon</v>
      </c>
      <c r="K1101" t="s">
        <v>592</v>
      </c>
      <c r="L1101">
        <f>_xlfn.XLOOKUP(AllDataCorrected[[#This Row],[Site Name]],Tables!$B$12:$B$78, Tables!C$12:C$78)</f>
        <v>51.984954782608689</v>
      </c>
      <c r="M1101">
        <f>_xlfn.XLOOKUP(AllDataCorrected[[#This Row],[Site Name]],Tables!$B$12:$B$78, Tables!D$12:D$78)</f>
        <v>-2.1744283478260868</v>
      </c>
      <c r="N1101" t="s">
        <v>29</v>
      </c>
      <c r="O1101">
        <v>9510</v>
      </c>
      <c r="P1101">
        <v>19.8</v>
      </c>
      <c r="Q1101">
        <v>10</v>
      </c>
      <c r="R11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1">
        <v>0.73</v>
      </c>
      <c r="T11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1">
        <v>0</v>
      </c>
    </row>
    <row r="1102" spans="1:22" x14ac:dyDescent="0.25">
      <c r="A1102" t="s">
        <v>1489</v>
      </c>
      <c r="B1102" s="2">
        <v>45499</v>
      </c>
      <c r="C1102" t="str" cm="1">
        <f t="array" ref="C11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2">
        <f>YEAR(AllDataCorrected[[#This Row],[Date]])</f>
        <v>2024</v>
      </c>
      <c r="E1102" s="1">
        <v>0.71597222222222223</v>
      </c>
      <c r="F11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02" t="str">
        <f>_xlfn.XLOOKUP(AllDataCorrected[[#This Row],[Location Name]], Locations[Location Name],Locations[Group As])</f>
        <v>Carrant Back Lane Beckford</v>
      </c>
      <c r="H1102" t="e" vm="1">
        <f>_xlfn.XLOOKUP(AllDataCorrected[[#This Row],[Site Name]],LocationsKey[Site Name],LocationsKey[District])</f>
        <v>#VALUE!</v>
      </c>
      <c r="I1102" t="str">
        <f>_xlfn.XLOOKUP(AllDataCorrected[[#This Row],[Site Name]],LocationsKey[Site Name],LocationsKey[Town])</f>
        <v>Beckford</v>
      </c>
      <c r="J1102" t="str">
        <f>_xlfn.XLOOKUP(AllDataCorrected[[#This Row],[Site Name]],LocationsKey[Site Name], LocationsKey[Waterway])</f>
        <v>Carrant</v>
      </c>
      <c r="K1102" t="s">
        <v>1490</v>
      </c>
      <c r="L1102">
        <f>_xlfn.XLOOKUP(AllDataCorrected[[#This Row],[Site Name]],Tables!$B$12:$B$78, Tables!C$12:C$78)</f>
        <v>52.017659444444448</v>
      </c>
      <c r="M1102">
        <f>_xlfn.XLOOKUP(AllDataCorrected[[#This Row],[Site Name]],Tables!$B$12:$B$78, Tables!D$12:D$78)</f>
        <v>-2.0390003333333335</v>
      </c>
      <c r="N1102" t="s">
        <v>66</v>
      </c>
      <c r="O1102">
        <v>754</v>
      </c>
      <c r="P1102">
        <v>18.3</v>
      </c>
      <c r="Q1102">
        <v>5</v>
      </c>
      <c r="R11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2">
        <v>0.8</v>
      </c>
      <c r="T11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2">
        <v>0.2</v>
      </c>
    </row>
    <row r="1103" spans="1:22" x14ac:dyDescent="0.25">
      <c r="A1103" t="s">
        <v>1487</v>
      </c>
      <c r="B1103" s="2">
        <v>45499</v>
      </c>
      <c r="C1103" t="str" cm="1">
        <f t="array" ref="C11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3">
        <f>YEAR(AllDataCorrected[[#This Row],[Date]])</f>
        <v>2024</v>
      </c>
      <c r="E1103" s="1">
        <v>0.76041666666666663</v>
      </c>
      <c r="F11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03" t="str">
        <f>_xlfn.XLOOKUP(AllDataCorrected[[#This Row],[Location Name]], Locations[Location Name],Locations[Group As])</f>
        <v>Mill Bridge Peopleton</v>
      </c>
      <c r="H1103" t="e" vm="17">
        <f>_xlfn.XLOOKUP(AllDataCorrected[[#This Row],[Site Name]],LocationsKey[Site Name],LocationsKey[District])</f>
        <v>#VALUE!</v>
      </c>
      <c r="I1103" t="str">
        <f>_xlfn.XLOOKUP(AllDataCorrected[[#This Row],[Site Name]],LocationsKey[Site Name],LocationsKey[Town])</f>
        <v>Peopleton</v>
      </c>
      <c r="J1103" t="str">
        <f>_xlfn.XLOOKUP(AllDataCorrected[[#This Row],[Site Name]],LocationsKey[Site Name], LocationsKey[Waterway])</f>
        <v>Bow Brook</v>
      </c>
      <c r="K1103" t="s">
        <v>921</v>
      </c>
      <c r="L1103">
        <f>_xlfn.XLOOKUP(AllDataCorrected[[#This Row],[Site Name]],Tables!$B$12:$B$78, Tables!C$12:C$78)</f>
        <v>52.15202992857143</v>
      </c>
      <c r="M1103">
        <f>_xlfn.XLOOKUP(AllDataCorrected[[#This Row],[Site Name]],Tables!$B$12:$B$78, Tables!D$12:D$78)</f>
        <v>-2.0954780000000004</v>
      </c>
      <c r="N1103" t="s">
        <v>29</v>
      </c>
      <c r="O1103">
        <v>1130</v>
      </c>
      <c r="P1103">
        <v>18.600000000000001</v>
      </c>
      <c r="Q1103">
        <v>4</v>
      </c>
      <c r="R11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3">
        <v>1.78</v>
      </c>
      <c r="T11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3">
        <v>0.5</v>
      </c>
      <c r="V1103" t="s">
        <v>1488</v>
      </c>
    </row>
    <row r="1104" spans="1:22" x14ac:dyDescent="0.25">
      <c r="A1104" t="s">
        <v>1486</v>
      </c>
      <c r="B1104" s="2">
        <v>45500</v>
      </c>
      <c r="C1104" t="str" cm="1">
        <f t="array" ref="C11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4">
        <f>YEAR(AllDataCorrected[[#This Row],[Date]])</f>
        <v>2024</v>
      </c>
      <c r="E1104" s="1">
        <v>0.42222222222222222</v>
      </c>
      <c r="F11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4" t="str">
        <f>_xlfn.XLOOKUP(AllDataCorrected[[#This Row],[Location Name]], Locations[Location Name],Locations[Group As])</f>
        <v>Pitch 16</v>
      </c>
      <c r="H1104" t="e" vm="2">
        <f>_xlfn.XLOOKUP(AllDataCorrected[[#This Row],[Site Name]],LocationsKey[Site Name],LocationsKey[District])</f>
        <v>#VALUE!</v>
      </c>
      <c r="I1104" t="e" vm="7">
        <f>_xlfn.XLOOKUP(AllDataCorrected[[#This Row],[Site Name]],LocationsKey[Site Name],LocationsKey[Town])</f>
        <v>#VALUE!</v>
      </c>
      <c r="J1104" t="str">
        <f>_xlfn.XLOOKUP(AllDataCorrected[[#This Row],[Site Name]],LocationsKey[Site Name], LocationsKey[Waterway])</f>
        <v>Avon</v>
      </c>
      <c r="K1104" t="s">
        <v>69</v>
      </c>
      <c r="L1104">
        <f>_xlfn.XLOOKUP(AllDataCorrected[[#This Row],[Site Name]],Tables!$B$12:$B$78, Tables!C$12:C$78)</f>
        <v>52.17355294117646</v>
      </c>
      <c r="M1104">
        <f>_xlfn.XLOOKUP(AllDataCorrected[[#This Row],[Site Name]],Tables!$B$12:$B$78, Tables!D$12:D$78)</f>
        <v>-1.7433199411764708</v>
      </c>
      <c r="N1104" t="s">
        <v>29</v>
      </c>
      <c r="O1104">
        <v>951</v>
      </c>
      <c r="P1104">
        <v>21.3</v>
      </c>
      <c r="Q1104">
        <v>10</v>
      </c>
      <c r="R11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4">
        <v>0.56000000000000005</v>
      </c>
      <c r="T11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4">
        <v>0.6</v>
      </c>
      <c r="V1104" t="s">
        <v>1485</v>
      </c>
    </row>
    <row r="1105" spans="1:22" x14ac:dyDescent="0.25">
      <c r="A1105" t="s">
        <v>1480</v>
      </c>
      <c r="B1105" s="2">
        <v>45500</v>
      </c>
      <c r="C1105" t="str" cm="1">
        <f t="array" ref="C11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5">
        <f>YEAR(AllDataCorrected[[#This Row],[Date]])</f>
        <v>2024</v>
      </c>
      <c r="E1105" s="1">
        <v>0.42708333333333331</v>
      </c>
      <c r="F11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5" t="str">
        <f>_xlfn.XLOOKUP(AllDataCorrected[[#This Row],[Location Name]], Locations[Location Name],Locations[Group As])</f>
        <v>Avon Smiths Meadow Wyre Piddle</v>
      </c>
      <c r="H1105" t="e" vm="17">
        <f>_xlfn.XLOOKUP(AllDataCorrected[[#This Row],[Site Name]],LocationsKey[Site Name],LocationsKey[District])</f>
        <v>#VALUE!</v>
      </c>
      <c r="I1105" t="e" vm="20">
        <f>_xlfn.XLOOKUP(AllDataCorrected[[#This Row],[Site Name]],LocationsKey[Site Name],LocationsKey[Town])</f>
        <v>#VALUE!</v>
      </c>
      <c r="J1105" t="str">
        <f>_xlfn.XLOOKUP(AllDataCorrected[[#This Row],[Site Name]],LocationsKey[Site Name], LocationsKey[Waterway])</f>
        <v>Avon</v>
      </c>
      <c r="K1105" t="s">
        <v>741</v>
      </c>
      <c r="L1105">
        <f>_xlfn.XLOOKUP(AllDataCorrected[[#This Row],[Site Name]],Tables!$B$12:$B$78, Tables!C$12:C$78)</f>
        <v>52.123045961538452</v>
      </c>
      <c r="M1105">
        <f>_xlfn.XLOOKUP(AllDataCorrected[[#This Row],[Site Name]],Tables!$B$12:$B$78, Tables!D$12:D$78)</f>
        <v>-2.0572161923076919</v>
      </c>
      <c r="N1105" t="s">
        <v>23</v>
      </c>
      <c r="O1105">
        <v>859</v>
      </c>
      <c r="P1105">
        <v>19.7</v>
      </c>
      <c r="Q1105">
        <v>7</v>
      </c>
      <c r="R11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5">
        <v>1.1200000000000001</v>
      </c>
      <c r="T11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5">
        <v>0.53</v>
      </c>
      <c r="V1105" t="s">
        <v>1481</v>
      </c>
    </row>
    <row r="1106" spans="1:22" x14ac:dyDescent="0.25">
      <c r="A1106" t="s">
        <v>1482</v>
      </c>
      <c r="B1106" s="2">
        <v>45500</v>
      </c>
      <c r="C1106" t="str" cm="1">
        <f t="array" ref="C11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6">
        <f>YEAR(AllDataCorrected[[#This Row],[Date]])</f>
        <v>2024</v>
      </c>
      <c r="E1106" s="1">
        <v>0.4375</v>
      </c>
      <c r="F11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6" t="str">
        <f>_xlfn.XLOOKUP(AllDataCorrected[[#This Row],[Location Name]], Locations[Location Name],Locations[Group As])</f>
        <v>Carrant Bredon Rd</v>
      </c>
      <c r="H1106" t="e" vm="1">
        <f>_xlfn.XLOOKUP(AllDataCorrected[[#This Row],[Site Name]],LocationsKey[Site Name],LocationsKey[District])</f>
        <v>#VALUE!</v>
      </c>
      <c r="I1106" t="e" vm="1">
        <f>_xlfn.XLOOKUP(AllDataCorrected[[#This Row],[Site Name]],LocationsKey[Site Name],LocationsKey[Town])</f>
        <v>#VALUE!</v>
      </c>
      <c r="J1106" t="str">
        <f>_xlfn.XLOOKUP(AllDataCorrected[[#This Row],[Site Name]],LocationsKey[Site Name], LocationsKey[Waterway])</f>
        <v>Carrant</v>
      </c>
      <c r="K1106" t="s">
        <v>600</v>
      </c>
      <c r="L1106">
        <f>_xlfn.XLOOKUP(AllDataCorrected[[#This Row],[Site Name]],Tables!$B$12:$B$78, Tables!C$12:C$78)</f>
        <v>51.996416567567572</v>
      </c>
      <c r="M1106">
        <f>_xlfn.XLOOKUP(AllDataCorrected[[#This Row],[Site Name]],Tables!$B$12:$B$78, Tables!D$12:D$78)</f>
        <v>-2.1556626756756749</v>
      </c>
      <c r="N1106" t="s">
        <v>23</v>
      </c>
      <c r="O1106">
        <v>724</v>
      </c>
      <c r="P1106">
        <v>17.399999999999999</v>
      </c>
      <c r="Q1106">
        <v>5</v>
      </c>
      <c r="R11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6">
        <v>0.66</v>
      </c>
      <c r="T11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6">
        <v>0</v>
      </c>
    </row>
    <row r="1107" spans="1:22" x14ac:dyDescent="0.25">
      <c r="A1107" t="s">
        <v>1478</v>
      </c>
      <c r="B1107" s="2">
        <v>45500</v>
      </c>
      <c r="C1107" t="str" cm="1">
        <f t="array" ref="C11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7">
        <f>YEAR(AllDataCorrected[[#This Row],[Date]])</f>
        <v>2024</v>
      </c>
      <c r="E1107" s="1">
        <v>0.4375</v>
      </c>
      <c r="F11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7" t="str">
        <f>_xlfn.XLOOKUP(AllDataCorrected[[#This Row],[Location Name]], Locations[Location Name],Locations[Group As])</f>
        <v>Piddle Brook Wyre Piddle Bridge</v>
      </c>
      <c r="H1107" t="e" vm="17">
        <f>_xlfn.XLOOKUP(AllDataCorrected[[#This Row],[Site Name]],LocationsKey[Site Name],LocationsKey[District])</f>
        <v>#VALUE!</v>
      </c>
      <c r="I1107" t="e" vm="20">
        <f>_xlfn.XLOOKUP(AllDataCorrected[[#This Row],[Site Name]],LocationsKey[Site Name],LocationsKey[Town])</f>
        <v>#VALUE!</v>
      </c>
      <c r="J1107" t="str">
        <f>_xlfn.XLOOKUP(AllDataCorrected[[#This Row],[Site Name]],LocationsKey[Site Name], LocationsKey[Waterway])</f>
        <v>Piddle Brook</v>
      </c>
      <c r="K1107" t="s">
        <v>744</v>
      </c>
      <c r="L1107">
        <f>_xlfn.XLOOKUP(AllDataCorrected[[#This Row],[Site Name]],Tables!$B$12:$B$78, Tables!C$12:C$78)</f>
        <v>52.126401720000004</v>
      </c>
      <c r="M1107">
        <f>_xlfn.XLOOKUP(AllDataCorrected[[#This Row],[Site Name]],Tables!$B$12:$B$78, Tables!D$12:D$78)</f>
        <v>-2.0565162000000003</v>
      </c>
      <c r="N1107" t="s">
        <v>23</v>
      </c>
      <c r="O1107">
        <v>1620</v>
      </c>
      <c r="P1107">
        <v>16.899999999999999</v>
      </c>
      <c r="Q1107">
        <v>7</v>
      </c>
      <c r="R11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7">
        <v>1.33</v>
      </c>
      <c r="T11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7">
        <v>0.15</v>
      </c>
      <c r="V1107" t="s">
        <v>1479</v>
      </c>
    </row>
    <row r="1108" spans="1:22" x14ac:dyDescent="0.25">
      <c r="A1108" t="s">
        <v>1484</v>
      </c>
      <c r="B1108" s="2">
        <v>45500</v>
      </c>
      <c r="C1108" t="str" cm="1">
        <f t="array" ref="C11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8">
        <f>YEAR(AllDataCorrected[[#This Row],[Date]])</f>
        <v>2024</v>
      </c>
      <c r="E1108" s="1">
        <v>0.44305555555555554</v>
      </c>
      <c r="F11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8" t="str">
        <f>_xlfn.XLOOKUP(AllDataCorrected[[#This Row],[Location Name]], Locations[Location Name],Locations[Group As])</f>
        <v>Avonbank Drive</v>
      </c>
      <c r="H1108" t="e" vm="2">
        <f>_xlfn.XLOOKUP(AllDataCorrected[[#This Row],[Site Name]],LocationsKey[Site Name],LocationsKey[District])</f>
        <v>#VALUE!</v>
      </c>
      <c r="I1108" t="e" vm="7">
        <f>_xlfn.XLOOKUP(AllDataCorrected[[#This Row],[Site Name]],LocationsKey[Site Name],LocationsKey[Town])</f>
        <v>#VALUE!</v>
      </c>
      <c r="J1108" t="str">
        <f>_xlfn.XLOOKUP(AllDataCorrected[[#This Row],[Site Name]],LocationsKey[Site Name], LocationsKey[Waterway])</f>
        <v>Avon</v>
      </c>
      <c r="K1108" t="s">
        <v>65</v>
      </c>
      <c r="L1108">
        <f>_xlfn.XLOOKUP(AllDataCorrected[[#This Row],[Site Name]],Tables!$B$12:$B$78, Tables!C$12:C$78)</f>
        <v>52.177054657142854</v>
      </c>
      <c r="M1108">
        <f>_xlfn.XLOOKUP(AllDataCorrected[[#This Row],[Site Name]],Tables!$B$12:$B$78, Tables!D$12:D$78)</f>
        <v>-1.7358669999999996</v>
      </c>
      <c r="N1108" t="s">
        <v>66</v>
      </c>
      <c r="O1108">
        <v>856</v>
      </c>
      <c r="P1108">
        <v>21.8</v>
      </c>
      <c r="Q1108">
        <v>5</v>
      </c>
      <c r="R11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8">
        <v>0.48</v>
      </c>
      <c r="T11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08">
        <v>0.6</v>
      </c>
      <c r="V1108" t="s">
        <v>1485</v>
      </c>
    </row>
    <row r="1109" spans="1:22" x14ac:dyDescent="0.25">
      <c r="A1109" t="s">
        <v>1483</v>
      </c>
      <c r="B1109" s="2">
        <v>45500</v>
      </c>
      <c r="C1109" t="str" cm="1">
        <f t="array" ref="C11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9">
        <f>YEAR(AllDataCorrected[[#This Row],[Date]])</f>
        <v>2024</v>
      </c>
      <c r="E1109" s="1">
        <v>0.66180555555555554</v>
      </c>
      <c r="F11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09" t="str">
        <f>_xlfn.XLOOKUP(AllDataCorrected[[#This Row],[Location Name]], Locations[Location Name],Locations[Group As])</f>
        <v>Black Bear</v>
      </c>
      <c r="H1109" t="e" vm="1">
        <f>_xlfn.XLOOKUP(AllDataCorrected[[#This Row],[Site Name]],LocationsKey[Site Name],LocationsKey[District])</f>
        <v>#VALUE!</v>
      </c>
      <c r="I1109" t="e" vm="1">
        <f>_xlfn.XLOOKUP(AllDataCorrected[[#This Row],[Site Name]],LocationsKey[Site Name],LocationsKey[Town])</f>
        <v>#VALUE!</v>
      </c>
      <c r="J1109" t="str">
        <f>_xlfn.XLOOKUP(AllDataCorrected[[#This Row],[Site Name]],LocationsKey[Site Name], LocationsKey[Waterway])</f>
        <v>Avon</v>
      </c>
      <c r="K1109" t="s">
        <v>1045</v>
      </c>
      <c r="L1109">
        <f>_xlfn.XLOOKUP(AllDataCorrected[[#This Row],[Site Name]],Tables!$B$12:$B$78, Tables!C$12:C$78)</f>
        <v>51.997435214285723</v>
      </c>
      <c r="M1109">
        <f>_xlfn.XLOOKUP(AllDataCorrected[[#This Row],[Site Name]],Tables!$B$12:$B$78, Tables!D$12:D$78)</f>
        <v>-2.1562056785714288</v>
      </c>
      <c r="N1109" t="s">
        <v>23</v>
      </c>
      <c r="O1109">
        <v>925</v>
      </c>
      <c r="P1109">
        <v>20.3</v>
      </c>
      <c r="Q1109">
        <v>10</v>
      </c>
      <c r="R11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9">
        <v>0.56000000000000005</v>
      </c>
      <c r="T11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9">
        <v>0</v>
      </c>
    </row>
    <row r="1110" spans="1:22" x14ac:dyDescent="0.25">
      <c r="A1110" t="s">
        <v>1692</v>
      </c>
      <c r="B1110" s="2">
        <v>45501</v>
      </c>
      <c r="C1110" t="str" cm="1">
        <f t="array" ref="C11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0">
        <f>YEAR(AllDataCorrected[[#This Row],[Date]])</f>
        <v>2024</v>
      </c>
      <c r="E1110" s="1">
        <v>0.42222222222222222</v>
      </c>
      <c r="F11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0" t="str">
        <f>_xlfn.XLOOKUP(AllDataCorrected[[#This Row],[Location Name]], Locations[Location Name],Locations[Group As])</f>
        <v>Sherbourne Brook 1</v>
      </c>
      <c r="H1110" t="e" vm="2">
        <f>_xlfn.XLOOKUP(AllDataCorrected[[#This Row],[Site Name]],LocationsKey[Site Name],LocationsKey[District])</f>
        <v>#VALUE!</v>
      </c>
      <c r="I1110" t="e" vm="16">
        <f>_xlfn.XLOOKUP(AllDataCorrected[[#This Row],[Site Name]],LocationsKey[Site Name],LocationsKey[Town])</f>
        <v>#VALUE!</v>
      </c>
      <c r="J1110" t="str">
        <f>_xlfn.XLOOKUP(AllDataCorrected[[#This Row],[Site Name]],LocationsKey[Site Name], LocationsKey[Waterway])</f>
        <v>Sherbourne Brook</v>
      </c>
      <c r="K1110" t="s">
        <v>570</v>
      </c>
      <c r="L1110">
        <f>_xlfn.XLOOKUP(AllDataCorrected[[#This Row],[Site Name]],Tables!$B$12:$B$78, Tables!C$12:C$78)</f>
        <v>52.252500000000033</v>
      </c>
      <c r="M1110">
        <f>_xlfn.XLOOKUP(AllDataCorrected[[#This Row],[Site Name]],Tables!$B$12:$B$78, Tables!D$12:D$78)</f>
        <v>-1.6685000000000012</v>
      </c>
      <c r="N1110" t="s">
        <v>23</v>
      </c>
      <c r="O1110">
        <v>1140</v>
      </c>
      <c r="P1110">
        <v>15.1</v>
      </c>
      <c r="Q1110">
        <v>11</v>
      </c>
      <c r="R11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0">
        <v>0.36</v>
      </c>
      <c r="T11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0">
        <v>0.1</v>
      </c>
    </row>
    <row r="1111" spans="1:22" x14ac:dyDescent="0.25">
      <c r="A1111" t="s">
        <v>1691</v>
      </c>
      <c r="B1111" s="2">
        <v>45501</v>
      </c>
      <c r="C1111" t="str" cm="1">
        <f t="array" ref="C11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1">
        <f>YEAR(AllDataCorrected[[#This Row],[Date]])</f>
        <v>2024</v>
      </c>
      <c r="E1111" s="1">
        <v>0.42708333333333331</v>
      </c>
      <c r="F11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1" t="str">
        <f>_xlfn.XLOOKUP(AllDataCorrected[[#This Row],[Location Name]], Locations[Location Name],Locations[Group As])</f>
        <v>Bell Brook 1</v>
      </c>
      <c r="H1111" t="e" vm="2">
        <f>_xlfn.XLOOKUP(AllDataCorrected[[#This Row],[Site Name]],LocationsKey[Site Name],LocationsKey[District])</f>
        <v>#VALUE!</v>
      </c>
      <c r="I1111" t="e" vm="15">
        <f>_xlfn.XLOOKUP(AllDataCorrected[[#This Row],[Site Name]],LocationsKey[Site Name],LocationsKey[Town])</f>
        <v>#VALUE!</v>
      </c>
      <c r="J1111" t="str">
        <f>_xlfn.XLOOKUP(AllDataCorrected[[#This Row],[Site Name]],LocationsKey[Site Name], LocationsKey[Waterway])</f>
        <v>Bell Brook</v>
      </c>
      <c r="K1111" t="s">
        <v>534</v>
      </c>
      <c r="L1111">
        <f>_xlfn.XLOOKUP(AllDataCorrected[[#This Row],[Site Name]],Tables!$B$12:$B$78, Tables!C$12:C$78)</f>
        <v>52.24489999999998</v>
      </c>
      <c r="M1111">
        <f>_xlfn.XLOOKUP(AllDataCorrected[[#This Row],[Site Name]],Tables!$B$12:$B$78, Tables!D$12:D$78)</f>
        <v>-1.6617000000000013</v>
      </c>
      <c r="N1111" t="s">
        <v>23</v>
      </c>
      <c r="O1111">
        <v>858</v>
      </c>
      <c r="P1111">
        <v>16.3</v>
      </c>
      <c r="Q1111">
        <v>8</v>
      </c>
      <c r="R11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1">
        <v>0.85</v>
      </c>
      <c r="T11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1">
        <v>0.1</v>
      </c>
    </row>
    <row r="1112" spans="1:22" x14ac:dyDescent="0.25">
      <c r="A1112" t="s">
        <v>1512</v>
      </c>
      <c r="B1112" s="2">
        <v>45488</v>
      </c>
      <c r="C1112" t="str" cm="1">
        <f t="array" ref="C11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2">
        <f>YEAR(AllDataCorrected[[#This Row],[Date]])</f>
        <v>2024</v>
      </c>
      <c r="E1112" s="1">
        <v>0.28472222222222221</v>
      </c>
      <c r="F11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2" t="str">
        <f>_xlfn.XLOOKUP(AllDataCorrected[[#This Row],[Location Name]], Locations[Location Name],Locations[Group As])</f>
        <v>Chipping Campden Lady J Gateway</v>
      </c>
      <c r="H1112" t="e" vm="23">
        <f>_xlfn.XLOOKUP(AllDataCorrected[[#This Row],[Site Name]],LocationsKey[Site Name],LocationsKey[District])</f>
        <v>#VALUE!</v>
      </c>
      <c r="I1112" t="e" vm="24">
        <f>_xlfn.XLOOKUP(AllDataCorrected[[#This Row],[Site Name]],LocationsKey[Site Name],LocationsKey[Town])</f>
        <v>#VALUE!</v>
      </c>
      <c r="J1112" t="str">
        <f>_xlfn.XLOOKUP(AllDataCorrected[[#This Row],[Site Name]],LocationsKey[Site Name], LocationsKey[Waterway])</f>
        <v>Cam Brook</v>
      </c>
      <c r="K1112" t="s">
        <v>1476</v>
      </c>
      <c r="L1112" t="str">
        <f>_xlfn.XLOOKUP(AllDataCorrected[[#This Row],[Site Name]],Tables!$B$12:$B$78, Tables!C$12:C$78)</f>
        <v>Unknown</v>
      </c>
      <c r="M1112" t="str">
        <f>_xlfn.XLOOKUP(AllDataCorrected[[#This Row],[Site Name]],Tables!$B$12:$B$78, Tables!D$12:D$78)</f>
        <v>Unknown</v>
      </c>
      <c r="N1112" t="s">
        <v>66</v>
      </c>
      <c r="O1112">
        <v>524</v>
      </c>
      <c r="P1112">
        <v>15.3</v>
      </c>
      <c r="Q1112">
        <v>5</v>
      </c>
      <c r="R11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2">
        <v>0.04</v>
      </c>
      <c r="T1112"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12">
        <v>0.09</v>
      </c>
    </row>
    <row r="1113" spans="1:22" x14ac:dyDescent="0.25">
      <c r="A1113" t="s">
        <v>1515</v>
      </c>
      <c r="B1113" s="2">
        <v>45495</v>
      </c>
      <c r="C1113" t="str" cm="1">
        <f t="array" ref="C11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3">
        <f>YEAR(AllDataCorrected[[#This Row],[Date]])</f>
        <v>2024</v>
      </c>
      <c r="E1113" s="1">
        <v>0.34375</v>
      </c>
      <c r="F11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3" t="str">
        <f>_xlfn.XLOOKUP(AllDataCorrected[[#This Row],[Location Name]], Locations[Location Name],Locations[Group As])</f>
        <v>Chipping Campden Lady J Gateway</v>
      </c>
      <c r="H1113" t="e" vm="23">
        <f>_xlfn.XLOOKUP(AllDataCorrected[[#This Row],[Site Name]],LocationsKey[Site Name],LocationsKey[District])</f>
        <v>#VALUE!</v>
      </c>
      <c r="I1113" t="e" vm="24">
        <f>_xlfn.XLOOKUP(AllDataCorrected[[#This Row],[Site Name]],LocationsKey[Site Name],LocationsKey[Town])</f>
        <v>#VALUE!</v>
      </c>
      <c r="J1113" t="str">
        <f>_xlfn.XLOOKUP(AllDataCorrected[[#This Row],[Site Name]],LocationsKey[Site Name], LocationsKey[Waterway])</f>
        <v>Cam Brook</v>
      </c>
      <c r="K1113" t="s">
        <v>1476</v>
      </c>
      <c r="L1113" t="str">
        <f>_xlfn.XLOOKUP(AllDataCorrected[[#This Row],[Site Name]],Tables!$B$12:$B$78, Tables!C$12:C$78)</f>
        <v>Unknown</v>
      </c>
      <c r="M1113" t="str">
        <f>_xlfn.XLOOKUP(AllDataCorrected[[#This Row],[Site Name]],Tables!$B$12:$B$78, Tables!D$12:D$78)</f>
        <v>Unknown</v>
      </c>
      <c r="N1113" t="s">
        <v>66</v>
      </c>
      <c r="O1113">
        <v>458</v>
      </c>
      <c r="P1113">
        <v>17.8</v>
      </c>
      <c r="Q1113">
        <v>5</v>
      </c>
      <c r="R11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3">
        <v>0.06</v>
      </c>
      <c r="T111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13">
        <v>0.11</v>
      </c>
    </row>
    <row r="1114" spans="1:22" x14ac:dyDescent="0.25">
      <c r="A1114" t="s">
        <v>1471</v>
      </c>
      <c r="B1114" s="2">
        <v>45502</v>
      </c>
      <c r="C1114" t="str" cm="1">
        <f t="array" ref="C11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4">
        <f>YEAR(AllDataCorrected[[#This Row],[Date]])</f>
        <v>2024</v>
      </c>
      <c r="E1114" s="1">
        <v>0.45833333333333331</v>
      </c>
      <c r="F11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4" t="str">
        <f>_xlfn.XLOOKUP(AllDataCorrected[[#This Row],[Location Name]], Locations[Location Name],Locations[Group As])</f>
        <v>Carrant M5 Bridge</v>
      </c>
      <c r="H1114" t="e" vm="1">
        <f>_xlfn.XLOOKUP(AllDataCorrected[[#This Row],[Site Name]],LocationsKey[Site Name],LocationsKey[District])</f>
        <v>#VALUE!</v>
      </c>
      <c r="I1114" t="e" vm="1">
        <f>_xlfn.XLOOKUP(AllDataCorrected[[#This Row],[Site Name]],LocationsKey[Site Name],LocationsKey[Town])</f>
        <v>#VALUE!</v>
      </c>
      <c r="J1114" t="str">
        <f>_xlfn.XLOOKUP(AllDataCorrected[[#This Row],[Site Name]],LocationsKey[Site Name], LocationsKey[Waterway])</f>
        <v>Carrant</v>
      </c>
      <c r="K1114" t="s">
        <v>1015</v>
      </c>
      <c r="L1114">
        <f>_xlfn.XLOOKUP(AllDataCorrected[[#This Row],[Site Name]],Tables!$B$12:$B$78, Tables!C$12:C$78)</f>
        <v>52.011600000000001</v>
      </c>
      <c r="M1114">
        <f>_xlfn.XLOOKUP(AllDataCorrected[[#This Row],[Site Name]],Tables!$B$12:$B$78, Tables!D$12:D$78)</f>
        <v>-2.1206</v>
      </c>
      <c r="N1114" t="s">
        <v>23</v>
      </c>
      <c r="O1114">
        <v>504</v>
      </c>
      <c r="P1114">
        <v>21.3</v>
      </c>
      <c r="Q1114">
        <v>6</v>
      </c>
      <c r="R11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4">
        <v>0.17</v>
      </c>
      <c r="T11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4">
        <v>0</v>
      </c>
    </row>
    <row r="1115" spans="1:22" x14ac:dyDescent="0.25">
      <c r="A1115" t="s">
        <v>1464</v>
      </c>
      <c r="B1115" s="2">
        <v>45502</v>
      </c>
      <c r="C1115" t="str" cm="1">
        <f t="array" ref="C11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5">
        <f>YEAR(AllDataCorrected[[#This Row],[Date]])</f>
        <v>2024</v>
      </c>
      <c r="E1115" s="1">
        <v>0.75694444444444442</v>
      </c>
      <c r="F111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15" t="str">
        <f>_xlfn.XLOOKUP(AllDataCorrected[[#This Row],[Location Name]], Locations[Location Name],Locations[Group As])</f>
        <v>Fell Mill Footbridge</v>
      </c>
      <c r="H1115" t="e" vm="2">
        <f>_xlfn.XLOOKUP(AllDataCorrected[[#This Row],[Site Name]],LocationsKey[Site Name],LocationsKey[District])</f>
        <v>#VALUE!</v>
      </c>
      <c r="I1115" t="e" vm="10">
        <f>_xlfn.XLOOKUP(AllDataCorrected[[#This Row],[Site Name]],LocationsKey[Site Name],LocationsKey[Town])</f>
        <v>#VALUE!</v>
      </c>
      <c r="J1115" t="str">
        <f>_xlfn.XLOOKUP(AllDataCorrected[[#This Row],[Site Name]],LocationsKey[Site Name], LocationsKey[Waterway])</f>
        <v>Stour</v>
      </c>
      <c r="K1115" t="s">
        <v>818</v>
      </c>
      <c r="L1115">
        <f>_xlfn.XLOOKUP(AllDataCorrected[[#This Row],[Site Name]],Tables!$B$12:$B$78, Tables!C$12:C$78)</f>
        <v>52.067966827586183</v>
      </c>
      <c r="M1115">
        <f>_xlfn.XLOOKUP(AllDataCorrected[[#This Row],[Site Name]],Tables!$B$12:$B$78, Tables!D$12:D$78)</f>
        <v>-1.6118101379310343</v>
      </c>
      <c r="N1115" t="s">
        <v>29</v>
      </c>
      <c r="P1115">
        <v>18</v>
      </c>
      <c r="Q1115">
        <v>5</v>
      </c>
      <c r="R11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5">
        <v>0.77</v>
      </c>
      <c r="T11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5">
        <v>1.1000000000000001</v>
      </c>
      <c r="V1115" t="s">
        <v>1465</v>
      </c>
    </row>
    <row r="1116" spans="1:22" x14ac:dyDescent="0.25">
      <c r="A1116" t="s">
        <v>1472</v>
      </c>
      <c r="B1116" s="2">
        <v>45503</v>
      </c>
      <c r="C1116" t="str" cm="1">
        <f t="array" ref="C11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6">
        <f>YEAR(AllDataCorrected[[#This Row],[Date]])</f>
        <v>2024</v>
      </c>
      <c r="E1116" s="1">
        <v>0.4597222222222222</v>
      </c>
      <c r="F11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6" t="str">
        <f>_xlfn.XLOOKUP(AllDataCorrected[[#This Row],[Location Name]], Locations[Location Name],Locations[Group As])</f>
        <v>Carrant Mitton Path</v>
      </c>
      <c r="H1116" t="e" vm="1">
        <f>_xlfn.XLOOKUP(AllDataCorrected[[#This Row],[Site Name]],LocationsKey[Site Name],LocationsKey[District])</f>
        <v>#VALUE!</v>
      </c>
      <c r="I1116" t="e" vm="1">
        <f>_xlfn.XLOOKUP(AllDataCorrected[[#This Row],[Site Name]],LocationsKey[Site Name],LocationsKey[Town])</f>
        <v>#VALUE!</v>
      </c>
      <c r="J1116" t="str">
        <f>_xlfn.XLOOKUP(AllDataCorrected[[#This Row],[Site Name]],LocationsKey[Site Name], LocationsKey[Waterway])</f>
        <v>Carrant</v>
      </c>
      <c r="K1116" t="s">
        <v>958</v>
      </c>
      <c r="L1116">
        <f>_xlfn.XLOOKUP(AllDataCorrected[[#This Row],[Site Name]],Tables!$B$12:$B$78, Tables!C$12:C$78)</f>
        <v>51.999946066666674</v>
      </c>
      <c r="M1116">
        <f>_xlfn.XLOOKUP(AllDataCorrected[[#This Row],[Site Name]],Tables!$B$12:$B$78, Tables!D$12:D$78)</f>
        <v>-2.1414862000000006</v>
      </c>
      <c r="N1116" t="s">
        <v>23</v>
      </c>
      <c r="O1116">
        <v>645</v>
      </c>
      <c r="P1116">
        <v>19.2</v>
      </c>
      <c r="Q1116">
        <v>5</v>
      </c>
      <c r="R11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6">
        <v>0.46</v>
      </c>
      <c r="T11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6">
        <v>0</v>
      </c>
    </row>
    <row r="1117" spans="1:22" x14ac:dyDescent="0.25">
      <c r="A1117" t="s">
        <v>1469</v>
      </c>
      <c r="B1117" s="2">
        <v>45504</v>
      </c>
      <c r="C1117" t="str" cm="1">
        <f t="array" ref="C11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7">
        <f>YEAR(AllDataCorrected[[#This Row],[Date]])</f>
        <v>2024</v>
      </c>
      <c r="E1117" s="1">
        <v>0.59375</v>
      </c>
      <c r="F11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17" t="str">
        <f>_xlfn.XLOOKUP(AllDataCorrected[[#This Row],[Location Name]], Locations[Location Name],Locations[Group As])</f>
        <v>Alveston Weir</v>
      </c>
      <c r="H1117" t="e" vm="2">
        <f>_xlfn.XLOOKUP(AllDataCorrected[[#This Row],[Site Name]],LocationsKey[Site Name],LocationsKey[District])</f>
        <v>#VALUE!</v>
      </c>
      <c r="I1117" t="e" vm="13">
        <f>_xlfn.XLOOKUP(AllDataCorrected[[#This Row],[Site Name]],LocationsKey[Site Name],LocationsKey[Town])</f>
        <v>#VALUE!</v>
      </c>
      <c r="J1117" t="str">
        <f>_xlfn.XLOOKUP(AllDataCorrected[[#This Row],[Site Name]],LocationsKey[Site Name], LocationsKey[Waterway])</f>
        <v>Avon</v>
      </c>
      <c r="K1117" t="s">
        <v>286</v>
      </c>
      <c r="L1117">
        <f>_xlfn.XLOOKUP(AllDataCorrected[[#This Row],[Site Name]],Tables!$B$12:$B$78, Tables!C$12:C$78)</f>
        <v>52.212366690476216</v>
      </c>
      <c r="M1117">
        <f>_xlfn.XLOOKUP(AllDataCorrected[[#This Row],[Site Name]],Tables!$B$12:$B$78, Tables!D$12:D$78)</f>
        <v>-1.6602567619047619</v>
      </c>
      <c r="N1117" t="s">
        <v>29</v>
      </c>
      <c r="O1117">
        <v>758</v>
      </c>
      <c r="P1117">
        <v>23.4</v>
      </c>
      <c r="Q1117">
        <v>10</v>
      </c>
      <c r="R11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7">
        <v>0.53</v>
      </c>
      <c r="T11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7">
        <v>-1.5</v>
      </c>
      <c r="V1117" t="s">
        <v>1470</v>
      </c>
    </row>
    <row r="1118" spans="1:22" x14ac:dyDescent="0.25">
      <c r="A1118" t="s">
        <v>1467</v>
      </c>
      <c r="B1118" s="2">
        <v>45504</v>
      </c>
      <c r="C1118" t="str" cm="1">
        <f t="array" ref="C11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8">
        <f>YEAR(AllDataCorrected[[#This Row],[Date]])</f>
        <v>2024</v>
      </c>
      <c r="E1118" s="1">
        <v>0.60069444444444442</v>
      </c>
      <c r="F11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18" t="str">
        <f>_xlfn.XLOOKUP(AllDataCorrected[[#This Row],[Location Name]], Locations[Location Name],Locations[Group As])</f>
        <v>Swiffen Bank</v>
      </c>
      <c r="H1118" t="e" vm="2">
        <f>_xlfn.XLOOKUP(AllDataCorrected[[#This Row],[Site Name]],LocationsKey[Site Name],LocationsKey[District])</f>
        <v>#VALUE!</v>
      </c>
      <c r="I1118" t="e" vm="13">
        <f>_xlfn.XLOOKUP(AllDataCorrected[[#This Row],[Site Name]],LocationsKey[Site Name],LocationsKey[Town])</f>
        <v>#VALUE!</v>
      </c>
      <c r="J1118" t="str">
        <f>_xlfn.XLOOKUP(AllDataCorrected[[#This Row],[Site Name]],LocationsKey[Site Name], LocationsKey[Waterway])</f>
        <v>Avon</v>
      </c>
      <c r="K1118" t="s">
        <v>284</v>
      </c>
      <c r="L1118">
        <f>_xlfn.XLOOKUP(AllDataCorrected[[#This Row],[Site Name]],Tables!$B$12:$B$78, Tables!C$12:C$78)</f>
        <v>52.206446825000015</v>
      </c>
      <c r="M1118">
        <f>_xlfn.XLOOKUP(AllDataCorrected[[#This Row],[Site Name]],Tables!$B$12:$B$78, Tables!D$12:D$78)</f>
        <v>-1.6541684000000003</v>
      </c>
      <c r="N1118" t="s">
        <v>29</v>
      </c>
      <c r="O1118">
        <v>776</v>
      </c>
      <c r="P1118">
        <v>22.8</v>
      </c>
      <c r="Q1118">
        <v>10</v>
      </c>
      <c r="R11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8">
        <v>0.71</v>
      </c>
      <c r="T11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8">
        <v>-0.5</v>
      </c>
      <c r="V1118" t="s">
        <v>1468</v>
      </c>
    </row>
    <row r="1119" spans="1:22" x14ac:dyDescent="0.25">
      <c r="A1119" t="s">
        <v>1839</v>
      </c>
      <c r="B1119" s="2">
        <v>45505</v>
      </c>
      <c r="C1119" t="str" cm="1">
        <f t="array" ref="C11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9">
        <f>YEAR(AllDataCorrected[[#This Row],[Date]])</f>
        <v>2024</v>
      </c>
      <c r="E1119" s="1">
        <v>0.40972222222222221</v>
      </c>
      <c r="F11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9" t="str">
        <f>_xlfn.XLOOKUP(AllDataCorrected[[#This Row],[Location Name]], Locations[Location Name],Locations[Group As])</f>
        <v>Carrant A38</v>
      </c>
      <c r="H1119" t="e" vm="1">
        <f>_xlfn.XLOOKUP(AllDataCorrected[[#This Row],[Site Name]],LocationsKey[Site Name],LocationsKey[District])</f>
        <v>#VALUE!</v>
      </c>
      <c r="I1119" t="str">
        <f>_xlfn.XLOOKUP(AllDataCorrected[[#This Row],[Site Name]],LocationsKey[Site Name],LocationsKey[Town])</f>
        <v>Unknown</v>
      </c>
      <c r="J1119" t="str">
        <f>_xlfn.XLOOKUP(AllDataCorrected[[#This Row],[Site Name]],LocationsKey[Site Name], LocationsKey[Waterway])</f>
        <v>Carrant</v>
      </c>
      <c r="K1119" t="s">
        <v>1863</v>
      </c>
      <c r="L1119" t="str">
        <f>_xlfn.XLOOKUP(AllDataCorrected[[#This Row],[Site Name]],Tables!$B$12:$B$78, Tables!C$12:C$78)</f>
        <v>Unknown</v>
      </c>
      <c r="M1119" t="str">
        <f>_xlfn.XLOOKUP(AllDataCorrected[[#This Row],[Site Name]],Tables!$B$12:$B$78, Tables!D$12:D$78)</f>
        <v>Unknown</v>
      </c>
      <c r="N1119" t="s">
        <v>23</v>
      </c>
      <c r="O1119">
        <v>1050</v>
      </c>
      <c r="P1119">
        <v>20.399999999999999</v>
      </c>
      <c r="Q1119">
        <v>5</v>
      </c>
      <c r="R11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9">
        <v>0.8</v>
      </c>
      <c r="T11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9">
        <v>0</v>
      </c>
    </row>
    <row r="1120" spans="1:22" x14ac:dyDescent="0.25">
      <c r="A1120" t="s">
        <v>1828</v>
      </c>
      <c r="B1120" s="2">
        <v>45505</v>
      </c>
      <c r="C1120" t="str" cm="1">
        <f t="array" ref="C11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0">
        <f>YEAR(AllDataCorrected[[#This Row],[Date]])</f>
        <v>2024</v>
      </c>
      <c r="E1120" s="1">
        <v>0.5</v>
      </c>
      <c r="F11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20" t="str">
        <f>_xlfn.XLOOKUP(AllDataCorrected[[#This Row],[Location Name]], Locations[Location Name],Locations[Group As])</f>
        <v>Stour Willington</v>
      </c>
      <c r="H1120" t="e" vm="2">
        <f>_xlfn.XLOOKUP(AllDataCorrected[[#This Row],[Site Name]],LocationsKey[Site Name],LocationsKey[District])</f>
        <v>#VALUE!</v>
      </c>
      <c r="I1120" t="str">
        <f>_xlfn.XLOOKUP(AllDataCorrected[[#This Row],[Site Name]],LocationsKey[Site Name],LocationsKey[Town])</f>
        <v>Willington</v>
      </c>
      <c r="J1120" t="str">
        <f>_xlfn.XLOOKUP(AllDataCorrected[[#This Row],[Site Name]],LocationsKey[Site Name], LocationsKey[Waterway])</f>
        <v>Stour</v>
      </c>
      <c r="K1120" t="s">
        <v>517</v>
      </c>
      <c r="L1120">
        <f>_xlfn.XLOOKUP(AllDataCorrected[[#This Row],[Site Name]],Tables!$B$12:$B$78, Tables!C$12:C$78)</f>
        <v>52.053154375000005</v>
      </c>
      <c r="M1120">
        <f>_xlfn.XLOOKUP(AllDataCorrected[[#This Row],[Site Name]],Tables!$B$12:$B$78, Tables!D$12:D$78)</f>
        <v>-1.6191991562500001</v>
      </c>
      <c r="N1120" t="s">
        <v>23</v>
      </c>
      <c r="O1120">
        <v>636</v>
      </c>
      <c r="P1120">
        <v>19.8</v>
      </c>
      <c r="Q1120">
        <v>2</v>
      </c>
      <c r="R1120" t="str">
        <f>IF(AllDataCorrected[[#This Row],[Nitrate (PPM)]]&gt;2, "4. Very high (&gt;2ppm)", IF(AllDataCorrected[[#This Row],[Nitrate (PPM)]]&gt;1, "3. High (1-2ppm)", IF(AllDataCorrected[[#This Row],[Nitrate (PPM)]]&gt;0.5, "2. Some evidence (0.5-1ppm)", IF(AllDataCorrected[[#This Row],[Nitrate (PPM)]]&gt;=0, "1. No evidence (&lt;0.5ppm)"))))</f>
        <v>3. High (1-2ppm)</v>
      </c>
      <c r="S1120">
        <v>0.51</v>
      </c>
      <c r="T11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0">
        <v>0.5</v>
      </c>
    </row>
    <row r="1121" spans="1:22" x14ac:dyDescent="0.25">
      <c r="A1121" t="s">
        <v>1466</v>
      </c>
      <c r="B1121" s="2">
        <v>45506</v>
      </c>
      <c r="C1121" t="str" cm="1">
        <f t="array" ref="C11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1">
        <f>YEAR(AllDataCorrected[[#This Row],[Date]])</f>
        <v>2024</v>
      </c>
      <c r="E1121" s="1">
        <v>0.34583333333333333</v>
      </c>
      <c r="F112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1" t="str">
        <f>_xlfn.XLOOKUP(AllDataCorrected[[#This Row],[Location Name]], Locations[Location Name],Locations[Group As])</f>
        <v>Lower Lode</v>
      </c>
      <c r="H1121" t="e" vm="1">
        <f>_xlfn.XLOOKUP(AllDataCorrected[[#This Row],[Site Name]],LocationsKey[Site Name],LocationsKey[District])</f>
        <v>#VALUE!</v>
      </c>
      <c r="I1121" t="e" vm="1">
        <f>_xlfn.XLOOKUP(AllDataCorrected[[#This Row],[Site Name]],LocationsKey[Site Name],LocationsKey[Town])</f>
        <v>#VALUE!</v>
      </c>
      <c r="J1121" t="str">
        <f>_xlfn.XLOOKUP(AllDataCorrected[[#This Row],[Site Name]],LocationsKey[Site Name], LocationsKey[Waterway])</f>
        <v>Avon</v>
      </c>
      <c r="K1121" t="s">
        <v>592</v>
      </c>
      <c r="L1121">
        <f>_xlfn.XLOOKUP(AllDataCorrected[[#This Row],[Site Name]],Tables!$B$12:$B$78, Tables!C$12:C$78)</f>
        <v>51.984954782608689</v>
      </c>
      <c r="M1121">
        <f>_xlfn.XLOOKUP(AllDataCorrected[[#This Row],[Site Name]],Tables!$B$12:$B$78, Tables!D$12:D$78)</f>
        <v>-2.1744283478260868</v>
      </c>
      <c r="N1121" t="s">
        <v>29</v>
      </c>
      <c r="O1121">
        <v>8140</v>
      </c>
      <c r="P1121">
        <v>22</v>
      </c>
      <c r="Q1121">
        <v>10</v>
      </c>
      <c r="R11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1">
        <v>0.92</v>
      </c>
      <c r="T11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1">
        <v>0</v>
      </c>
    </row>
    <row r="1122" spans="1:22" x14ac:dyDescent="0.25">
      <c r="A1122" t="s">
        <v>1847</v>
      </c>
      <c r="B1122" s="2">
        <v>45506</v>
      </c>
      <c r="C1122" t="str" cm="1">
        <f t="array" ref="C11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2">
        <f>YEAR(AllDataCorrected[[#This Row],[Date]])</f>
        <v>2024</v>
      </c>
      <c r="E1122" s="1">
        <v>0.43333333333333335</v>
      </c>
      <c r="F112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2" t="str">
        <f>_xlfn.XLOOKUP(AllDataCorrected[[#This Row],[Location Name]], Locations[Location Name],Locations[Group As])</f>
        <v>Bredon Marina</v>
      </c>
      <c r="H1122" t="e" vm="1">
        <f>_xlfn.XLOOKUP(AllDataCorrected[[#This Row],[Site Name]],LocationsKey[Site Name],LocationsKey[District])</f>
        <v>#VALUE!</v>
      </c>
      <c r="I1122" t="e" vm="25">
        <f>_xlfn.XLOOKUP(AllDataCorrected[[#This Row],[Site Name]],LocationsKey[Site Name],LocationsKey[Town])</f>
        <v>#VALUE!</v>
      </c>
      <c r="J1122" t="str">
        <f>_xlfn.XLOOKUP(AllDataCorrected[[#This Row],[Site Name]],LocationsKey[Site Name], LocationsKey[Waterway])</f>
        <v>Avon</v>
      </c>
      <c r="K1122" t="s">
        <v>1500</v>
      </c>
      <c r="L1122">
        <f>_xlfn.XLOOKUP(AllDataCorrected[[#This Row],[Site Name]],Tables!$B$12:$B$78, Tables!C$12:C$78)</f>
        <v>52.032660333333332</v>
      </c>
      <c r="M1122">
        <f>_xlfn.XLOOKUP(AllDataCorrected[[#This Row],[Site Name]],Tables!$B$12:$B$78, Tables!D$12:D$78)</f>
        <v>-2.1157033333333337</v>
      </c>
      <c r="N1122" t="s">
        <v>29</v>
      </c>
      <c r="O1122">
        <v>9560</v>
      </c>
      <c r="P1122">
        <v>22.8</v>
      </c>
      <c r="Q1122">
        <v>10</v>
      </c>
      <c r="R11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2">
        <v>1.21</v>
      </c>
      <c r="T11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2">
        <v>0</v>
      </c>
    </row>
    <row r="1123" spans="1:22" x14ac:dyDescent="0.25">
      <c r="A1123" t="s">
        <v>1846</v>
      </c>
      <c r="B1123" s="2">
        <v>45506</v>
      </c>
      <c r="C1123" t="str" cm="1">
        <f t="array" ref="C11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3">
        <f>YEAR(AllDataCorrected[[#This Row],[Date]])</f>
        <v>2024</v>
      </c>
      <c r="E1123" s="1">
        <v>0.73819444444444449</v>
      </c>
      <c r="F11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23" t="str">
        <f>_xlfn.XLOOKUP(AllDataCorrected[[#This Row],[Location Name]], Locations[Location Name],Locations[Group As])</f>
        <v>Preston-on-Stour River Bridge</v>
      </c>
      <c r="H1123" t="e" vm="2">
        <f>_xlfn.XLOOKUP(AllDataCorrected[[#This Row],[Site Name]],LocationsKey[Site Name],LocationsKey[District])</f>
        <v>#VALUE!</v>
      </c>
      <c r="I1123" t="e" vm="9">
        <f>_xlfn.XLOOKUP(AllDataCorrected[[#This Row],[Site Name]],LocationsKey[Site Name],LocationsKey[Town])</f>
        <v>#VALUE!</v>
      </c>
      <c r="J1123" t="str">
        <f>_xlfn.XLOOKUP(AllDataCorrected[[#This Row],[Site Name]],LocationsKey[Site Name], LocationsKey[Waterway])</f>
        <v>Stour</v>
      </c>
      <c r="K1123" t="s">
        <v>163</v>
      </c>
      <c r="L1123">
        <f>_xlfn.XLOOKUP(AllDataCorrected[[#This Row],[Site Name]],Tables!$B$12:$B$78, Tables!C$12:C$78)</f>
        <v>52.146529500000007</v>
      </c>
      <c r="M1123">
        <f>_xlfn.XLOOKUP(AllDataCorrected[[#This Row],[Site Name]],Tables!$B$12:$B$78, Tables!D$12:D$78)</f>
        <v>-1.6996899999999999</v>
      </c>
      <c r="N1123" t="s">
        <v>29</v>
      </c>
      <c r="O1123">
        <v>646</v>
      </c>
      <c r="P1123">
        <v>21.2</v>
      </c>
      <c r="Q1123">
        <v>6</v>
      </c>
      <c r="R112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3">
        <v>0.41</v>
      </c>
      <c r="T11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3">
        <v>1</v>
      </c>
      <c r="V1123" t="s">
        <v>1936</v>
      </c>
    </row>
    <row r="1124" spans="1:22" x14ac:dyDescent="0.25">
      <c r="A1124" t="s">
        <v>1845</v>
      </c>
      <c r="B1124" s="2">
        <v>45507</v>
      </c>
      <c r="C1124" t="str" cm="1">
        <f t="array" ref="C11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4">
        <f>YEAR(AllDataCorrected[[#This Row],[Date]])</f>
        <v>2024</v>
      </c>
      <c r="E1124" s="1">
        <v>0.39930555555555558</v>
      </c>
      <c r="F11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4" t="str">
        <f>_xlfn.XLOOKUP(AllDataCorrected[[#This Row],[Location Name]], Locations[Location Name],Locations[Group As])</f>
        <v>Avon Smiths Meadow Wyre Piddle</v>
      </c>
      <c r="H1124" t="e" vm="17">
        <f>_xlfn.XLOOKUP(AllDataCorrected[[#This Row],[Site Name]],LocationsKey[Site Name],LocationsKey[District])</f>
        <v>#VALUE!</v>
      </c>
      <c r="I1124" t="e" vm="20">
        <f>_xlfn.XLOOKUP(AllDataCorrected[[#This Row],[Site Name]],LocationsKey[Site Name],LocationsKey[Town])</f>
        <v>#VALUE!</v>
      </c>
      <c r="J1124" t="str">
        <f>_xlfn.XLOOKUP(AllDataCorrected[[#This Row],[Site Name]],LocationsKey[Site Name], LocationsKey[Waterway])</f>
        <v>Avon</v>
      </c>
      <c r="K1124" t="s">
        <v>741</v>
      </c>
      <c r="L1124">
        <f>_xlfn.XLOOKUP(AllDataCorrected[[#This Row],[Site Name]],Tables!$B$12:$B$78, Tables!C$12:C$78)</f>
        <v>52.123045961538452</v>
      </c>
      <c r="M1124">
        <f>_xlfn.XLOOKUP(AllDataCorrected[[#This Row],[Site Name]],Tables!$B$12:$B$78, Tables!D$12:D$78)</f>
        <v>-2.0572161923076919</v>
      </c>
      <c r="N1124" t="s">
        <v>23</v>
      </c>
      <c r="O1124">
        <v>1030</v>
      </c>
      <c r="P1124">
        <v>22.6</v>
      </c>
      <c r="Q1124">
        <v>10</v>
      </c>
      <c r="R11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4">
        <v>1.06</v>
      </c>
      <c r="T11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4">
        <v>0.55000000000000004</v>
      </c>
      <c r="V1124" t="s">
        <v>1935</v>
      </c>
    </row>
    <row r="1125" spans="1:22" x14ac:dyDescent="0.25">
      <c r="A1125" t="s">
        <v>1844</v>
      </c>
      <c r="B1125" s="2">
        <v>45507</v>
      </c>
      <c r="C1125" t="str" cm="1">
        <f t="array" ref="C11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5">
        <f>YEAR(AllDataCorrected[[#This Row],[Date]])</f>
        <v>2024</v>
      </c>
      <c r="E1125" s="1">
        <v>0.42638888888888887</v>
      </c>
      <c r="F11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5" t="str">
        <f>_xlfn.XLOOKUP(AllDataCorrected[[#This Row],[Location Name]], Locations[Location Name],Locations[Group As])</f>
        <v>Piddle Brook Wyre Piddle Bridge</v>
      </c>
      <c r="H1125" t="e" vm="17">
        <f>_xlfn.XLOOKUP(AllDataCorrected[[#This Row],[Site Name]],LocationsKey[Site Name],LocationsKey[District])</f>
        <v>#VALUE!</v>
      </c>
      <c r="I1125" t="e" vm="20">
        <f>_xlfn.XLOOKUP(AllDataCorrected[[#This Row],[Site Name]],LocationsKey[Site Name],LocationsKey[Town])</f>
        <v>#VALUE!</v>
      </c>
      <c r="J1125" t="str">
        <f>_xlfn.XLOOKUP(AllDataCorrected[[#This Row],[Site Name]],LocationsKey[Site Name], LocationsKey[Waterway])</f>
        <v>Piddle Brook</v>
      </c>
      <c r="K1125" t="s">
        <v>744</v>
      </c>
      <c r="L1125">
        <f>_xlfn.XLOOKUP(AllDataCorrected[[#This Row],[Site Name]],Tables!$B$12:$B$78, Tables!C$12:C$78)</f>
        <v>52.126401720000004</v>
      </c>
      <c r="M1125">
        <f>_xlfn.XLOOKUP(AllDataCorrected[[#This Row],[Site Name]],Tables!$B$12:$B$78, Tables!D$12:D$78)</f>
        <v>-2.0565162000000003</v>
      </c>
      <c r="N1125" t="s">
        <v>23</v>
      </c>
      <c r="O1125">
        <v>1800</v>
      </c>
      <c r="P1125">
        <v>19.100000000000001</v>
      </c>
      <c r="Q1125">
        <v>5</v>
      </c>
      <c r="R112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5">
        <v>1.32</v>
      </c>
      <c r="T11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5">
        <v>0.15</v>
      </c>
      <c r="V1125" t="s">
        <v>1934</v>
      </c>
    </row>
    <row r="1126" spans="1:22" x14ac:dyDescent="0.25">
      <c r="A1126" t="s">
        <v>1843</v>
      </c>
      <c r="B1126" s="2">
        <v>45507</v>
      </c>
      <c r="C1126" t="str" cm="1">
        <f t="array" ref="C11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6">
        <f>YEAR(AllDataCorrected[[#This Row],[Date]])</f>
        <v>2024</v>
      </c>
      <c r="E1126" s="1">
        <v>0.44722222222222224</v>
      </c>
      <c r="F11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6" t="str">
        <f>_xlfn.XLOOKUP(AllDataCorrected[[#This Row],[Location Name]], Locations[Location Name],Locations[Group As])</f>
        <v>Site 1  :  Middle Street</v>
      </c>
      <c r="H1126" t="e" vm="2">
        <f>_xlfn.XLOOKUP(AllDataCorrected[[#This Row],[Site Name]],LocationsKey[Site Name],LocationsKey[District])</f>
        <v>#VALUE!</v>
      </c>
      <c r="I1126" t="e" vm="11">
        <f>_xlfn.XLOOKUP(AllDataCorrected[[#This Row],[Site Name]],LocationsKey[Site Name],LocationsKey[Town])</f>
        <v>#VALUE!</v>
      </c>
      <c r="J1126" t="str">
        <f>_xlfn.XLOOKUP(AllDataCorrected[[#This Row],[Site Name]],LocationsKey[Site Name], LocationsKey[Waterway])</f>
        <v>Fosseway Brook</v>
      </c>
      <c r="K1126" t="s">
        <v>1866</v>
      </c>
      <c r="L1126">
        <f>_xlfn.XLOOKUP(AllDataCorrected[[#This Row],[Site Name]],Tables!$B$12:$B$78, Tables!C$12:C$78)</f>
        <v>52.090077380952394</v>
      </c>
      <c r="M1126">
        <f>_xlfn.XLOOKUP(AllDataCorrected[[#This Row],[Site Name]],Tables!$B$12:$B$78, Tables!D$12:D$78)</f>
        <v>-1.6926051666666673</v>
      </c>
      <c r="N1126" t="s">
        <v>66</v>
      </c>
      <c r="O1126">
        <v>684</v>
      </c>
      <c r="P1126">
        <v>20.7</v>
      </c>
      <c r="Q1126">
        <v>0</v>
      </c>
      <c r="R1126"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26">
        <v>0.23</v>
      </c>
      <c r="T11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6">
        <v>0.02</v>
      </c>
      <c r="V1126" t="s">
        <v>1933</v>
      </c>
    </row>
    <row r="1127" spans="1:22" x14ac:dyDescent="0.25">
      <c r="A1127" t="s">
        <v>1842</v>
      </c>
      <c r="B1127" s="2">
        <v>45507</v>
      </c>
      <c r="C1127" t="str" cm="1">
        <f t="array" ref="C11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7">
        <f>YEAR(AllDataCorrected[[#This Row],[Date]])</f>
        <v>2024</v>
      </c>
      <c r="E1127" s="1">
        <v>0.46111111111111114</v>
      </c>
      <c r="F11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7" t="str">
        <f>_xlfn.XLOOKUP(AllDataCorrected[[#This Row],[Location Name]], Locations[Location Name],Locations[Group As])</f>
        <v>Site 2  :  Cross Leys culvert</v>
      </c>
      <c r="H1127" t="e" vm="2">
        <f>_xlfn.XLOOKUP(AllDataCorrected[[#This Row],[Site Name]],LocationsKey[Site Name],LocationsKey[District])</f>
        <v>#VALUE!</v>
      </c>
      <c r="I1127" t="e" vm="11">
        <f>_xlfn.XLOOKUP(AllDataCorrected[[#This Row],[Site Name]],LocationsKey[Site Name],LocationsKey[Town])</f>
        <v>#VALUE!</v>
      </c>
      <c r="J1127" t="str">
        <f>_xlfn.XLOOKUP(AllDataCorrected[[#This Row],[Site Name]],LocationsKey[Site Name], LocationsKey[Waterway])</f>
        <v>Fosseway Brook</v>
      </c>
      <c r="K1127" t="s">
        <v>1865</v>
      </c>
      <c r="L1127">
        <f>_xlfn.XLOOKUP(AllDataCorrected[[#This Row],[Site Name]],Tables!$B$12:$B$78, Tables!C$12:C$78)</f>
        <v>52.092990199999988</v>
      </c>
      <c r="M1127">
        <f>_xlfn.XLOOKUP(AllDataCorrected[[#This Row],[Site Name]],Tables!$B$12:$B$78, Tables!D$12:D$78)</f>
        <v>-1.6862810999999998</v>
      </c>
      <c r="N1127" t="s">
        <v>66</v>
      </c>
      <c r="O1127">
        <v>830</v>
      </c>
      <c r="P1127">
        <v>19.2</v>
      </c>
      <c r="Q1127">
        <v>0.5</v>
      </c>
      <c r="R112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27">
        <v>0.52</v>
      </c>
      <c r="T11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7">
        <v>7.0000000000000007E-2</v>
      </c>
    </row>
    <row r="1128" spans="1:22" x14ac:dyDescent="0.25">
      <c r="A1128" t="s">
        <v>1841</v>
      </c>
      <c r="B1128" s="2">
        <v>45507</v>
      </c>
      <c r="C1128" t="str" cm="1">
        <f t="array" ref="C11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8">
        <f>YEAR(AllDataCorrected[[#This Row],[Date]])</f>
        <v>2024</v>
      </c>
      <c r="E1128" s="1">
        <v>0.47083333333333333</v>
      </c>
      <c r="F11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8" t="str">
        <f>_xlfn.XLOOKUP(AllDataCorrected[[#This Row],[Location Name]], Locations[Location Name],Locations[Group As])</f>
        <v>Site 3  :  Severn Trent Water processing plant outflow</v>
      </c>
      <c r="H1128" t="e" vm="2">
        <f>_xlfn.XLOOKUP(AllDataCorrected[[#This Row],[Site Name]],LocationsKey[Site Name],LocationsKey[District])</f>
        <v>#VALUE!</v>
      </c>
      <c r="I1128" t="e" vm="11">
        <f>_xlfn.XLOOKUP(AllDataCorrected[[#This Row],[Site Name]],LocationsKey[Site Name],LocationsKey[Town])</f>
        <v>#VALUE!</v>
      </c>
      <c r="J1128" t="str">
        <f>_xlfn.XLOOKUP(AllDataCorrected[[#This Row],[Site Name]],LocationsKey[Site Name], LocationsKey[Waterway])</f>
        <v>Fosseway Brook</v>
      </c>
      <c r="K1128" t="s">
        <v>1864</v>
      </c>
      <c r="L1128">
        <f>_xlfn.XLOOKUP(AllDataCorrected[[#This Row],[Site Name]],Tables!$B$12:$B$78, Tables!C$12:C$78)</f>
        <v>52.094341024390218</v>
      </c>
      <c r="M1128">
        <f>_xlfn.XLOOKUP(AllDataCorrected[[#This Row],[Site Name]],Tables!$B$12:$B$78, Tables!D$12:D$78)</f>
        <v>-1.6731015853658531</v>
      </c>
      <c r="N1128" t="s">
        <v>29</v>
      </c>
      <c r="O1128">
        <v>850</v>
      </c>
      <c r="P1128">
        <v>20.100000000000001</v>
      </c>
      <c r="Q1128">
        <v>10</v>
      </c>
      <c r="R11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8">
        <v>2.5</v>
      </c>
      <c r="T11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8">
        <v>0.1</v>
      </c>
    </row>
    <row r="1129" spans="1:22" x14ac:dyDescent="0.25">
      <c r="A1129" t="s">
        <v>1829</v>
      </c>
      <c r="B1129" s="2">
        <v>45507</v>
      </c>
      <c r="C1129" t="str" cm="1">
        <f t="array" ref="C11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9">
        <f>YEAR(AllDataCorrected[[#This Row],[Date]])</f>
        <v>2024</v>
      </c>
      <c r="E1129" s="1">
        <v>0.47916666666666669</v>
      </c>
      <c r="F11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9" t="str">
        <f>_xlfn.XLOOKUP(AllDataCorrected[[#This Row],[Location Name]], Locations[Location Name],Locations[Group As])</f>
        <v>Carrant Bredon Rd</v>
      </c>
      <c r="H1129" t="e" vm="1">
        <f>_xlfn.XLOOKUP(AllDataCorrected[[#This Row],[Site Name]],LocationsKey[Site Name],LocationsKey[District])</f>
        <v>#VALUE!</v>
      </c>
      <c r="I1129" t="e" vm="1">
        <f>_xlfn.XLOOKUP(AllDataCorrected[[#This Row],[Site Name]],LocationsKey[Site Name],LocationsKey[Town])</f>
        <v>#VALUE!</v>
      </c>
      <c r="J1129" t="str">
        <f>_xlfn.XLOOKUP(AllDataCorrected[[#This Row],[Site Name]],LocationsKey[Site Name], LocationsKey[Waterway])</f>
        <v>Carrant</v>
      </c>
      <c r="K1129" t="s">
        <v>600</v>
      </c>
      <c r="L1129">
        <f>_xlfn.XLOOKUP(AllDataCorrected[[#This Row],[Site Name]],Tables!$B$12:$B$78, Tables!C$12:C$78)</f>
        <v>51.996416567567572</v>
      </c>
      <c r="M1129">
        <f>_xlfn.XLOOKUP(AllDataCorrected[[#This Row],[Site Name]],Tables!$B$12:$B$78, Tables!D$12:D$78)</f>
        <v>-2.1556626756756749</v>
      </c>
      <c r="N1129" t="s">
        <v>23</v>
      </c>
      <c r="O1129">
        <v>698</v>
      </c>
      <c r="P1129">
        <v>19.600000000000001</v>
      </c>
      <c r="Q1129">
        <v>5</v>
      </c>
      <c r="R11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9">
        <v>0.56000000000000005</v>
      </c>
      <c r="T11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9">
        <v>0</v>
      </c>
    </row>
    <row r="1130" spans="1:22" x14ac:dyDescent="0.25">
      <c r="A1130" t="s">
        <v>1840</v>
      </c>
      <c r="B1130" s="2">
        <v>45507</v>
      </c>
      <c r="C1130" t="str" cm="1">
        <f t="array" ref="C11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0">
        <f>YEAR(AllDataCorrected[[#This Row],[Date]])</f>
        <v>2024</v>
      </c>
      <c r="E1130" s="1">
        <v>0.64930555555555558</v>
      </c>
      <c r="F11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0" t="str">
        <f>_xlfn.XLOOKUP(AllDataCorrected[[#This Row],[Location Name]], Locations[Location Name],Locations[Group As])</f>
        <v>Black Bear</v>
      </c>
      <c r="H1130" t="e" vm="1">
        <f>_xlfn.XLOOKUP(AllDataCorrected[[#This Row],[Site Name]],LocationsKey[Site Name],LocationsKey[District])</f>
        <v>#VALUE!</v>
      </c>
      <c r="I1130" t="e" vm="1">
        <f>_xlfn.XLOOKUP(AllDataCorrected[[#This Row],[Site Name]],LocationsKey[Site Name],LocationsKey[Town])</f>
        <v>#VALUE!</v>
      </c>
      <c r="J1130" t="str">
        <f>_xlfn.XLOOKUP(AllDataCorrected[[#This Row],[Site Name]],LocationsKey[Site Name], LocationsKey[Waterway])</f>
        <v>Avon</v>
      </c>
      <c r="K1130" t="s">
        <v>1045</v>
      </c>
      <c r="L1130">
        <f>_xlfn.XLOOKUP(AllDataCorrected[[#This Row],[Site Name]],Tables!$B$12:$B$78, Tables!C$12:C$78)</f>
        <v>51.997435214285723</v>
      </c>
      <c r="M1130">
        <f>_xlfn.XLOOKUP(AllDataCorrected[[#This Row],[Site Name]],Tables!$B$12:$B$78, Tables!D$12:D$78)</f>
        <v>-2.1562056785714288</v>
      </c>
      <c r="N1130" t="s">
        <v>23</v>
      </c>
      <c r="O1130">
        <v>980</v>
      </c>
      <c r="P1130">
        <v>23.4</v>
      </c>
      <c r="Q1130">
        <v>10</v>
      </c>
      <c r="R113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0">
        <v>1.1599999999999999</v>
      </c>
      <c r="T11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0">
        <v>0</v>
      </c>
    </row>
    <row r="1131" spans="1:22" x14ac:dyDescent="0.25">
      <c r="A1131" t="s">
        <v>1838</v>
      </c>
      <c r="B1131" s="2">
        <v>45507</v>
      </c>
      <c r="C1131" t="str" cm="1">
        <f t="array" ref="C11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1">
        <f>YEAR(AllDataCorrected[[#This Row],[Date]])</f>
        <v>2024</v>
      </c>
      <c r="E1131" s="1">
        <v>0.80625000000000002</v>
      </c>
      <c r="F11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31" t="str">
        <f>_xlfn.XLOOKUP(AllDataCorrected[[#This Row],[Location Name]], Locations[Location Name],Locations[Group As])</f>
        <v>Abbey Mill</v>
      </c>
      <c r="H1131" t="e" vm="1">
        <f>_xlfn.XLOOKUP(AllDataCorrected[[#This Row],[Site Name]],LocationsKey[Site Name],LocationsKey[District])</f>
        <v>#VALUE!</v>
      </c>
      <c r="I1131" t="e" vm="1">
        <f>_xlfn.XLOOKUP(AllDataCorrected[[#This Row],[Site Name]],LocationsKey[Site Name],LocationsKey[Town])</f>
        <v>#VALUE!</v>
      </c>
      <c r="J1131" t="str">
        <f>_xlfn.XLOOKUP(AllDataCorrected[[#This Row],[Site Name]],LocationsKey[Site Name], LocationsKey[Waterway])</f>
        <v>Avon</v>
      </c>
      <c r="K1131" t="s">
        <v>25</v>
      </c>
      <c r="L1131">
        <f>_xlfn.XLOOKUP(AllDataCorrected[[#This Row],[Site Name]],Tables!$B$12:$B$78, Tables!C$12:C$78)</f>
        <v>51.991389555555564</v>
      </c>
      <c r="M1131">
        <f>_xlfn.XLOOKUP(AllDataCorrected[[#This Row],[Site Name]],Tables!$B$12:$B$78, Tables!D$12:D$78)</f>
        <v>-2.1620794000000005</v>
      </c>
      <c r="N1131" t="s">
        <v>23</v>
      </c>
      <c r="O1131">
        <v>983</v>
      </c>
      <c r="P1131">
        <v>22.7</v>
      </c>
      <c r="Q1131">
        <v>15</v>
      </c>
      <c r="R113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1">
        <v>0.97</v>
      </c>
      <c r="T11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1">
        <v>0.45</v>
      </c>
    </row>
    <row r="1132" spans="1:22" x14ac:dyDescent="0.25">
      <c r="A1132" t="s">
        <v>1827</v>
      </c>
      <c r="B1132" s="2">
        <v>45508</v>
      </c>
      <c r="C1132" t="str" cm="1">
        <f t="array" ref="C11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2">
        <f>YEAR(AllDataCorrected[[#This Row],[Date]])</f>
        <v>2024</v>
      </c>
      <c r="E1132" s="1">
        <v>0.35694444444444445</v>
      </c>
      <c r="F11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2" t="str">
        <f>_xlfn.XLOOKUP(AllDataCorrected[[#This Row],[Location Name]], Locations[Location Name],Locations[Group As])</f>
        <v>The Ford, Langley</v>
      </c>
      <c r="H1132" t="e" vm="2">
        <f>_xlfn.XLOOKUP(AllDataCorrected[[#This Row],[Site Name]],LocationsKey[Site Name],LocationsKey[District])</f>
        <v>#VALUE!</v>
      </c>
      <c r="I1132" t="str">
        <f>_xlfn.XLOOKUP(AllDataCorrected[[#This Row],[Site Name]],LocationsKey[Site Name],LocationsKey[Town])</f>
        <v>Langley</v>
      </c>
      <c r="J1132" t="str">
        <f>_xlfn.XLOOKUP(AllDataCorrected[[#This Row],[Site Name]],LocationsKey[Site Name], LocationsKey[Waterway])</f>
        <v>Langley Ford</v>
      </c>
      <c r="K1132" t="s">
        <v>557</v>
      </c>
      <c r="L1132">
        <f>_xlfn.XLOOKUP(AllDataCorrected[[#This Row],[Site Name]],Tables!$B$12:$B$78, Tables!C$12:C$78)</f>
        <v>52.261724821428579</v>
      </c>
      <c r="M1132">
        <f>_xlfn.XLOOKUP(AllDataCorrected[[#This Row],[Site Name]],Tables!$B$12:$B$78, Tables!D$12:D$78)</f>
        <v>-1.719408857142857</v>
      </c>
      <c r="N1132" t="s">
        <v>29</v>
      </c>
      <c r="O1132">
        <v>844</v>
      </c>
      <c r="P1132">
        <v>16.899999999999999</v>
      </c>
      <c r="Q1132">
        <v>5</v>
      </c>
      <c r="R11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2">
        <v>0.97</v>
      </c>
      <c r="T11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2">
        <v>0.05</v>
      </c>
    </row>
    <row r="1133" spans="1:22" x14ac:dyDescent="0.25">
      <c r="A1133" t="s">
        <v>1690</v>
      </c>
      <c r="B1133" s="2">
        <v>45508</v>
      </c>
      <c r="C1133" t="str" cm="1">
        <f t="array" ref="C11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3">
        <f>YEAR(AllDataCorrected[[#This Row],[Date]])</f>
        <v>2024</v>
      </c>
      <c r="E1133" s="1">
        <v>0.41666666666666669</v>
      </c>
      <c r="F11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3" t="str">
        <f>_xlfn.XLOOKUP(AllDataCorrected[[#This Row],[Location Name]], Locations[Location Name],Locations[Group As])</f>
        <v>Sherbourne Brook 1</v>
      </c>
      <c r="H1133" t="e" vm="2">
        <f>_xlfn.XLOOKUP(AllDataCorrected[[#This Row],[Site Name]],LocationsKey[Site Name],LocationsKey[District])</f>
        <v>#VALUE!</v>
      </c>
      <c r="I1133" t="e" vm="16">
        <f>_xlfn.XLOOKUP(AllDataCorrected[[#This Row],[Site Name]],LocationsKey[Site Name],LocationsKey[Town])</f>
        <v>#VALUE!</v>
      </c>
      <c r="J1133" t="str">
        <f>_xlfn.XLOOKUP(AllDataCorrected[[#This Row],[Site Name]],LocationsKey[Site Name], LocationsKey[Waterway])</f>
        <v>Sherbourne Brook</v>
      </c>
      <c r="K1133" t="s">
        <v>570</v>
      </c>
      <c r="L1133">
        <f>_xlfn.XLOOKUP(AllDataCorrected[[#This Row],[Site Name]],Tables!$B$12:$B$78, Tables!C$12:C$78)</f>
        <v>52.252500000000033</v>
      </c>
      <c r="M1133">
        <f>_xlfn.XLOOKUP(AllDataCorrected[[#This Row],[Site Name]],Tables!$B$12:$B$78, Tables!D$12:D$78)</f>
        <v>-1.6685000000000012</v>
      </c>
      <c r="N1133" t="s">
        <v>23</v>
      </c>
      <c r="O1133">
        <v>1110</v>
      </c>
      <c r="P1133">
        <v>16.5</v>
      </c>
      <c r="Q1133">
        <v>9</v>
      </c>
      <c r="R11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3">
        <v>0.39</v>
      </c>
      <c r="T11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33">
        <v>0.1</v>
      </c>
    </row>
    <row r="1134" spans="1:22" x14ac:dyDescent="0.25">
      <c r="A1134" t="s">
        <v>1689</v>
      </c>
      <c r="B1134" s="2">
        <v>45508</v>
      </c>
      <c r="C1134" t="str" cm="1">
        <f t="array" ref="C11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4">
        <f>YEAR(AllDataCorrected[[#This Row],[Date]])</f>
        <v>2024</v>
      </c>
      <c r="E1134" s="1">
        <v>0.42708333333333331</v>
      </c>
      <c r="F11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4" t="str">
        <f>_xlfn.XLOOKUP(AllDataCorrected[[#This Row],[Location Name]], Locations[Location Name],Locations[Group As])</f>
        <v>Bell Brook 1</v>
      </c>
      <c r="H1134" t="e" vm="2">
        <f>_xlfn.XLOOKUP(AllDataCorrected[[#This Row],[Site Name]],LocationsKey[Site Name],LocationsKey[District])</f>
        <v>#VALUE!</v>
      </c>
      <c r="I1134" t="e" vm="15">
        <f>_xlfn.XLOOKUP(AllDataCorrected[[#This Row],[Site Name]],LocationsKey[Site Name],LocationsKey[Town])</f>
        <v>#VALUE!</v>
      </c>
      <c r="J1134" t="str">
        <f>_xlfn.XLOOKUP(AllDataCorrected[[#This Row],[Site Name]],LocationsKey[Site Name], LocationsKey[Waterway])</f>
        <v>Bell Brook</v>
      </c>
      <c r="K1134" t="s">
        <v>534</v>
      </c>
      <c r="L1134">
        <f>_xlfn.XLOOKUP(AllDataCorrected[[#This Row],[Site Name]],Tables!$B$12:$B$78, Tables!C$12:C$78)</f>
        <v>52.24489999999998</v>
      </c>
      <c r="M1134">
        <f>_xlfn.XLOOKUP(AllDataCorrected[[#This Row],[Site Name]],Tables!$B$12:$B$78, Tables!D$12:D$78)</f>
        <v>-1.6617000000000013</v>
      </c>
      <c r="N1134" t="s">
        <v>23</v>
      </c>
      <c r="O1134">
        <v>909</v>
      </c>
      <c r="P1134">
        <v>17.600000000000001</v>
      </c>
      <c r="Q1134">
        <v>8</v>
      </c>
      <c r="R11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4">
        <v>0.67</v>
      </c>
      <c r="T11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4">
        <v>0.1</v>
      </c>
    </row>
    <row r="1135" spans="1:22" x14ac:dyDescent="0.25">
      <c r="A1135" t="s">
        <v>1837</v>
      </c>
      <c r="B1135" s="2">
        <v>45508</v>
      </c>
      <c r="C1135" t="str" cm="1">
        <f t="array" ref="C11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5">
        <f>YEAR(AllDataCorrected[[#This Row],[Date]])</f>
        <v>2024</v>
      </c>
      <c r="E1135" s="1">
        <v>0.6875</v>
      </c>
      <c r="F11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5" t="str">
        <f>_xlfn.XLOOKUP(AllDataCorrected[[#This Row],[Location Name]], Locations[Location Name],Locations[Group As])</f>
        <v>Fell Mill Footbridge</v>
      </c>
      <c r="H1135" t="e" vm="2">
        <f>_xlfn.XLOOKUP(AllDataCorrected[[#This Row],[Site Name]],LocationsKey[Site Name],LocationsKey[District])</f>
        <v>#VALUE!</v>
      </c>
      <c r="I1135" t="e" vm="10">
        <f>_xlfn.XLOOKUP(AllDataCorrected[[#This Row],[Site Name]],LocationsKey[Site Name],LocationsKey[Town])</f>
        <v>#VALUE!</v>
      </c>
      <c r="J1135" t="str">
        <f>_xlfn.XLOOKUP(AllDataCorrected[[#This Row],[Site Name]],LocationsKey[Site Name], LocationsKey[Waterway])</f>
        <v>Stour</v>
      </c>
      <c r="K1135" t="s">
        <v>818</v>
      </c>
      <c r="L1135">
        <f>_xlfn.XLOOKUP(AllDataCorrected[[#This Row],[Site Name]],Tables!$B$12:$B$78, Tables!C$12:C$78)</f>
        <v>52.067966827586183</v>
      </c>
      <c r="M1135">
        <f>_xlfn.XLOOKUP(AllDataCorrected[[#This Row],[Site Name]],Tables!$B$12:$B$78, Tables!D$12:D$78)</f>
        <v>-1.6118101379310343</v>
      </c>
      <c r="N1135" t="s">
        <v>29</v>
      </c>
      <c r="O1135">
        <v>626</v>
      </c>
      <c r="P1135">
        <v>18.399999999999999</v>
      </c>
      <c r="Q1135">
        <v>5</v>
      </c>
      <c r="R11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5">
        <v>0.51</v>
      </c>
      <c r="T11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5">
        <v>1.1000000000000001</v>
      </c>
      <c r="V1135" t="s">
        <v>1932</v>
      </c>
    </row>
    <row r="1136" spans="1:22" x14ac:dyDescent="0.25">
      <c r="A1136" t="s">
        <v>1824</v>
      </c>
      <c r="B1136" s="2">
        <v>45509</v>
      </c>
      <c r="C1136" t="str" cm="1">
        <f t="array" ref="C11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6">
        <f>YEAR(AllDataCorrected[[#This Row],[Date]])</f>
        <v>2024</v>
      </c>
      <c r="E1136" s="1">
        <v>0.3125</v>
      </c>
      <c r="F11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6" t="str">
        <f>_xlfn.XLOOKUP(AllDataCorrected[[#This Row],[Location Name]], Locations[Location Name],Locations[Group As])</f>
        <v>Carrant M5 Bridge</v>
      </c>
      <c r="H1136" t="e" vm="1">
        <f>_xlfn.XLOOKUP(AllDataCorrected[[#This Row],[Site Name]],LocationsKey[Site Name],LocationsKey[District])</f>
        <v>#VALUE!</v>
      </c>
      <c r="I1136" t="e" vm="1">
        <f>_xlfn.XLOOKUP(AllDataCorrected[[#This Row],[Site Name]],LocationsKey[Site Name],LocationsKey[Town])</f>
        <v>#VALUE!</v>
      </c>
      <c r="J1136" t="str">
        <f>_xlfn.XLOOKUP(AllDataCorrected[[#This Row],[Site Name]],LocationsKey[Site Name], LocationsKey[Waterway])</f>
        <v>Carrant</v>
      </c>
      <c r="K1136" t="s">
        <v>1015</v>
      </c>
      <c r="L1136">
        <f>_xlfn.XLOOKUP(AllDataCorrected[[#This Row],[Site Name]],Tables!$B$12:$B$78, Tables!C$12:C$78)</f>
        <v>52.011600000000001</v>
      </c>
      <c r="M1136">
        <f>_xlfn.XLOOKUP(AllDataCorrected[[#This Row],[Site Name]],Tables!$B$12:$B$78, Tables!D$12:D$78)</f>
        <v>-2.1206</v>
      </c>
      <c r="N1136" t="s">
        <v>23</v>
      </c>
      <c r="O1136">
        <v>793</v>
      </c>
      <c r="P1136">
        <v>20</v>
      </c>
      <c r="Q1136">
        <v>6</v>
      </c>
      <c r="R11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6">
        <v>1.75</v>
      </c>
      <c r="T11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6">
        <v>0</v>
      </c>
    </row>
    <row r="1137" spans="1:22" x14ac:dyDescent="0.25">
      <c r="A1137" t="s">
        <v>1475</v>
      </c>
      <c r="B1137" s="2">
        <v>45502</v>
      </c>
      <c r="C1137" t="str" cm="1">
        <f t="array" ref="C11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7">
        <f>YEAR(AllDataCorrected[[#This Row],[Date]])</f>
        <v>2024</v>
      </c>
      <c r="E1137" s="1">
        <v>0.31597222222222221</v>
      </c>
      <c r="F11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7" t="str">
        <f>_xlfn.XLOOKUP(AllDataCorrected[[#This Row],[Location Name]], Locations[Location Name],Locations[Group As])</f>
        <v>Chipping Campden Lady J Gateway</v>
      </c>
      <c r="H1137" t="e" vm="23">
        <f>_xlfn.XLOOKUP(AllDataCorrected[[#This Row],[Site Name]],LocationsKey[Site Name],LocationsKey[District])</f>
        <v>#VALUE!</v>
      </c>
      <c r="I1137" t="e" vm="24">
        <f>_xlfn.XLOOKUP(AllDataCorrected[[#This Row],[Site Name]],LocationsKey[Site Name],LocationsKey[Town])</f>
        <v>#VALUE!</v>
      </c>
      <c r="J1137" t="str">
        <f>_xlfn.XLOOKUP(AllDataCorrected[[#This Row],[Site Name]],LocationsKey[Site Name], LocationsKey[Waterway])</f>
        <v>Cam Brook</v>
      </c>
      <c r="K1137" t="s">
        <v>1476</v>
      </c>
      <c r="L1137" t="str">
        <f>_xlfn.XLOOKUP(AllDataCorrected[[#This Row],[Site Name]],Tables!$B$12:$B$78, Tables!C$12:C$78)</f>
        <v>Unknown</v>
      </c>
      <c r="M1137" t="str">
        <f>_xlfn.XLOOKUP(AllDataCorrected[[#This Row],[Site Name]],Tables!$B$12:$B$78, Tables!D$12:D$78)</f>
        <v>Unknown</v>
      </c>
      <c r="N1137" t="s">
        <v>66</v>
      </c>
      <c r="O1137">
        <v>510</v>
      </c>
      <c r="P1137">
        <v>16.600000000000001</v>
      </c>
      <c r="Q1137">
        <v>5</v>
      </c>
      <c r="R11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7">
        <v>0.03</v>
      </c>
      <c r="T113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37">
        <v>0.11</v>
      </c>
    </row>
    <row r="1138" spans="1:22" x14ac:dyDescent="0.25">
      <c r="A1138" t="s">
        <v>1835</v>
      </c>
      <c r="B1138" s="2">
        <v>45509</v>
      </c>
      <c r="C1138" t="str" cm="1">
        <f t="array" ref="C11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8">
        <f>YEAR(AllDataCorrected[[#This Row],[Date]])</f>
        <v>2024</v>
      </c>
      <c r="E1138" s="1">
        <v>0.34722222222222221</v>
      </c>
      <c r="F11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8" t="str">
        <f>_xlfn.XLOOKUP(AllDataCorrected[[#This Row],[Location Name]], Locations[Location Name],Locations[Group As])</f>
        <v>Chipping Campden Lady J Gateway</v>
      </c>
      <c r="H1138" t="e" vm="23">
        <f>_xlfn.XLOOKUP(AllDataCorrected[[#This Row],[Site Name]],LocationsKey[Site Name],LocationsKey[District])</f>
        <v>#VALUE!</v>
      </c>
      <c r="I1138" t="e" vm="24">
        <f>_xlfn.XLOOKUP(AllDataCorrected[[#This Row],[Site Name]],LocationsKey[Site Name],LocationsKey[Town])</f>
        <v>#VALUE!</v>
      </c>
      <c r="J1138" t="str">
        <f>_xlfn.XLOOKUP(AllDataCorrected[[#This Row],[Site Name]],LocationsKey[Site Name], LocationsKey[Waterway])</f>
        <v>Cam Brook</v>
      </c>
      <c r="K1138" t="s">
        <v>1476</v>
      </c>
      <c r="L1138" t="str">
        <f>_xlfn.XLOOKUP(AllDataCorrected[[#This Row],[Site Name]],Tables!$B$12:$B$78, Tables!C$12:C$78)</f>
        <v>Unknown</v>
      </c>
      <c r="M1138" t="str">
        <f>_xlfn.XLOOKUP(AllDataCorrected[[#This Row],[Site Name]],Tables!$B$12:$B$78, Tables!D$12:D$78)</f>
        <v>Unknown</v>
      </c>
      <c r="N1138" t="s">
        <v>66</v>
      </c>
      <c r="O1138">
        <v>450</v>
      </c>
      <c r="P1138">
        <v>17.2</v>
      </c>
      <c r="Q1138">
        <v>5</v>
      </c>
      <c r="R11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8">
        <v>0.08</v>
      </c>
      <c r="T1138"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38">
        <v>0.06</v>
      </c>
    </row>
    <row r="1139" spans="1:22" x14ac:dyDescent="0.25">
      <c r="A1139" t="s">
        <v>1739</v>
      </c>
      <c r="B1139" s="2">
        <v>45516</v>
      </c>
      <c r="C1139" t="str" cm="1">
        <f t="array" ref="C11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9">
        <f>YEAR(AllDataCorrected[[#This Row],[Date]])</f>
        <v>2024</v>
      </c>
      <c r="E1139" s="1">
        <v>0.34027777777777779</v>
      </c>
      <c r="F11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9" t="str">
        <f>_xlfn.XLOOKUP(AllDataCorrected[[#This Row],[Location Name]], Locations[Location Name],Locations[Group As])</f>
        <v>Chipping Campden Lady J Gateway</v>
      </c>
      <c r="H1139" t="e" vm="23">
        <f>_xlfn.XLOOKUP(AllDataCorrected[[#This Row],[Site Name]],LocationsKey[Site Name],LocationsKey[District])</f>
        <v>#VALUE!</v>
      </c>
      <c r="I1139" t="e" vm="24">
        <f>_xlfn.XLOOKUP(AllDataCorrected[[#This Row],[Site Name]],LocationsKey[Site Name],LocationsKey[Town])</f>
        <v>#VALUE!</v>
      </c>
      <c r="J1139" t="str">
        <f>_xlfn.XLOOKUP(AllDataCorrected[[#This Row],[Site Name]],LocationsKey[Site Name], LocationsKey[Waterway])</f>
        <v>Cam Brook</v>
      </c>
      <c r="K1139" t="s">
        <v>1476</v>
      </c>
      <c r="L1139" t="str">
        <f>_xlfn.XLOOKUP(AllDataCorrected[[#This Row],[Site Name]],Tables!$B$12:$B$78, Tables!C$12:C$78)</f>
        <v>Unknown</v>
      </c>
      <c r="M1139" t="str">
        <f>_xlfn.XLOOKUP(AllDataCorrected[[#This Row],[Site Name]],Tables!$B$12:$B$78, Tables!D$12:D$78)</f>
        <v>Unknown</v>
      </c>
      <c r="N1139" t="s">
        <v>66</v>
      </c>
      <c r="O1139">
        <v>509</v>
      </c>
      <c r="P1139">
        <v>18.899999999999999</v>
      </c>
      <c r="Q1139">
        <v>5</v>
      </c>
      <c r="R113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9">
        <v>7.0000000000000007E-2</v>
      </c>
      <c r="T1139"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39">
        <v>0.08</v>
      </c>
    </row>
    <row r="1140" spans="1:22" x14ac:dyDescent="0.25">
      <c r="A1140" t="s">
        <v>1834</v>
      </c>
      <c r="B1140" s="2">
        <v>45509</v>
      </c>
      <c r="C1140" t="str" cm="1">
        <f t="array" ref="C11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0">
        <f>YEAR(AllDataCorrected[[#This Row],[Date]])</f>
        <v>2024</v>
      </c>
      <c r="E1140" s="1">
        <v>0.70138888888888884</v>
      </c>
      <c r="F11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0" t="str">
        <f>_xlfn.XLOOKUP(AllDataCorrected[[#This Row],[Location Name]], Locations[Location Name],Locations[Group As])</f>
        <v>Carrant Back Lane Beckford</v>
      </c>
      <c r="H1140" t="e" vm="1">
        <f>_xlfn.XLOOKUP(AllDataCorrected[[#This Row],[Site Name]],LocationsKey[Site Name],LocationsKey[District])</f>
        <v>#VALUE!</v>
      </c>
      <c r="I1140" t="str">
        <f>_xlfn.XLOOKUP(AllDataCorrected[[#This Row],[Site Name]],LocationsKey[Site Name],LocationsKey[Town])</f>
        <v>Beckford</v>
      </c>
      <c r="J1140" t="str">
        <f>_xlfn.XLOOKUP(AllDataCorrected[[#This Row],[Site Name]],LocationsKey[Site Name], LocationsKey[Waterway])</f>
        <v>Carrant</v>
      </c>
      <c r="K1140" t="s">
        <v>1490</v>
      </c>
      <c r="L1140">
        <f>_xlfn.XLOOKUP(AllDataCorrected[[#This Row],[Site Name]],Tables!$B$12:$B$78, Tables!C$12:C$78)</f>
        <v>52.017659444444448</v>
      </c>
      <c r="M1140">
        <f>_xlfn.XLOOKUP(AllDataCorrected[[#This Row],[Site Name]],Tables!$B$12:$B$78, Tables!D$12:D$78)</f>
        <v>-2.0390003333333335</v>
      </c>
      <c r="N1140" t="s">
        <v>66</v>
      </c>
      <c r="O1140">
        <v>769</v>
      </c>
      <c r="P1140">
        <v>18.7</v>
      </c>
      <c r="Q1140">
        <v>11</v>
      </c>
      <c r="R11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0">
        <v>0.73</v>
      </c>
      <c r="T11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0">
        <v>0.2</v>
      </c>
      <c r="V1140" t="s">
        <v>1931</v>
      </c>
    </row>
    <row r="1141" spans="1:22" x14ac:dyDescent="0.25">
      <c r="A1141" t="s">
        <v>1832</v>
      </c>
      <c r="B1141" s="2">
        <v>45509</v>
      </c>
      <c r="C1141" t="str" cm="1">
        <f t="array" ref="C11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1">
        <f>YEAR(AllDataCorrected[[#This Row],[Date]])</f>
        <v>2024</v>
      </c>
      <c r="E1141" s="1">
        <v>0.71388888888888891</v>
      </c>
      <c r="F11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1" t="str">
        <f>_xlfn.XLOOKUP(AllDataCorrected[[#This Row],[Location Name]], Locations[Location Name],Locations[Group As])</f>
        <v>Bredon Marina</v>
      </c>
      <c r="H1141" t="e" vm="1">
        <f>_xlfn.XLOOKUP(AllDataCorrected[[#This Row],[Site Name]],LocationsKey[Site Name],LocationsKey[District])</f>
        <v>#VALUE!</v>
      </c>
      <c r="I1141" t="e" vm="25">
        <f>_xlfn.XLOOKUP(AllDataCorrected[[#This Row],[Site Name]],LocationsKey[Site Name],LocationsKey[Town])</f>
        <v>#VALUE!</v>
      </c>
      <c r="J1141" t="str">
        <f>_xlfn.XLOOKUP(AllDataCorrected[[#This Row],[Site Name]],LocationsKey[Site Name], LocationsKey[Waterway])</f>
        <v>Avon</v>
      </c>
      <c r="K1141" t="s">
        <v>1500</v>
      </c>
      <c r="L1141">
        <f>_xlfn.XLOOKUP(AllDataCorrected[[#This Row],[Site Name]],Tables!$B$12:$B$78, Tables!C$12:C$78)</f>
        <v>52.032660333333332</v>
      </c>
      <c r="M1141">
        <f>_xlfn.XLOOKUP(AllDataCorrected[[#This Row],[Site Name]],Tables!$B$12:$B$78, Tables!D$12:D$78)</f>
        <v>-2.1157033333333337</v>
      </c>
      <c r="N1141" t="s">
        <v>29</v>
      </c>
      <c r="O1141">
        <v>9400</v>
      </c>
      <c r="P1141">
        <v>23.4</v>
      </c>
      <c r="Q1141">
        <v>6</v>
      </c>
      <c r="R11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1">
        <v>1.58</v>
      </c>
      <c r="T11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1">
        <v>0</v>
      </c>
    </row>
    <row r="1142" spans="1:22" x14ac:dyDescent="0.25">
      <c r="A1142" t="s">
        <v>1833</v>
      </c>
      <c r="B1142" s="2">
        <v>45509</v>
      </c>
      <c r="C1142" t="str" cm="1">
        <f t="array" ref="C11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2">
        <f>YEAR(AllDataCorrected[[#This Row],[Date]])</f>
        <v>2024</v>
      </c>
      <c r="E1142" s="1">
        <v>0.71527777777777779</v>
      </c>
      <c r="F11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2" t="str">
        <f>_xlfn.XLOOKUP(AllDataCorrected[[#This Row],[Location Name]], Locations[Location Name],Locations[Group As])</f>
        <v>Stour Stretton-on-Fosse Village</v>
      </c>
      <c r="H1142" t="e" vm="2">
        <f>_xlfn.XLOOKUP(AllDataCorrected[[#This Row],[Site Name]],LocationsKey[Site Name],LocationsKey[District])</f>
        <v>#VALUE!</v>
      </c>
      <c r="I1142" t="e" vm="14">
        <f>_xlfn.XLOOKUP(AllDataCorrected[[#This Row],[Site Name]],LocationsKey[Site Name],LocationsKey[Town])</f>
        <v>#VALUE!</v>
      </c>
      <c r="J1142" t="str">
        <f>_xlfn.XLOOKUP(AllDataCorrected[[#This Row],[Site Name]],LocationsKey[Site Name], LocationsKey[Waterway])</f>
        <v>Stour</v>
      </c>
      <c r="K1142" t="s">
        <v>544</v>
      </c>
      <c r="L1142">
        <f>_xlfn.XLOOKUP(AllDataCorrected[[#This Row],[Site Name]],Tables!$B$12:$B$78, Tables!C$12:C$78)</f>
        <v>52.046517558823524</v>
      </c>
      <c r="M1142">
        <f>_xlfn.XLOOKUP(AllDataCorrected[[#This Row],[Site Name]],Tables!$B$12:$B$78, Tables!D$12:D$78)</f>
        <v>-1.6734143529411767</v>
      </c>
      <c r="N1142" t="s">
        <v>66</v>
      </c>
      <c r="O1142">
        <v>742</v>
      </c>
      <c r="P1142">
        <v>18.5</v>
      </c>
      <c r="Q1142">
        <v>0.5</v>
      </c>
      <c r="R114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2">
        <v>2.5</v>
      </c>
      <c r="T11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2">
        <v>0.15</v>
      </c>
      <c r="V1142" t="s">
        <v>1177</v>
      </c>
    </row>
    <row r="1143" spans="1:22" x14ac:dyDescent="0.25">
      <c r="A1143" t="s">
        <v>1831</v>
      </c>
      <c r="B1143" s="2">
        <v>45509</v>
      </c>
      <c r="C1143" t="str" cm="1">
        <f t="array" ref="C11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3">
        <f>YEAR(AllDataCorrected[[#This Row],[Date]])</f>
        <v>2024</v>
      </c>
      <c r="E1143" s="1">
        <v>0.72499999999999998</v>
      </c>
      <c r="F11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3" t="str">
        <f>_xlfn.XLOOKUP(AllDataCorrected[[#This Row],[Location Name]], Locations[Location Name],Locations[Group As])</f>
        <v>Stour Stretton-on-Fosse Sewage Works</v>
      </c>
      <c r="H1143" t="e" vm="2">
        <f>_xlfn.XLOOKUP(AllDataCorrected[[#This Row],[Site Name]],LocationsKey[Site Name],LocationsKey[District])</f>
        <v>#VALUE!</v>
      </c>
      <c r="I1143" t="e" vm="14">
        <f>_xlfn.XLOOKUP(AllDataCorrected[[#This Row],[Site Name]],LocationsKey[Site Name],LocationsKey[Town])</f>
        <v>#VALUE!</v>
      </c>
      <c r="J1143" t="str">
        <f>_xlfn.XLOOKUP(AllDataCorrected[[#This Row],[Site Name]],LocationsKey[Site Name], LocationsKey[Waterway])</f>
        <v>Stour</v>
      </c>
      <c r="K1143" t="s">
        <v>335</v>
      </c>
      <c r="L1143">
        <f>_xlfn.XLOOKUP(AllDataCorrected[[#This Row],[Site Name]],Tables!$B$12:$B$78, Tables!C$12:C$78)</f>
        <v>52.045653647058806</v>
      </c>
      <c r="M1143">
        <f>_xlfn.XLOOKUP(AllDataCorrected[[#This Row],[Site Name]],Tables!$B$12:$B$78, Tables!D$12:D$78)</f>
        <v>-1.6719221470588235</v>
      </c>
      <c r="N1143" t="s">
        <v>29</v>
      </c>
      <c r="O1143">
        <v>890</v>
      </c>
      <c r="P1143">
        <v>19.399999999999999</v>
      </c>
      <c r="Q1143">
        <v>0.5</v>
      </c>
      <c r="R114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3">
        <v>2.5</v>
      </c>
      <c r="T11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3">
        <v>0.2</v>
      </c>
      <c r="V1143" t="s">
        <v>1177</v>
      </c>
    </row>
    <row r="1144" spans="1:22" x14ac:dyDescent="0.25">
      <c r="A1144" t="s">
        <v>1825</v>
      </c>
      <c r="B1144" s="2">
        <v>45510</v>
      </c>
      <c r="C1144" t="str" cm="1">
        <f t="array" ref="C11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4">
        <f>YEAR(AllDataCorrected[[#This Row],[Date]])</f>
        <v>2024</v>
      </c>
      <c r="E1144" s="1">
        <v>0.64652777777777781</v>
      </c>
      <c r="F114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4" t="str">
        <f>_xlfn.XLOOKUP(AllDataCorrected[[#This Row],[Location Name]], Locations[Location Name],Locations[Group As])</f>
        <v>Carrant Mitton Bridge</v>
      </c>
      <c r="H1144" t="e" vm="1">
        <f>_xlfn.XLOOKUP(AllDataCorrected[[#This Row],[Site Name]],LocationsKey[Site Name],LocationsKey[District])</f>
        <v>#VALUE!</v>
      </c>
      <c r="I1144" t="e" vm="1">
        <f>_xlfn.XLOOKUP(AllDataCorrected[[#This Row],[Site Name]],LocationsKey[Site Name],LocationsKey[Town])</f>
        <v>#VALUE!</v>
      </c>
      <c r="J1144" t="str">
        <f>_xlfn.XLOOKUP(AllDataCorrected[[#This Row],[Site Name]],LocationsKey[Site Name], LocationsKey[Waterway])</f>
        <v>Carrant</v>
      </c>
      <c r="K1144" t="s">
        <v>1209</v>
      </c>
      <c r="L1144">
        <f>_xlfn.XLOOKUP(AllDataCorrected[[#This Row],[Site Name]],Tables!$B$12:$B$78, Tables!C$12:C$78)</f>
        <v>51.999974666666674</v>
      </c>
      <c r="M1144">
        <f>_xlfn.XLOOKUP(AllDataCorrected[[#This Row],[Site Name]],Tables!$B$12:$B$78, Tables!D$12:D$78)</f>
        <v>-2.141273</v>
      </c>
      <c r="N1144" t="s">
        <v>23</v>
      </c>
      <c r="O1144">
        <v>657</v>
      </c>
      <c r="P1144">
        <v>20.399999999999999</v>
      </c>
      <c r="Q1144">
        <v>8</v>
      </c>
      <c r="R11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4">
        <v>0.5</v>
      </c>
      <c r="T11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44">
        <v>0</v>
      </c>
    </row>
    <row r="1145" spans="1:22" x14ac:dyDescent="0.25">
      <c r="A1145" t="s">
        <v>1823</v>
      </c>
      <c r="B1145" s="2">
        <v>45511</v>
      </c>
      <c r="C1145" t="str" cm="1">
        <f t="array" ref="C11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5">
        <f>YEAR(AllDataCorrected[[#This Row],[Date]])</f>
        <v>2024</v>
      </c>
      <c r="E1145" s="1">
        <v>0.75</v>
      </c>
      <c r="F114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45" t="str">
        <f>_xlfn.XLOOKUP(AllDataCorrected[[#This Row],[Location Name]], Locations[Location Name],Locations[Group As])</f>
        <v>Stour Newbold Mill</v>
      </c>
      <c r="H1145" t="e" vm="2">
        <f>_xlfn.XLOOKUP(AllDataCorrected[[#This Row],[Site Name]],LocationsKey[Site Name],LocationsKey[District])</f>
        <v>#VALUE!</v>
      </c>
      <c r="I1145" t="e" vm="8">
        <f>_xlfn.XLOOKUP(AllDataCorrected[[#This Row],[Site Name]],LocationsKey[Site Name],LocationsKey[Town])</f>
        <v>#VALUE!</v>
      </c>
      <c r="J1145" t="str">
        <f>_xlfn.XLOOKUP(AllDataCorrected[[#This Row],[Site Name]],LocationsKey[Site Name], LocationsKey[Waterway])</f>
        <v>Stour</v>
      </c>
      <c r="K1145" t="s">
        <v>140</v>
      </c>
      <c r="L1145">
        <f>_xlfn.XLOOKUP(AllDataCorrected[[#This Row],[Site Name]],Tables!$B$12:$B$78, Tables!C$12:C$78)</f>
        <v>52.113052370370362</v>
      </c>
      <c r="M1145">
        <f>_xlfn.XLOOKUP(AllDataCorrected[[#This Row],[Site Name]],Tables!$B$12:$B$78, Tables!D$12:D$78)</f>
        <v>-1.6333685185185185</v>
      </c>
      <c r="N1145" t="s">
        <v>29</v>
      </c>
      <c r="O1145">
        <v>694</v>
      </c>
      <c r="P1145">
        <v>17.399999999999999</v>
      </c>
      <c r="Q1145">
        <v>2</v>
      </c>
      <c r="R1145" t="str">
        <f>IF(AllDataCorrected[[#This Row],[Nitrate (PPM)]]&gt;2, "4. Very high (&gt;2ppm)", IF(AllDataCorrected[[#This Row],[Nitrate (PPM)]]&gt;1, "3. High (1-2ppm)", IF(AllDataCorrected[[#This Row],[Nitrate (PPM)]]&gt;0.5, "2. Some evidence (0.5-1ppm)", IF(AllDataCorrected[[#This Row],[Nitrate (PPM)]]&gt;=0, "1. No evidence (&lt;0.5ppm)"))))</f>
        <v>3. High (1-2ppm)</v>
      </c>
      <c r="S1145">
        <v>0.63</v>
      </c>
      <c r="T11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5">
        <v>2</v>
      </c>
      <c r="V1145" t="s">
        <v>1101</v>
      </c>
    </row>
    <row r="1146" spans="1:22" x14ac:dyDescent="0.25">
      <c r="A1146" t="s">
        <v>1812</v>
      </c>
      <c r="B1146" s="2">
        <v>45512</v>
      </c>
      <c r="C1146" t="str" cm="1">
        <f t="array" ref="C11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6">
        <f>YEAR(AllDataCorrected[[#This Row],[Date]])</f>
        <v>2024</v>
      </c>
      <c r="E1146" s="1">
        <v>0.4375</v>
      </c>
      <c r="F11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6" t="str">
        <f>_xlfn.XLOOKUP(AllDataCorrected[[#This Row],[Location Name]], Locations[Location Name],Locations[Group As])</f>
        <v>Swilgate</v>
      </c>
      <c r="H1146" t="e" vm="1">
        <f>_xlfn.XLOOKUP(AllDataCorrected[[#This Row],[Site Name]],LocationsKey[Site Name],LocationsKey[District])</f>
        <v>#VALUE!</v>
      </c>
      <c r="I1146" t="e" vm="1">
        <f>_xlfn.XLOOKUP(AllDataCorrected[[#This Row],[Site Name]],LocationsKey[Site Name],LocationsKey[Town])</f>
        <v>#VALUE!</v>
      </c>
      <c r="J1146" t="str">
        <f>_xlfn.XLOOKUP(AllDataCorrected[[#This Row],[Site Name]],LocationsKey[Site Name], LocationsKey[Waterway])</f>
        <v>Swilgate</v>
      </c>
      <c r="K1146" t="s">
        <v>84</v>
      </c>
      <c r="L1146">
        <f>_xlfn.XLOOKUP(AllDataCorrected[[#This Row],[Site Name]],Tables!$B$12:$B$78, Tables!C$12:C$78)</f>
        <v>51.9885442</v>
      </c>
      <c r="M1146">
        <f>_xlfn.XLOOKUP(AllDataCorrected[[#This Row],[Site Name]],Tables!$B$12:$B$78, Tables!D$12:D$78)</f>
        <v>-2.1639010000000001</v>
      </c>
      <c r="N1146" t="s">
        <v>23</v>
      </c>
      <c r="O1146">
        <v>1116</v>
      </c>
      <c r="P1146">
        <v>17.7</v>
      </c>
      <c r="Q1146">
        <v>5</v>
      </c>
      <c r="R11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6">
        <v>1.05</v>
      </c>
      <c r="T11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6">
        <v>0</v>
      </c>
    </row>
    <row r="1147" spans="1:22" x14ac:dyDescent="0.25">
      <c r="A1147" t="s">
        <v>1821</v>
      </c>
      <c r="B1147" s="2">
        <v>45512</v>
      </c>
      <c r="C1147" t="str" cm="1">
        <f t="array" ref="C11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7">
        <f>YEAR(AllDataCorrected[[#This Row],[Date]])</f>
        <v>2024</v>
      </c>
      <c r="E1147" s="1">
        <v>0.47222222222222221</v>
      </c>
      <c r="F11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7" t="str">
        <f>_xlfn.XLOOKUP(AllDataCorrected[[#This Row],[Location Name]], Locations[Location Name],Locations[Group As])</f>
        <v>Alveston Weir</v>
      </c>
      <c r="H1147" t="e" vm="2">
        <f>_xlfn.XLOOKUP(AllDataCorrected[[#This Row],[Site Name]],LocationsKey[Site Name],LocationsKey[District])</f>
        <v>#VALUE!</v>
      </c>
      <c r="I1147" t="e" vm="13">
        <f>_xlfn.XLOOKUP(AllDataCorrected[[#This Row],[Site Name]],LocationsKey[Site Name],LocationsKey[Town])</f>
        <v>#VALUE!</v>
      </c>
      <c r="J1147" t="str">
        <f>_xlfn.XLOOKUP(AllDataCorrected[[#This Row],[Site Name]],LocationsKey[Site Name], LocationsKey[Waterway])</f>
        <v>Avon</v>
      </c>
      <c r="K1147" t="s">
        <v>286</v>
      </c>
      <c r="L1147">
        <f>_xlfn.XLOOKUP(AllDataCorrected[[#This Row],[Site Name]],Tables!$B$12:$B$78, Tables!C$12:C$78)</f>
        <v>52.212366690476216</v>
      </c>
      <c r="M1147">
        <f>_xlfn.XLOOKUP(AllDataCorrected[[#This Row],[Site Name]],Tables!$B$12:$B$78, Tables!D$12:D$78)</f>
        <v>-1.6602567619047619</v>
      </c>
      <c r="N1147" t="s">
        <v>29</v>
      </c>
      <c r="O1147">
        <v>745</v>
      </c>
      <c r="P1147">
        <v>19</v>
      </c>
      <c r="Q1147">
        <v>0.15</v>
      </c>
      <c r="R114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7">
        <v>0.51</v>
      </c>
      <c r="T11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7">
        <v>0</v>
      </c>
      <c r="V1147" t="s">
        <v>1930</v>
      </c>
    </row>
    <row r="1148" spans="1:22" x14ac:dyDescent="0.25">
      <c r="A1148" t="s">
        <v>1822</v>
      </c>
      <c r="B1148" s="2">
        <v>45512</v>
      </c>
      <c r="C1148" t="str" cm="1">
        <f t="array" ref="C11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8">
        <f>YEAR(AllDataCorrected[[#This Row],[Date]])</f>
        <v>2024</v>
      </c>
      <c r="E1148" s="1">
        <v>0.47986111111111113</v>
      </c>
      <c r="F11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8" t="str">
        <f>_xlfn.XLOOKUP(AllDataCorrected[[#This Row],[Location Name]], Locations[Location Name],Locations[Group As])</f>
        <v>Swiffen Bank</v>
      </c>
      <c r="H1148" t="e" vm="2">
        <f>_xlfn.XLOOKUP(AllDataCorrected[[#This Row],[Site Name]],LocationsKey[Site Name],LocationsKey[District])</f>
        <v>#VALUE!</v>
      </c>
      <c r="I1148" t="e" vm="13">
        <f>_xlfn.XLOOKUP(AllDataCorrected[[#This Row],[Site Name]],LocationsKey[Site Name],LocationsKey[Town])</f>
        <v>#VALUE!</v>
      </c>
      <c r="J1148" t="str">
        <f>_xlfn.XLOOKUP(AllDataCorrected[[#This Row],[Site Name]],LocationsKey[Site Name], LocationsKey[Waterway])</f>
        <v>Avon</v>
      </c>
      <c r="K1148" t="s">
        <v>284</v>
      </c>
      <c r="L1148">
        <f>_xlfn.XLOOKUP(AllDataCorrected[[#This Row],[Site Name]],Tables!$B$12:$B$78, Tables!C$12:C$78)</f>
        <v>52.206446825000015</v>
      </c>
      <c r="M1148">
        <f>_xlfn.XLOOKUP(AllDataCorrected[[#This Row],[Site Name]],Tables!$B$12:$B$78, Tables!D$12:D$78)</f>
        <v>-1.6541684000000003</v>
      </c>
      <c r="N1148" t="s">
        <v>29</v>
      </c>
      <c r="O1148">
        <v>729</v>
      </c>
      <c r="P1148">
        <v>19.3</v>
      </c>
      <c r="Q1148">
        <v>5</v>
      </c>
      <c r="R114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8">
        <v>0</v>
      </c>
      <c r="T114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48">
        <v>0</v>
      </c>
      <c r="V1148" t="s">
        <v>1468</v>
      </c>
    </row>
    <row r="1149" spans="1:22" x14ac:dyDescent="0.25">
      <c r="A1149" t="s">
        <v>1820</v>
      </c>
      <c r="B1149" s="2">
        <v>45512</v>
      </c>
      <c r="C1149" t="str" cm="1">
        <f t="array" ref="C11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9">
        <f>YEAR(AllDataCorrected[[#This Row],[Date]])</f>
        <v>2024</v>
      </c>
      <c r="E1149" s="1">
        <v>0.5</v>
      </c>
      <c r="F11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9" t="str">
        <f>_xlfn.XLOOKUP(AllDataCorrected[[#This Row],[Location Name]], Locations[Location Name],Locations[Group As])</f>
        <v>Stour Willington</v>
      </c>
      <c r="H1149" t="e" vm="2">
        <f>_xlfn.XLOOKUP(AllDataCorrected[[#This Row],[Site Name]],LocationsKey[Site Name],LocationsKey[District])</f>
        <v>#VALUE!</v>
      </c>
      <c r="I1149" t="str">
        <f>_xlfn.XLOOKUP(AllDataCorrected[[#This Row],[Site Name]],LocationsKey[Site Name],LocationsKey[Town])</f>
        <v>Willington</v>
      </c>
      <c r="J1149" t="str">
        <f>_xlfn.XLOOKUP(AllDataCorrected[[#This Row],[Site Name]],LocationsKey[Site Name], LocationsKey[Waterway])</f>
        <v>Stour</v>
      </c>
      <c r="K1149" t="s">
        <v>517</v>
      </c>
      <c r="L1149">
        <f>_xlfn.XLOOKUP(AllDataCorrected[[#This Row],[Site Name]],Tables!$B$12:$B$78, Tables!C$12:C$78)</f>
        <v>52.053154375000005</v>
      </c>
      <c r="M1149">
        <f>_xlfn.XLOOKUP(AllDataCorrected[[#This Row],[Site Name]],Tables!$B$12:$B$78, Tables!D$12:D$78)</f>
        <v>-1.6191991562500001</v>
      </c>
      <c r="N1149" t="s">
        <v>23</v>
      </c>
      <c r="O1149">
        <v>640</v>
      </c>
      <c r="P1149">
        <v>17.100000000000001</v>
      </c>
      <c r="Q1149">
        <v>2</v>
      </c>
      <c r="R1149" t="str">
        <f>IF(AllDataCorrected[[#This Row],[Nitrate (PPM)]]&gt;2, "4. Very high (&gt;2ppm)", IF(AllDataCorrected[[#This Row],[Nitrate (PPM)]]&gt;1, "3. High (1-2ppm)", IF(AllDataCorrected[[#This Row],[Nitrate (PPM)]]&gt;0.5, "2. Some evidence (0.5-1ppm)", IF(AllDataCorrected[[#This Row],[Nitrate (PPM)]]&gt;=0, "1. No evidence (&lt;0.5ppm)"))))</f>
        <v>3. High (1-2ppm)</v>
      </c>
      <c r="S1149">
        <v>0.45</v>
      </c>
      <c r="T11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49">
        <v>0.5</v>
      </c>
    </row>
    <row r="1150" spans="1:22" x14ac:dyDescent="0.25">
      <c r="A1150" t="s">
        <v>1732</v>
      </c>
      <c r="B1150" s="2">
        <v>45514</v>
      </c>
      <c r="C1150" t="str" cm="1">
        <f t="array" ref="C11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0">
        <f>YEAR(AllDataCorrected[[#This Row],[Date]])</f>
        <v>2024</v>
      </c>
      <c r="E1150" s="1">
        <v>0.4201388888888889</v>
      </c>
      <c r="F11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0" t="str">
        <f>_xlfn.XLOOKUP(AllDataCorrected[[#This Row],[Location Name]], Locations[Location Name],Locations[Group As])</f>
        <v>Avon Smiths Meadow Wyre Piddle</v>
      </c>
      <c r="H1150" t="e" vm="17">
        <f>_xlfn.XLOOKUP(AllDataCorrected[[#This Row],[Site Name]],LocationsKey[Site Name],LocationsKey[District])</f>
        <v>#VALUE!</v>
      </c>
      <c r="I1150" t="e" vm="20">
        <f>_xlfn.XLOOKUP(AllDataCorrected[[#This Row],[Site Name]],LocationsKey[Site Name],LocationsKey[Town])</f>
        <v>#VALUE!</v>
      </c>
      <c r="J1150" t="str">
        <f>_xlfn.XLOOKUP(AllDataCorrected[[#This Row],[Site Name]],LocationsKey[Site Name], LocationsKey[Waterway])</f>
        <v>Avon</v>
      </c>
      <c r="K1150" t="s">
        <v>741</v>
      </c>
      <c r="L1150">
        <f>_xlfn.XLOOKUP(AllDataCorrected[[#This Row],[Site Name]],Tables!$B$12:$B$78, Tables!C$12:C$78)</f>
        <v>52.123045961538452</v>
      </c>
      <c r="M1150">
        <f>_xlfn.XLOOKUP(AllDataCorrected[[#This Row],[Site Name]],Tables!$B$12:$B$78, Tables!D$12:D$78)</f>
        <v>-2.0572161923076919</v>
      </c>
      <c r="N1150" t="s">
        <v>23</v>
      </c>
      <c r="O1150">
        <v>1050</v>
      </c>
      <c r="P1150">
        <v>19.3</v>
      </c>
      <c r="Q1150">
        <v>10</v>
      </c>
      <c r="R11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0">
        <v>0.86</v>
      </c>
      <c r="T11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0">
        <v>0.5</v>
      </c>
      <c r="V1150" t="s">
        <v>1889</v>
      </c>
    </row>
    <row r="1151" spans="1:22" x14ac:dyDescent="0.25">
      <c r="A1151" t="s">
        <v>1731</v>
      </c>
      <c r="B1151" s="2">
        <v>45514</v>
      </c>
      <c r="C1151" t="str" cm="1">
        <f t="array" ref="C11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1">
        <f>YEAR(AllDataCorrected[[#This Row],[Date]])</f>
        <v>2024</v>
      </c>
      <c r="E1151" s="1">
        <v>0.4375</v>
      </c>
      <c r="F11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1" t="str">
        <f>_xlfn.XLOOKUP(AllDataCorrected[[#This Row],[Location Name]], Locations[Location Name],Locations[Group As])</f>
        <v>Piddle Brook Wyre Piddle Bridge</v>
      </c>
      <c r="H1151" t="e" vm="17">
        <f>_xlfn.XLOOKUP(AllDataCorrected[[#This Row],[Site Name]],LocationsKey[Site Name],LocationsKey[District])</f>
        <v>#VALUE!</v>
      </c>
      <c r="I1151" t="e" vm="20">
        <f>_xlfn.XLOOKUP(AllDataCorrected[[#This Row],[Site Name]],LocationsKey[Site Name],LocationsKey[Town])</f>
        <v>#VALUE!</v>
      </c>
      <c r="J1151" t="str">
        <f>_xlfn.XLOOKUP(AllDataCorrected[[#This Row],[Site Name]],LocationsKey[Site Name], LocationsKey[Waterway])</f>
        <v>Piddle Brook</v>
      </c>
      <c r="K1151" t="s">
        <v>744</v>
      </c>
      <c r="L1151">
        <f>_xlfn.XLOOKUP(AllDataCorrected[[#This Row],[Site Name]],Tables!$B$12:$B$78, Tables!C$12:C$78)</f>
        <v>52.126401720000004</v>
      </c>
      <c r="M1151">
        <f>_xlfn.XLOOKUP(AllDataCorrected[[#This Row],[Site Name]],Tables!$B$12:$B$78, Tables!D$12:D$78)</f>
        <v>-2.0565162000000003</v>
      </c>
      <c r="N1151" t="s">
        <v>23</v>
      </c>
      <c r="O1151">
        <v>1870</v>
      </c>
      <c r="P1151">
        <v>17.3</v>
      </c>
      <c r="Q1151">
        <v>10</v>
      </c>
      <c r="R11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1">
        <v>1.29</v>
      </c>
      <c r="T11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1">
        <v>0.14000000000000001</v>
      </c>
      <c r="V1151" t="s">
        <v>1888</v>
      </c>
    </row>
    <row r="1152" spans="1:22" x14ac:dyDescent="0.25">
      <c r="A1152" t="s">
        <v>1819</v>
      </c>
      <c r="B1152" s="2">
        <v>45514</v>
      </c>
      <c r="C1152" t="str" cm="1">
        <f t="array" ref="C11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2">
        <f>YEAR(AllDataCorrected[[#This Row],[Date]])</f>
        <v>2024</v>
      </c>
      <c r="E1152" s="1">
        <v>0.44861111111111113</v>
      </c>
      <c r="F11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2" t="str">
        <f>_xlfn.XLOOKUP(AllDataCorrected[[#This Row],[Location Name]], Locations[Location Name],Locations[Group As])</f>
        <v>Site 1  :  Middle Street</v>
      </c>
      <c r="H1152" t="e" vm="2">
        <f>_xlfn.XLOOKUP(AllDataCorrected[[#This Row],[Site Name]],LocationsKey[Site Name],LocationsKey[District])</f>
        <v>#VALUE!</v>
      </c>
      <c r="I1152" t="e" vm="11">
        <f>_xlfn.XLOOKUP(AllDataCorrected[[#This Row],[Site Name]],LocationsKey[Site Name],LocationsKey[Town])</f>
        <v>#VALUE!</v>
      </c>
      <c r="J1152" t="str">
        <f>_xlfn.XLOOKUP(AllDataCorrected[[#This Row],[Site Name]],LocationsKey[Site Name], LocationsKey[Waterway])</f>
        <v>Fosseway Brook</v>
      </c>
      <c r="K1152" t="s">
        <v>1850</v>
      </c>
      <c r="L1152">
        <f>_xlfn.XLOOKUP(AllDataCorrected[[#This Row],[Site Name]],Tables!$B$12:$B$78, Tables!C$12:C$78)</f>
        <v>52.090077380952394</v>
      </c>
      <c r="M1152">
        <f>_xlfn.XLOOKUP(AllDataCorrected[[#This Row],[Site Name]],Tables!$B$12:$B$78, Tables!D$12:D$78)</f>
        <v>-1.6926051666666673</v>
      </c>
      <c r="N1152" t="s">
        <v>66</v>
      </c>
      <c r="O1152">
        <v>635</v>
      </c>
      <c r="P1152">
        <v>19.3</v>
      </c>
      <c r="Q1152">
        <v>2</v>
      </c>
      <c r="R1152" t="str">
        <f>IF(AllDataCorrected[[#This Row],[Nitrate (PPM)]]&gt;2, "4. Very high (&gt;2ppm)", IF(AllDataCorrected[[#This Row],[Nitrate (PPM)]]&gt;1, "3. High (1-2ppm)", IF(AllDataCorrected[[#This Row],[Nitrate (PPM)]]&gt;0.5, "2. Some evidence (0.5-1ppm)", IF(AllDataCorrected[[#This Row],[Nitrate (PPM)]]&gt;=0, "1. No evidence (&lt;0.5ppm)"))))</f>
        <v>3. High (1-2ppm)</v>
      </c>
      <c r="S1152">
        <v>0.66</v>
      </c>
      <c r="T11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2">
        <v>0.05</v>
      </c>
      <c r="V1152" t="s">
        <v>1929</v>
      </c>
    </row>
    <row r="1153" spans="1:22" x14ac:dyDescent="0.25">
      <c r="A1153" t="s">
        <v>1818</v>
      </c>
      <c r="B1153" s="2">
        <v>45514</v>
      </c>
      <c r="C1153" t="str" cm="1">
        <f t="array" ref="C11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3">
        <f>YEAR(AllDataCorrected[[#This Row],[Date]])</f>
        <v>2024</v>
      </c>
      <c r="E1153" s="1">
        <v>0.45416666666666666</v>
      </c>
      <c r="F11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3" t="str">
        <f>_xlfn.XLOOKUP(AllDataCorrected[[#This Row],[Location Name]], Locations[Location Name],Locations[Group As])</f>
        <v>Site 2  :  Cross Leys culvert</v>
      </c>
      <c r="H1153" t="e" vm="2">
        <f>_xlfn.XLOOKUP(AllDataCorrected[[#This Row],[Site Name]],LocationsKey[Site Name],LocationsKey[District])</f>
        <v>#VALUE!</v>
      </c>
      <c r="I1153" t="e" vm="11">
        <f>_xlfn.XLOOKUP(AllDataCorrected[[#This Row],[Site Name]],LocationsKey[Site Name],LocationsKey[Town])</f>
        <v>#VALUE!</v>
      </c>
      <c r="J1153" t="str">
        <f>_xlfn.XLOOKUP(AllDataCorrected[[#This Row],[Site Name]],LocationsKey[Site Name], LocationsKey[Waterway])</f>
        <v>Fosseway Brook</v>
      </c>
      <c r="K1153" t="s">
        <v>1937</v>
      </c>
      <c r="L1153">
        <f>_xlfn.XLOOKUP(AllDataCorrected[[#This Row],[Site Name]],Tables!$B$12:$B$78, Tables!C$12:C$78)</f>
        <v>52.092990199999988</v>
      </c>
      <c r="M1153">
        <f>_xlfn.XLOOKUP(AllDataCorrected[[#This Row],[Site Name]],Tables!$B$12:$B$78, Tables!D$12:D$78)</f>
        <v>-1.6862810999999998</v>
      </c>
      <c r="N1153" t="s">
        <v>66</v>
      </c>
      <c r="O1153">
        <v>1020</v>
      </c>
      <c r="P1153">
        <v>16.7</v>
      </c>
      <c r="Q1153">
        <v>0</v>
      </c>
      <c r="R115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53">
        <v>0.71</v>
      </c>
      <c r="T11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3">
        <v>0.15</v>
      </c>
    </row>
    <row r="1154" spans="1:22" x14ac:dyDescent="0.25">
      <c r="A1154" t="s">
        <v>1669</v>
      </c>
      <c r="B1154" s="2">
        <v>45514</v>
      </c>
      <c r="C1154" t="str" cm="1">
        <f t="array" ref="C11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4">
        <f>YEAR(AllDataCorrected[[#This Row],[Date]])</f>
        <v>2024</v>
      </c>
      <c r="E1154" s="1">
        <v>0.45763888888888887</v>
      </c>
      <c r="F11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4" t="str">
        <f>_xlfn.XLOOKUP(AllDataCorrected[[#This Row],[Location Name]], Locations[Location Name],Locations[Group As])</f>
        <v>Pitch 16</v>
      </c>
      <c r="H1154" t="e" vm="2">
        <f>_xlfn.XLOOKUP(AllDataCorrected[[#This Row],[Site Name]],LocationsKey[Site Name],LocationsKey[District])</f>
        <v>#VALUE!</v>
      </c>
      <c r="I1154" t="e" vm="7">
        <f>_xlfn.XLOOKUP(AllDataCorrected[[#This Row],[Site Name]],LocationsKey[Site Name],LocationsKey[Town])</f>
        <v>#VALUE!</v>
      </c>
      <c r="J1154" t="str">
        <f>_xlfn.XLOOKUP(AllDataCorrected[[#This Row],[Site Name]],LocationsKey[Site Name], LocationsKey[Waterway])</f>
        <v>Avon</v>
      </c>
      <c r="K1154" t="s">
        <v>69</v>
      </c>
      <c r="L1154">
        <f>_xlfn.XLOOKUP(AllDataCorrected[[#This Row],[Site Name]],Tables!$B$12:$B$78, Tables!C$12:C$78)</f>
        <v>52.17355294117646</v>
      </c>
      <c r="M1154">
        <f>_xlfn.XLOOKUP(AllDataCorrected[[#This Row],[Site Name]],Tables!$B$12:$B$78, Tables!D$12:D$78)</f>
        <v>-1.7433199411764708</v>
      </c>
      <c r="N1154" t="s">
        <v>29</v>
      </c>
      <c r="O1154">
        <v>982</v>
      </c>
      <c r="P1154">
        <v>25.1</v>
      </c>
      <c r="Q1154">
        <v>5</v>
      </c>
      <c r="R11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4">
        <v>0.56000000000000005</v>
      </c>
      <c r="T11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4">
        <v>1</v>
      </c>
    </row>
    <row r="1155" spans="1:22" x14ac:dyDescent="0.25">
      <c r="A1155" t="s">
        <v>1668</v>
      </c>
      <c r="B1155" s="2">
        <v>45514</v>
      </c>
      <c r="C1155" t="str" cm="1">
        <f t="array" ref="C11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5">
        <f>YEAR(AllDataCorrected[[#This Row],[Date]])</f>
        <v>2024</v>
      </c>
      <c r="E1155" s="1">
        <v>0.45902777777777776</v>
      </c>
      <c r="F11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5" t="str">
        <f>_xlfn.XLOOKUP(AllDataCorrected[[#This Row],[Location Name]], Locations[Location Name],Locations[Group As])</f>
        <v>Avonbank Drive</v>
      </c>
      <c r="H1155" t="e" vm="2">
        <f>_xlfn.XLOOKUP(AllDataCorrected[[#This Row],[Site Name]],LocationsKey[Site Name],LocationsKey[District])</f>
        <v>#VALUE!</v>
      </c>
      <c r="I1155" t="e" vm="7">
        <f>_xlfn.XLOOKUP(AllDataCorrected[[#This Row],[Site Name]],LocationsKey[Site Name],LocationsKey[Town])</f>
        <v>#VALUE!</v>
      </c>
      <c r="J1155" t="str">
        <f>_xlfn.XLOOKUP(AllDataCorrected[[#This Row],[Site Name]],LocationsKey[Site Name], LocationsKey[Waterway])</f>
        <v>Avon</v>
      </c>
      <c r="K1155" t="s">
        <v>103</v>
      </c>
      <c r="L1155">
        <f>_xlfn.XLOOKUP(AllDataCorrected[[#This Row],[Site Name]],Tables!$B$12:$B$78, Tables!C$12:C$78)</f>
        <v>52.177054657142854</v>
      </c>
      <c r="M1155">
        <f>_xlfn.XLOOKUP(AllDataCorrected[[#This Row],[Site Name]],Tables!$B$12:$B$78, Tables!D$12:D$78)</f>
        <v>-1.7358669999999996</v>
      </c>
      <c r="N1155" t="s">
        <v>66</v>
      </c>
      <c r="O1155">
        <v>1102</v>
      </c>
      <c r="P1155">
        <v>23</v>
      </c>
      <c r="Q1155">
        <v>5</v>
      </c>
      <c r="R11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5">
        <v>0.52</v>
      </c>
      <c r="T11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5">
        <v>1</v>
      </c>
    </row>
    <row r="1156" spans="1:22" x14ac:dyDescent="0.25">
      <c r="A1156" t="s">
        <v>1817</v>
      </c>
      <c r="B1156" s="2">
        <v>45514</v>
      </c>
      <c r="C1156" t="str" cm="1">
        <f t="array" ref="C11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6">
        <f>YEAR(AllDataCorrected[[#This Row],[Date]])</f>
        <v>2024</v>
      </c>
      <c r="E1156" s="1">
        <v>0.46250000000000002</v>
      </c>
      <c r="F11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6" t="str">
        <f>_xlfn.XLOOKUP(AllDataCorrected[[#This Row],[Location Name]], Locations[Location Name],Locations[Group As])</f>
        <v>Mill Bridge Peopleton</v>
      </c>
      <c r="H1156" t="e" vm="17">
        <f>_xlfn.XLOOKUP(AllDataCorrected[[#This Row],[Site Name]],LocationsKey[Site Name],LocationsKey[District])</f>
        <v>#VALUE!</v>
      </c>
      <c r="I1156" t="str">
        <f>_xlfn.XLOOKUP(AllDataCorrected[[#This Row],[Site Name]],LocationsKey[Site Name],LocationsKey[Town])</f>
        <v>Peopleton</v>
      </c>
      <c r="J1156" t="str">
        <f>_xlfn.XLOOKUP(AllDataCorrected[[#This Row],[Site Name]],LocationsKey[Site Name], LocationsKey[Waterway])</f>
        <v>Bow Brook</v>
      </c>
      <c r="K1156" t="s">
        <v>921</v>
      </c>
      <c r="L1156">
        <f>_xlfn.XLOOKUP(AllDataCorrected[[#This Row],[Site Name]],Tables!$B$12:$B$78, Tables!C$12:C$78)</f>
        <v>52.15202992857143</v>
      </c>
      <c r="M1156">
        <f>_xlfn.XLOOKUP(AllDataCorrected[[#This Row],[Site Name]],Tables!$B$12:$B$78, Tables!D$12:D$78)</f>
        <v>-2.0954780000000004</v>
      </c>
      <c r="N1156" t="s">
        <v>29</v>
      </c>
      <c r="O1156">
        <v>1250</v>
      </c>
      <c r="P1156">
        <v>18.600000000000001</v>
      </c>
      <c r="Q1156">
        <v>10</v>
      </c>
      <c r="R11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6">
        <v>1.61</v>
      </c>
      <c r="T11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6">
        <v>0.2</v>
      </c>
      <c r="V1156" t="s">
        <v>1358</v>
      </c>
    </row>
    <row r="1157" spans="1:22" x14ac:dyDescent="0.25">
      <c r="A1157" t="s">
        <v>1816</v>
      </c>
      <c r="B1157" s="2">
        <v>45514</v>
      </c>
      <c r="C1157" t="str" cm="1">
        <f t="array" ref="C11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7">
        <f>YEAR(AllDataCorrected[[#This Row],[Date]])</f>
        <v>2024</v>
      </c>
      <c r="E1157" s="1">
        <v>0.46388888888888891</v>
      </c>
      <c r="F11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7" t="str">
        <f>_xlfn.XLOOKUP(AllDataCorrected[[#This Row],[Location Name]], Locations[Location Name],Locations[Group As])</f>
        <v>Site 3  :  Severn Trent Water processing plant outflow</v>
      </c>
      <c r="H1157" t="e" vm="2">
        <f>_xlfn.XLOOKUP(AllDataCorrected[[#This Row],[Site Name]],LocationsKey[Site Name],LocationsKey[District])</f>
        <v>#VALUE!</v>
      </c>
      <c r="I1157" t="e" vm="11">
        <f>_xlfn.XLOOKUP(AllDataCorrected[[#This Row],[Site Name]],LocationsKey[Site Name],LocationsKey[Town])</f>
        <v>#VALUE!</v>
      </c>
      <c r="J1157" t="str">
        <f>_xlfn.XLOOKUP(AllDataCorrected[[#This Row],[Site Name]],LocationsKey[Site Name], LocationsKey[Waterway])</f>
        <v>Fosseway Brook</v>
      </c>
      <c r="K1157" t="s">
        <v>1849</v>
      </c>
      <c r="L1157">
        <f>_xlfn.XLOOKUP(AllDataCorrected[[#This Row],[Site Name]],Tables!$B$12:$B$78, Tables!C$12:C$78)</f>
        <v>52.094341024390218</v>
      </c>
      <c r="M1157">
        <f>_xlfn.XLOOKUP(AllDataCorrected[[#This Row],[Site Name]],Tables!$B$12:$B$78, Tables!D$12:D$78)</f>
        <v>-1.6731015853658531</v>
      </c>
      <c r="N1157" t="s">
        <v>29</v>
      </c>
      <c r="O1157">
        <v>955</v>
      </c>
      <c r="P1157">
        <v>18.5</v>
      </c>
      <c r="Q1157">
        <v>10</v>
      </c>
      <c r="R115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7">
        <v>2.5</v>
      </c>
      <c r="T11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7">
        <v>0.15</v>
      </c>
    </row>
    <row r="1158" spans="1:22" x14ac:dyDescent="0.25">
      <c r="A1158" t="s">
        <v>1814</v>
      </c>
      <c r="B1158" s="2">
        <v>45514</v>
      </c>
      <c r="C1158" t="str" cm="1">
        <f t="array" ref="C11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8">
        <f>YEAR(AllDataCorrected[[#This Row],[Date]])</f>
        <v>2024</v>
      </c>
      <c r="E1158" s="1">
        <v>0.5</v>
      </c>
      <c r="F115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8" t="str">
        <f>_xlfn.XLOOKUP(AllDataCorrected[[#This Row],[Location Name]], Locations[Location Name],Locations[Group As])</f>
        <v>Carrant Bredon Rd</v>
      </c>
      <c r="H1158" t="e" vm="1">
        <f>_xlfn.XLOOKUP(AllDataCorrected[[#This Row],[Site Name]],LocationsKey[Site Name],LocationsKey[District])</f>
        <v>#VALUE!</v>
      </c>
      <c r="I1158" t="e" vm="1">
        <f>_xlfn.XLOOKUP(AllDataCorrected[[#This Row],[Site Name]],LocationsKey[Site Name],LocationsKey[Town])</f>
        <v>#VALUE!</v>
      </c>
      <c r="J1158" t="str">
        <f>_xlfn.XLOOKUP(AllDataCorrected[[#This Row],[Site Name]],LocationsKey[Site Name], LocationsKey[Waterway])</f>
        <v>Carrant</v>
      </c>
      <c r="K1158" t="s">
        <v>600</v>
      </c>
      <c r="L1158">
        <f>_xlfn.XLOOKUP(AllDataCorrected[[#This Row],[Site Name]],Tables!$B$12:$B$78, Tables!C$12:C$78)</f>
        <v>51.996416567567572</v>
      </c>
      <c r="M1158">
        <f>_xlfn.XLOOKUP(AllDataCorrected[[#This Row],[Site Name]],Tables!$B$12:$B$78, Tables!D$12:D$78)</f>
        <v>-2.1556626756756749</v>
      </c>
      <c r="N1158" t="s">
        <v>23</v>
      </c>
      <c r="O1158">
        <v>716</v>
      </c>
      <c r="P1158">
        <v>18.600000000000001</v>
      </c>
      <c r="Q1158">
        <v>4</v>
      </c>
      <c r="R115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8">
        <v>0.67</v>
      </c>
      <c r="T11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8">
        <v>0</v>
      </c>
    </row>
    <row r="1159" spans="1:22" x14ac:dyDescent="0.25">
      <c r="A1159" t="s">
        <v>1815</v>
      </c>
      <c r="B1159" s="2">
        <v>45514</v>
      </c>
      <c r="C1159" t="str" cm="1">
        <f t="array" ref="C11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9">
        <f>YEAR(AllDataCorrected[[#This Row],[Date]])</f>
        <v>2024</v>
      </c>
      <c r="E1159" s="1">
        <v>0.71875</v>
      </c>
      <c r="F11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9" t="str">
        <f>_xlfn.XLOOKUP(AllDataCorrected[[#This Row],[Location Name]], Locations[Location Name],Locations[Group As])</f>
        <v>Preston-on-Stour River Bridge</v>
      </c>
      <c r="H1159" t="e" vm="2">
        <f>_xlfn.XLOOKUP(AllDataCorrected[[#This Row],[Site Name]],LocationsKey[Site Name],LocationsKey[District])</f>
        <v>#VALUE!</v>
      </c>
      <c r="I1159" t="e" vm="9">
        <f>_xlfn.XLOOKUP(AllDataCorrected[[#This Row],[Site Name]],LocationsKey[Site Name],LocationsKey[Town])</f>
        <v>#VALUE!</v>
      </c>
      <c r="J1159" t="str">
        <f>_xlfn.XLOOKUP(AllDataCorrected[[#This Row],[Site Name]],LocationsKey[Site Name], LocationsKey[Waterway])</f>
        <v>Stour</v>
      </c>
      <c r="K1159" t="s">
        <v>163</v>
      </c>
      <c r="L1159">
        <f>_xlfn.XLOOKUP(AllDataCorrected[[#This Row],[Site Name]],Tables!$B$12:$B$78, Tables!C$12:C$78)</f>
        <v>52.146529500000007</v>
      </c>
      <c r="M1159">
        <f>_xlfn.XLOOKUP(AllDataCorrected[[#This Row],[Site Name]],Tables!$B$12:$B$78, Tables!D$12:D$78)</f>
        <v>-1.6996899999999999</v>
      </c>
      <c r="N1159" t="s">
        <v>29</v>
      </c>
      <c r="O1159">
        <v>712</v>
      </c>
      <c r="P1159">
        <v>19.7</v>
      </c>
      <c r="Q1159">
        <v>6</v>
      </c>
      <c r="R115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9">
        <v>0.54</v>
      </c>
      <c r="T11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9">
        <v>1</v>
      </c>
      <c r="V1159" t="s">
        <v>1928</v>
      </c>
    </row>
    <row r="1160" spans="1:22" x14ac:dyDescent="0.25">
      <c r="A1160" t="s">
        <v>1813</v>
      </c>
      <c r="B1160" s="2">
        <v>45515</v>
      </c>
      <c r="C1160" t="str" cm="1">
        <f t="array" ref="C11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0">
        <f>YEAR(AllDataCorrected[[#This Row],[Date]])</f>
        <v>2024</v>
      </c>
      <c r="E1160" s="1">
        <v>0.45</v>
      </c>
      <c r="F11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0" t="str">
        <f>_xlfn.XLOOKUP(AllDataCorrected[[#This Row],[Location Name]], Locations[Location Name],Locations[Group As])</f>
        <v>Lower Lode</v>
      </c>
      <c r="H1160" t="e" vm="1">
        <f>_xlfn.XLOOKUP(AllDataCorrected[[#This Row],[Site Name]],LocationsKey[Site Name],LocationsKey[District])</f>
        <v>#VALUE!</v>
      </c>
      <c r="I1160" t="e" vm="1">
        <f>_xlfn.XLOOKUP(AllDataCorrected[[#This Row],[Site Name]],LocationsKey[Site Name],LocationsKey[Town])</f>
        <v>#VALUE!</v>
      </c>
      <c r="J1160" t="str">
        <f>_xlfn.XLOOKUP(AllDataCorrected[[#This Row],[Site Name]],LocationsKey[Site Name], LocationsKey[Waterway])</f>
        <v>Avon</v>
      </c>
      <c r="K1160" t="s">
        <v>592</v>
      </c>
      <c r="L1160">
        <f>_xlfn.XLOOKUP(AllDataCorrected[[#This Row],[Site Name]],Tables!$B$12:$B$78, Tables!C$12:C$78)</f>
        <v>51.984954782608689</v>
      </c>
      <c r="M1160">
        <f>_xlfn.XLOOKUP(AllDataCorrected[[#This Row],[Site Name]],Tables!$B$12:$B$78, Tables!D$12:D$78)</f>
        <v>-2.1744283478260868</v>
      </c>
      <c r="N1160" t="s">
        <v>29</v>
      </c>
      <c r="O1160">
        <v>1080</v>
      </c>
      <c r="P1160">
        <v>22.7</v>
      </c>
      <c r="Q1160">
        <v>10</v>
      </c>
      <c r="R11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0">
        <v>1.08</v>
      </c>
      <c r="T11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0">
        <v>0</v>
      </c>
    </row>
    <row r="1161" spans="1:22" x14ac:dyDescent="0.25">
      <c r="A1161" t="s">
        <v>1742</v>
      </c>
      <c r="B1161" s="2">
        <v>45515</v>
      </c>
      <c r="C1161" t="str" cm="1">
        <f t="array" ref="C11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1">
        <f>YEAR(AllDataCorrected[[#This Row],[Date]])</f>
        <v>2024</v>
      </c>
      <c r="E1161" s="1">
        <v>0.72083333333333333</v>
      </c>
      <c r="F11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61" t="str">
        <f>_xlfn.XLOOKUP(AllDataCorrected[[#This Row],[Location Name]], Locations[Location Name],Locations[Group As])</f>
        <v>Carrant Back Lane Beckford</v>
      </c>
      <c r="H1161" t="e" vm="1">
        <f>_xlfn.XLOOKUP(AllDataCorrected[[#This Row],[Site Name]],LocationsKey[Site Name],LocationsKey[District])</f>
        <v>#VALUE!</v>
      </c>
      <c r="I1161" t="str">
        <f>_xlfn.XLOOKUP(AllDataCorrected[[#This Row],[Site Name]],LocationsKey[Site Name],LocationsKey[Town])</f>
        <v>Beckford</v>
      </c>
      <c r="J1161" t="str">
        <f>_xlfn.XLOOKUP(AllDataCorrected[[#This Row],[Site Name]],LocationsKey[Site Name], LocationsKey[Waterway])</f>
        <v>Carrant</v>
      </c>
      <c r="K1161" t="s">
        <v>1858</v>
      </c>
      <c r="L1161">
        <f>_xlfn.XLOOKUP(AllDataCorrected[[#This Row],[Site Name]],Tables!$B$12:$B$78, Tables!C$12:C$78)</f>
        <v>52.017659444444448</v>
      </c>
      <c r="M1161">
        <f>_xlfn.XLOOKUP(AllDataCorrected[[#This Row],[Site Name]],Tables!$B$12:$B$78, Tables!D$12:D$78)</f>
        <v>-2.0390003333333335</v>
      </c>
      <c r="N1161" t="s">
        <v>66</v>
      </c>
      <c r="O1161">
        <v>794</v>
      </c>
      <c r="P1161">
        <v>20.6</v>
      </c>
      <c r="Q1161">
        <v>7</v>
      </c>
      <c r="R11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1">
        <v>0.14000000000000001</v>
      </c>
      <c r="T11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1">
        <v>0.2</v>
      </c>
      <c r="V1161" t="s">
        <v>1893</v>
      </c>
    </row>
    <row r="1162" spans="1:22" x14ac:dyDescent="0.25">
      <c r="A1162" t="s">
        <v>1737</v>
      </c>
      <c r="B1162" s="2">
        <v>45515</v>
      </c>
      <c r="C1162" t="str" cm="1">
        <f t="array" ref="C11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2">
        <f>YEAR(AllDataCorrected[[#This Row],[Date]])</f>
        <v>2024</v>
      </c>
      <c r="E1162" s="1">
        <v>0.79861111111111116</v>
      </c>
      <c r="F116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62" t="str">
        <f>_xlfn.XLOOKUP(AllDataCorrected[[#This Row],[Location Name]], Locations[Location Name],Locations[Group As])</f>
        <v>Fell Mill Footbridge</v>
      </c>
      <c r="H1162" t="e" vm="2">
        <f>_xlfn.XLOOKUP(AllDataCorrected[[#This Row],[Site Name]],LocationsKey[Site Name],LocationsKey[District])</f>
        <v>#VALUE!</v>
      </c>
      <c r="I1162" t="e" vm="10">
        <f>_xlfn.XLOOKUP(AllDataCorrected[[#This Row],[Site Name]],LocationsKey[Site Name],LocationsKey[Town])</f>
        <v>#VALUE!</v>
      </c>
      <c r="J1162" t="str">
        <f>_xlfn.XLOOKUP(AllDataCorrected[[#This Row],[Site Name]],LocationsKey[Site Name], LocationsKey[Waterway])</f>
        <v>Stour</v>
      </c>
      <c r="K1162" t="s">
        <v>818</v>
      </c>
      <c r="L1162">
        <f>_xlfn.XLOOKUP(AllDataCorrected[[#This Row],[Site Name]],Tables!$B$12:$B$78, Tables!C$12:C$78)</f>
        <v>52.067966827586183</v>
      </c>
      <c r="M1162">
        <f>_xlfn.XLOOKUP(AllDataCorrected[[#This Row],[Site Name]],Tables!$B$12:$B$78, Tables!D$12:D$78)</f>
        <v>-1.6118101379310343</v>
      </c>
      <c r="N1162" t="s">
        <v>29</v>
      </c>
      <c r="O1162">
        <v>671</v>
      </c>
      <c r="P1162">
        <v>19.2</v>
      </c>
      <c r="Q1162">
        <v>5</v>
      </c>
      <c r="R11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2">
        <v>0.54</v>
      </c>
      <c r="T11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2">
        <v>1.1000000000000001</v>
      </c>
    </row>
    <row r="1163" spans="1:22" x14ac:dyDescent="0.25">
      <c r="A1163" t="s">
        <v>1741</v>
      </c>
      <c r="B1163" s="2">
        <v>45515</v>
      </c>
      <c r="C1163" t="str" cm="1">
        <f t="array" ref="C11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3">
        <f>YEAR(AllDataCorrected[[#This Row],[Date]])</f>
        <v>2024</v>
      </c>
      <c r="E1163" s="1">
        <v>0.84652777777777777</v>
      </c>
      <c r="F116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63" t="str">
        <f>_xlfn.XLOOKUP(AllDataCorrected[[#This Row],[Location Name]], Locations[Location Name],Locations[Group As])</f>
        <v>Black Bear</v>
      </c>
      <c r="H1163" t="e" vm="1">
        <f>_xlfn.XLOOKUP(AllDataCorrected[[#This Row],[Site Name]],LocationsKey[Site Name],LocationsKey[District])</f>
        <v>#VALUE!</v>
      </c>
      <c r="I1163" t="e" vm="1">
        <f>_xlfn.XLOOKUP(AllDataCorrected[[#This Row],[Site Name]],LocationsKey[Site Name],LocationsKey[Town])</f>
        <v>#VALUE!</v>
      </c>
      <c r="J1163" t="str">
        <f>_xlfn.XLOOKUP(AllDataCorrected[[#This Row],[Site Name]],LocationsKey[Site Name], LocationsKey[Waterway])</f>
        <v>Avon</v>
      </c>
      <c r="K1163" t="s">
        <v>1045</v>
      </c>
      <c r="L1163">
        <f>_xlfn.XLOOKUP(AllDataCorrected[[#This Row],[Site Name]],Tables!$B$12:$B$78, Tables!C$12:C$78)</f>
        <v>51.997435214285723</v>
      </c>
      <c r="M1163">
        <f>_xlfn.XLOOKUP(AllDataCorrected[[#This Row],[Site Name]],Tables!$B$12:$B$78, Tables!D$12:D$78)</f>
        <v>-2.1562056785714288</v>
      </c>
      <c r="N1163" t="s">
        <v>23</v>
      </c>
      <c r="O1163">
        <v>100</v>
      </c>
      <c r="P1163">
        <v>23.2</v>
      </c>
      <c r="Q1163">
        <v>9</v>
      </c>
      <c r="R11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3">
        <v>0.86</v>
      </c>
      <c r="T11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3">
        <v>0</v>
      </c>
    </row>
    <row r="1164" spans="1:22" x14ac:dyDescent="0.25">
      <c r="A1164" t="s">
        <v>1738</v>
      </c>
      <c r="B1164" s="2">
        <v>45516</v>
      </c>
      <c r="C1164" t="str" cm="1">
        <f t="array" ref="C11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4">
        <f>YEAR(AllDataCorrected[[#This Row],[Date]])</f>
        <v>2024</v>
      </c>
      <c r="E1164" s="1">
        <v>0.33333333333333331</v>
      </c>
      <c r="F11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4" t="str">
        <f>_xlfn.XLOOKUP(AllDataCorrected[[#This Row],[Location Name]], Locations[Location Name],Locations[Group As])</f>
        <v>Carrant M5 Bridge</v>
      </c>
      <c r="H1164" t="e" vm="1">
        <f>_xlfn.XLOOKUP(AllDataCorrected[[#This Row],[Site Name]],LocationsKey[Site Name],LocationsKey[District])</f>
        <v>#VALUE!</v>
      </c>
      <c r="I1164" t="e" vm="1">
        <f>_xlfn.XLOOKUP(AllDataCorrected[[#This Row],[Site Name]],LocationsKey[Site Name],LocationsKey[Town])</f>
        <v>#VALUE!</v>
      </c>
      <c r="J1164" t="str">
        <f>_xlfn.XLOOKUP(AllDataCorrected[[#This Row],[Site Name]],LocationsKey[Site Name], LocationsKey[Waterway])</f>
        <v>Carrant</v>
      </c>
      <c r="K1164" t="s">
        <v>960</v>
      </c>
      <c r="L1164">
        <f>_xlfn.XLOOKUP(AllDataCorrected[[#This Row],[Site Name]],Tables!$B$12:$B$78, Tables!C$12:C$78)</f>
        <v>52.011600000000001</v>
      </c>
      <c r="M1164">
        <f>_xlfn.XLOOKUP(AllDataCorrected[[#This Row],[Site Name]],Tables!$B$12:$B$78, Tables!D$12:D$78)</f>
        <v>-2.1206</v>
      </c>
      <c r="N1164" t="s">
        <v>23</v>
      </c>
      <c r="O1164">
        <v>517</v>
      </c>
      <c r="P1164">
        <v>22.8</v>
      </c>
      <c r="Q1164">
        <v>10</v>
      </c>
      <c r="R11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4">
        <v>0.71</v>
      </c>
      <c r="T11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4">
        <v>0</v>
      </c>
    </row>
    <row r="1165" spans="1:22" x14ac:dyDescent="0.25">
      <c r="A1165" t="s">
        <v>1720</v>
      </c>
      <c r="B1165" s="2">
        <v>45523</v>
      </c>
      <c r="C1165" t="str" cm="1">
        <f t="array" ref="C11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5">
        <f>YEAR(AllDataCorrected[[#This Row],[Date]])</f>
        <v>2024</v>
      </c>
      <c r="E1165" s="1">
        <v>0.44444444444444442</v>
      </c>
      <c r="F11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5" t="str">
        <f>_xlfn.XLOOKUP(AllDataCorrected[[#This Row],[Location Name]], Locations[Location Name],Locations[Group As])</f>
        <v>Chipping Campden Lady J Gateway</v>
      </c>
      <c r="H1165" t="e" vm="23">
        <f>_xlfn.XLOOKUP(AllDataCorrected[[#This Row],[Site Name]],LocationsKey[Site Name],LocationsKey[District])</f>
        <v>#VALUE!</v>
      </c>
      <c r="I1165" t="e" vm="24">
        <f>_xlfn.XLOOKUP(AllDataCorrected[[#This Row],[Site Name]],LocationsKey[Site Name],LocationsKey[Town])</f>
        <v>#VALUE!</v>
      </c>
      <c r="J1165" t="str">
        <f>_xlfn.XLOOKUP(AllDataCorrected[[#This Row],[Site Name]],LocationsKey[Site Name], LocationsKey[Waterway])</f>
        <v>Cam Brook</v>
      </c>
      <c r="K1165" t="s">
        <v>1476</v>
      </c>
      <c r="L1165" t="str">
        <f>_xlfn.XLOOKUP(AllDataCorrected[[#This Row],[Site Name]],Tables!$B$12:$B$78, Tables!C$12:C$78)</f>
        <v>Unknown</v>
      </c>
      <c r="M1165" t="str">
        <f>_xlfn.XLOOKUP(AllDataCorrected[[#This Row],[Site Name]],Tables!$B$12:$B$78, Tables!D$12:D$78)</f>
        <v>Unknown</v>
      </c>
      <c r="N1165" t="s">
        <v>66</v>
      </c>
      <c r="O1165">
        <v>483</v>
      </c>
      <c r="P1165">
        <v>16.100000000000001</v>
      </c>
      <c r="Q1165">
        <v>5</v>
      </c>
      <c r="R116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5">
        <v>0.05</v>
      </c>
      <c r="T1165"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65">
        <v>0.06</v>
      </c>
    </row>
    <row r="1166" spans="1:22" x14ac:dyDescent="0.25">
      <c r="A1166" t="s">
        <v>1680</v>
      </c>
      <c r="B1166" s="2">
        <v>45530</v>
      </c>
      <c r="C1166" t="str" cm="1">
        <f t="array" ref="C11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6">
        <f>YEAR(AllDataCorrected[[#This Row],[Date]])</f>
        <v>2024</v>
      </c>
      <c r="E1166" s="1">
        <v>0.46180555555555558</v>
      </c>
      <c r="F11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6" t="str">
        <f>_xlfn.XLOOKUP(AllDataCorrected[[#This Row],[Location Name]], Locations[Location Name],Locations[Group As])</f>
        <v>Chipping Campden Lady J Gateway</v>
      </c>
      <c r="H1166" t="e" vm="23">
        <f>_xlfn.XLOOKUP(AllDataCorrected[[#This Row],[Site Name]],LocationsKey[Site Name],LocationsKey[District])</f>
        <v>#VALUE!</v>
      </c>
      <c r="I1166" t="e" vm="24">
        <f>_xlfn.XLOOKUP(AllDataCorrected[[#This Row],[Site Name]],LocationsKey[Site Name],LocationsKey[Town])</f>
        <v>#VALUE!</v>
      </c>
      <c r="J1166" t="str">
        <f>_xlfn.XLOOKUP(AllDataCorrected[[#This Row],[Site Name]],LocationsKey[Site Name], LocationsKey[Waterway])</f>
        <v>Cam Brook</v>
      </c>
      <c r="K1166" t="s">
        <v>1476</v>
      </c>
      <c r="L1166" t="str">
        <f>_xlfn.XLOOKUP(AllDataCorrected[[#This Row],[Site Name]],Tables!$B$12:$B$78, Tables!C$12:C$78)</f>
        <v>Unknown</v>
      </c>
      <c r="M1166" t="str">
        <f>_xlfn.XLOOKUP(AllDataCorrected[[#This Row],[Site Name]],Tables!$B$12:$B$78, Tables!D$12:D$78)</f>
        <v>Unknown</v>
      </c>
      <c r="N1166" t="s">
        <v>66</v>
      </c>
      <c r="O1166">
        <v>492</v>
      </c>
      <c r="P1166">
        <v>20.8</v>
      </c>
      <c r="Q1166">
        <v>5</v>
      </c>
      <c r="R11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6">
        <v>0.18</v>
      </c>
      <c r="T11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6">
        <v>0.05</v>
      </c>
    </row>
    <row r="1167" spans="1:22" x14ac:dyDescent="0.25">
      <c r="A1167" t="s">
        <v>1688</v>
      </c>
      <c r="B1167" s="2">
        <v>45516</v>
      </c>
      <c r="C1167" t="str" cm="1">
        <f t="array" ref="C11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7">
        <f>YEAR(AllDataCorrected[[#This Row],[Date]])</f>
        <v>2024</v>
      </c>
      <c r="E1167" s="1">
        <v>0.4236111111111111</v>
      </c>
      <c r="F11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7" t="str">
        <f>_xlfn.XLOOKUP(AllDataCorrected[[#This Row],[Location Name]], Locations[Location Name],Locations[Group As])</f>
        <v>Sherbourne Brook 1</v>
      </c>
      <c r="H1167" t="e" vm="2">
        <f>_xlfn.XLOOKUP(AllDataCorrected[[#This Row],[Site Name]],LocationsKey[Site Name],LocationsKey[District])</f>
        <v>#VALUE!</v>
      </c>
      <c r="I1167" t="e" vm="16">
        <f>_xlfn.XLOOKUP(AllDataCorrected[[#This Row],[Site Name]],LocationsKey[Site Name],LocationsKey[Town])</f>
        <v>#VALUE!</v>
      </c>
      <c r="J1167" t="str">
        <f>_xlfn.XLOOKUP(AllDataCorrected[[#This Row],[Site Name]],LocationsKey[Site Name], LocationsKey[Waterway])</f>
        <v>Sherbourne Brook</v>
      </c>
      <c r="K1167" t="s">
        <v>570</v>
      </c>
      <c r="L1167">
        <f>_xlfn.XLOOKUP(AllDataCorrected[[#This Row],[Site Name]],Tables!$B$12:$B$78, Tables!C$12:C$78)</f>
        <v>52.252500000000033</v>
      </c>
      <c r="M1167">
        <f>_xlfn.XLOOKUP(AllDataCorrected[[#This Row],[Site Name]],Tables!$B$12:$B$78, Tables!D$12:D$78)</f>
        <v>-1.6685000000000012</v>
      </c>
      <c r="N1167" t="s">
        <v>23</v>
      </c>
      <c r="O1167">
        <v>1070</v>
      </c>
      <c r="P1167">
        <v>20.6</v>
      </c>
      <c r="Q1167">
        <v>7</v>
      </c>
      <c r="R11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7">
        <v>0.37</v>
      </c>
      <c r="T11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7">
        <v>0.1</v>
      </c>
    </row>
    <row r="1168" spans="1:22" x14ac:dyDescent="0.25">
      <c r="A1168" t="s">
        <v>1687</v>
      </c>
      <c r="B1168" s="2">
        <v>45516</v>
      </c>
      <c r="C1168" t="str" cm="1">
        <f t="array" ref="C11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8">
        <f>YEAR(AllDataCorrected[[#This Row],[Date]])</f>
        <v>2024</v>
      </c>
      <c r="E1168" s="1">
        <v>0.42708333333333331</v>
      </c>
      <c r="F11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8" t="str">
        <f>_xlfn.XLOOKUP(AllDataCorrected[[#This Row],[Location Name]], Locations[Location Name],Locations[Group As])</f>
        <v>Bell Brook 1</v>
      </c>
      <c r="H1168" t="e" vm="2">
        <f>_xlfn.XLOOKUP(AllDataCorrected[[#This Row],[Site Name]],LocationsKey[Site Name],LocationsKey[District])</f>
        <v>#VALUE!</v>
      </c>
      <c r="I1168" t="e" vm="15">
        <f>_xlfn.XLOOKUP(AllDataCorrected[[#This Row],[Site Name]],LocationsKey[Site Name],LocationsKey[Town])</f>
        <v>#VALUE!</v>
      </c>
      <c r="J1168" t="str">
        <f>_xlfn.XLOOKUP(AllDataCorrected[[#This Row],[Site Name]],LocationsKey[Site Name], LocationsKey[Waterway])</f>
        <v>Bell Brook</v>
      </c>
      <c r="K1168" t="s">
        <v>534</v>
      </c>
      <c r="L1168">
        <f>_xlfn.XLOOKUP(AllDataCorrected[[#This Row],[Site Name]],Tables!$B$12:$B$78, Tables!C$12:C$78)</f>
        <v>52.24489999999998</v>
      </c>
      <c r="M1168">
        <f>_xlfn.XLOOKUP(AllDataCorrected[[#This Row],[Site Name]],Tables!$B$12:$B$78, Tables!D$12:D$78)</f>
        <v>-1.6617000000000013</v>
      </c>
      <c r="N1168" t="s">
        <v>23</v>
      </c>
      <c r="O1168">
        <v>860</v>
      </c>
      <c r="P1168">
        <v>22.6</v>
      </c>
      <c r="Q1168">
        <v>15</v>
      </c>
      <c r="R11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8">
        <v>0.89</v>
      </c>
      <c r="T11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8">
        <v>0.1</v>
      </c>
    </row>
    <row r="1169" spans="1:22" x14ac:dyDescent="0.25">
      <c r="A1169" t="s">
        <v>1658</v>
      </c>
      <c r="B1169" s="2">
        <v>45537</v>
      </c>
      <c r="C1169" t="str" cm="1">
        <f t="array" ref="C11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69">
        <f>YEAR(AllDataCorrected[[#This Row],[Date]])</f>
        <v>2024</v>
      </c>
      <c r="E1169" s="1">
        <v>0.28819444444444442</v>
      </c>
      <c r="F11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9" t="str">
        <f>_xlfn.XLOOKUP(AllDataCorrected[[#This Row],[Location Name]], Locations[Location Name],Locations[Group As])</f>
        <v>Chipping Campden Lady J Gateway</v>
      </c>
      <c r="H1169" t="e" vm="23">
        <f>_xlfn.XLOOKUP(AllDataCorrected[[#This Row],[Site Name]],LocationsKey[Site Name],LocationsKey[District])</f>
        <v>#VALUE!</v>
      </c>
      <c r="I1169" t="e" vm="24">
        <f>_xlfn.XLOOKUP(AllDataCorrected[[#This Row],[Site Name]],LocationsKey[Site Name],LocationsKey[Town])</f>
        <v>#VALUE!</v>
      </c>
      <c r="J1169" t="str">
        <f>_xlfn.XLOOKUP(AllDataCorrected[[#This Row],[Site Name]],LocationsKey[Site Name], LocationsKey[Waterway])</f>
        <v>Cam Brook</v>
      </c>
      <c r="K1169" t="s">
        <v>1476</v>
      </c>
      <c r="L1169" t="str">
        <f>_xlfn.XLOOKUP(AllDataCorrected[[#This Row],[Site Name]],Tables!$B$12:$B$78, Tables!C$12:C$78)</f>
        <v>Unknown</v>
      </c>
      <c r="M1169" t="str">
        <f>_xlfn.XLOOKUP(AllDataCorrected[[#This Row],[Site Name]],Tables!$B$12:$B$78, Tables!D$12:D$78)</f>
        <v>Unknown</v>
      </c>
      <c r="N1169" t="s">
        <v>66</v>
      </c>
      <c r="O1169">
        <v>507</v>
      </c>
      <c r="P1169">
        <v>17.600000000000001</v>
      </c>
      <c r="Q1169">
        <v>5</v>
      </c>
      <c r="R116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9">
        <v>0.14000000000000001</v>
      </c>
      <c r="T11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9">
        <v>7.0000000000000007E-2</v>
      </c>
    </row>
    <row r="1170" spans="1:22" x14ac:dyDescent="0.25">
      <c r="A1170" t="s">
        <v>1735</v>
      </c>
      <c r="B1170" s="2">
        <v>45518</v>
      </c>
      <c r="C1170" t="str" cm="1">
        <f t="array" ref="C11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0">
        <f>YEAR(AllDataCorrected[[#This Row],[Date]])</f>
        <v>2024</v>
      </c>
      <c r="E1170" s="1">
        <v>0.51180555555555551</v>
      </c>
      <c r="F11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0" t="str">
        <f>_xlfn.XLOOKUP(AllDataCorrected[[#This Row],[Location Name]], Locations[Location Name],Locations[Group As])</f>
        <v>Bredon Marina</v>
      </c>
      <c r="H1170" t="e" vm="1">
        <f>_xlfn.XLOOKUP(AllDataCorrected[[#This Row],[Site Name]],LocationsKey[Site Name],LocationsKey[District])</f>
        <v>#VALUE!</v>
      </c>
      <c r="I1170" t="e" vm="25">
        <f>_xlfn.XLOOKUP(AllDataCorrected[[#This Row],[Site Name]],LocationsKey[Site Name],LocationsKey[Town])</f>
        <v>#VALUE!</v>
      </c>
      <c r="J1170" t="str">
        <f>_xlfn.XLOOKUP(AllDataCorrected[[#This Row],[Site Name]],LocationsKey[Site Name], LocationsKey[Waterway])</f>
        <v>Avon</v>
      </c>
      <c r="K1170" t="s">
        <v>1649</v>
      </c>
      <c r="L1170">
        <f>_xlfn.XLOOKUP(AllDataCorrected[[#This Row],[Site Name]],Tables!$B$12:$B$78, Tables!C$12:C$78)</f>
        <v>52.032660333333332</v>
      </c>
      <c r="M1170">
        <f>_xlfn.XLOOKUP(AllDataCorrected[[#This Row],[Site Name]],Tables!$B$12:$B$78, Tables!D$12:D$78)</f>
        <v>-2.1157033333333337</v>
      </c>
      <c r="N1170" t="s">
        <v>29</v>
      </c>
      <c r="O1170">
        <v>1020</v>
      </c>
      <c r="P1170">
        <v>21.2</v>
      </c>
      <c r="Q1170">
        <v>10</v>
      </c>
      <c r="R117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0">
        <v>0.82</v>
      </c>
      <c r="T11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0">
        <v>2</v>
      </c>
      <c r="V1170" t="s">
        <v>1892</v>
      </c>
    </row>
    <row r="1171" spans="1:22" x14ac:dyDescent="0.25">
      <c r="A1171" t="s">
        <v>1734</v>
      </c>
      <c r="B1171" s="2">
        <v>45518</v>
      </c>
      <c r="C1171" t="str" cm="1">
        <f t="array" ref="C11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1">
        <f>YEAR(AllDataCorrected[[#This Row],[Date]])</f>
        <v>2024</v>
      </c>
      <c r="E1171" s="1">
        <v>0.59722222222222221</v>
      </c>
      <c r="F11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1" t="str">
        <f>_xlfn.XLOOKUP(AllDataCorrected[[#This Row],[Location Name]], Locations[Location Name],Locations[Group As])</f>
        <v>Alveston Weir</v>
      </c>
      <c r="H1171" t="e" vm="2">
        <f>_xlfn.XLOOKUP(AllDataCorrected[[#This Row],[Site Name]],LocationsKey[Site Name],LocationsKey[District])</f>
        <v>#VALUE!</v>
      </c>
      <c r="I1171" t="e" vm="13">
        <f>_xlfn.XLOOKUP(AllDataCorrected[[#This Row],[Site Name]],LocationsKey[Site Name],LocationsKey[Town])</f>
        <v>#VALUE!</v>
      </c>
      <c r="J1171" t="str">
        <f>_xlfn.XLOOKUP(AllDataCorrected[[#This Row],[Site Name]],LocationsKey[Site Name], LocationsKey[Waterway])</f>
        <v>Avon</v>
      </c>
      <c r="K1171" t="s">
        <v>286</v>
      </c>
      <c r="L1171">
        <f>_xlfn.XLOOKUP(AllDataCorrected[[#This Row],[Site Name]],Tables!$B$12:$B$78, Tables!C$12:C$78)</f>
        <v>52.212366690476216</v>
      </c>
      <c r="M1171">
        <f>_xlfn.XLOOKUP(AllDataCorrected[[#This Row],[Site Name]],Tables!$B$12:$B$78, Tables!D$12:D$78)</f>
        <v>-1.6602567619047619</v>
      </c>
      <c r="N1171" t="s">
        <v>29</v>
      </c>
      <c r="O1171">
        <v>0.55000000000000004</v>
      </c>
      <c r="P1171">
        <v>20.7</v>
      </c>
      <c r="Q1171">
        <v>10</v>
      </c>
      <c r="R11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1">
        <v>0.55000000000000004</v>
      </c>
      <c r="T11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1">
        <v>0</v>
      </c>
      <c r="V1171" t="s">
        <v>1891</v>
      </c>
    </row>
    <row r="1172" spans="1:22" x14ac:dyDescent="0.25">
      <c r="A1172" t="s">
        <v>1733</v>
      </c>
      <c r="B1172" s="2">
        <v>45518</v>
      </c>
      <c r="C1172" t="str" cm="1">
        <f t="array" ref="C11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2">
        <f>YEAR(AllDataCorrected[[#This Row],[Date]])</f>
        <v>2024</v>
      </c>
      <c r="E1172" s="1">
        <v>0.62777777777777777</v>
      </c>
      <c r="F11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2" t="str">
        <f>_xlfn.XLOOKUP(AllDataCorrected[[#This Row],[Location Name]], Locations[Location Name],Locations[Group As])</f>
        <v>Swiffen Bank</v>
      </c>
      <c r="H1172" t="e" vm="2">
        <f>_xlfn.XLOOKUP(AllDataCorrected[[#This Row],[Site Name]],LocationsKey[Site Name],LocationsKey[District])</f>
        <v>#VALUE!</v>
      </c>
      <c r="I1172" t="e" vm="13">
        <f>_xlfn.XLOOKUP(AllDataCorrected[[#This Row],[Site Name]],LocationsKey[Site Name],LocationsKey[Town])</f>
        <v>#VALUE!</v>
      </c>
      <c r="J1172" t="str">
        <f>_xlfn.XLOOKUP(AllDataCorrected[[#This Row],[Site Name]],LocationsKey[Site Name], LocationsKey[Waterway])</f>
        <v>Avon</v>
      </c>
      <c r="K1172" t="s">
        <v>284</v>
      </c>
      <c r="L1172">
        <f>_xlfn.XLOOKUP(AllDataCorrected[[#This Row],[Site Name]],Tables!$B$12:$B$78, Tables!C$12:C$78)</f>
        <v>52.206446825000015</v>
      </c>
      <c r="M1172">
        <f>_xlfn.XLOOKUP(AllDataCorrected[[#This Row],[Site Name]],Tables!$B$12:$B$78, Tables!D$12:D$78)</f>
        <v>-1.6541684000000003</v>
      </c>
      <c r="N1172" t="s">
        <v>29</v>
      </c>
      <c r="O1172">
        <v>765</v>
      </c>
      <c r="P1172">
        <v>21</v>
      </c>
      <c r="Q1172">
        <v>10</v>
      </c>
      <c r="R117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2">
        <v>0.66</v>
      </c>
      <c r="T11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2">
        <v>0</v>
      </c>
      <c r="V1172" t="s">
        <v>1890</v>
      </c>
    </row>
    <row r="1173" spans="1:22" x14ac:dyDescent="0.25">
      <c r="A1173" t="s">
        <v>1730</v>
      </c>
      <c r="B1173" s="2">
        <v>45519</v>
      </c>
      <c r="C1173" t="str" cm="1">
        <f t="array" ref="C11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3">
        <f>YEAR(AllDataCorrected[[#This Row],[Date]])</f>
        <v>2024</v>
      </c>
      <c r="E1173" s="1">
        <v>0.38541666666666669</v>
      </c>
      <c r="F11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3" t="str">
        <f>_xlfn.XLOOKUP(AllDataCorrected[[#This Row],[Location Name]], Locations[Location Name],Locations[Group As])</f>
        <v>Swilgate</v>
      </c>
      <c r="H1173" t="e" vm="1">
        <f>_xlfn.XLOOKUP(AllDataCorrected[[#This Row],[Site Name]],LocationsKey[Site Name],LocationsKey[District])</f>
        <v>#VALUE!</v>
      </c>
      <c r="I1173" t="e" vm="1">
        <f>_xlfn.XLOOKUP(AllDataCorrected[[#This Row],[Site Name]],LocationsKey[Site Name],LocationsKey[Town])</f>
        <v>#VALUE!</v>
      </c>
      <c r="J1173" t="str">
        <f>_xlfn.XLOOKUP(AllDataCorrected[[#This Row],[Site Name]],LocationsKey[Site Name], LocationsKey[Waterway])</f>
        <v>Swilgate</v>
      </c>
      <c r="K1173" t="s">
        <v>84</v>
      </c>
      <c r="L1173">
        <f>_xlfn.XLOOKUP(AllDataCorrected[[#This Row],[Site Name]],Tables!$B$12:$B$78, Tables!C$12:C$78)</f>
        <v>51.9885442</v>
      </c>
      <c r="M1173">
        <f>_xlfn.XLOOKUP(AllDataCorrected[[#This Row],[Site Name]],Tables!$B$12:$B$78, Tables!D$12:D$78)</f>
        <v>-2.1639010000000001</v>
      </c>
      <c r="N1173" t="s">
        <v>23</v>
      </c>
      <c r="O1173">
        <v>850</v>
      </c>
      <c r="P1173">
        <v>17</v>
      </c>
      <c r="Q1173">
        <v>5</v>
      </c>
      <c r="R11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3">
        <v>0.83</v>
      </c>
      <c r="T11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3">
        <v>0</v>
      </c>
    </row>
    <row r="1174" spans="1:22" x14ac:dyDescent="0.25">
      <c r="A1174" t="s">
        <v>1709</v>
      </c>
      <c r="B1174" s="2">
        <v>45520</v>
      </c>
      <c r="C1174" t="str" cm="1">
        <f t="array" ref="C11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4">
        <f>YEAR(AllDataCorrected[[#This Row],[Date]])</f>
        <v>2024</v>
      </c>
      <c r="E1174" s="1">
        <v>0.5</v>
      </c>
      <c r="F11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4" t="str">
        <f>_xlfn.XLOOKUP(AllDataCorrected[[#This Row],[Location Name]], Locations[Location Name],Locations[Group As])</f>
        <v>Stour Willington</v>
      </c>
      <c r="H1174" t="e" vm="2">
        <f>_xlfn.XLOOKUP(AllDataCorrected[[#This Row],[Site Name]],LocationsKey[Site Name],LocationsKey[District])</f>
        <v>#VALUE!</v>
      </c>
      <c r="I1174" t="str">
        <f>_xlfn.XLOOKUP(AllDataCorrected[[#This Row],[Site Name]],LocationsKey[Site Name],LocationsKey[Town])</f>
        <v>Willington</v>
      </c>
      <c r="J1174" t="str">
        <f>_xlfn.XLOOKUP(AllDataCorrected[[#This Row],[Site Name]],LocationsKey[Site Name], LocationsKey[Waterway])</f>
        <v>Stour</v>
      </c>
      <c r="K1174" t="s">
        <v>517</v>
      </c>
      <c r="L1174">
        <f>_xlfn.XLOOKUP(AllDataCorrected[[#This Row],[Site Name]],Tables!$B$12:$B$78, Tables!C$12:C$78)</f>
        <v>52.053154375000005</v>
      </c>
      <c r="M1174">
        <f>_xlfn.XLOOKUP(AllDataCorrected[[#This Row],[Site Name]],Tables!$B$12:$B$78, Tables!D$12:D$78)</f>
        <v>-1.6191991562500001</v>
      </c>
      <c r="N1174" t="s">
        <v>23</v>
      </c>
      <c r="O1174">
        <v>637</v>
      </c>
      <c r="P1174">
        <v>17.100000000000001</v>
      </c>
      <c r="Q1174">
        <v>2</v>
      </c>
      <c r="R1174" t="str">
        <f>IF(AllDataCorrected[[#This Row],[Nitrate (PPM)]]&gt;2, "4. Very high (&gt;2ppm)", IF(AllDataCorrected[[#This Row],[Nitrate (PPM)]]&gt;1, "3. High (1-2ppm)", IF(AllDataCorrected[[#This Row],[Nitrate (PPM)]]&gt;0.5, "2. Some evidence (0.5-1ppm)", IF(AllDataCorrected[[#This Row],[Nitrate (PPM)]]&gt;=0, "1. No evidence (&lt;0.5ppm)"))))</f>
        <v>3. High (1-2ppm)</v>
      </c>
      <c r="S1174">
        <v>0.67</v>
      </c>
      <c r="T11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4">
        <v>0.5</v>
      </c>
    </row>
    <row r="1175" spans="1:22" x14ac:dyDescent="0.25">
      <c r="A1175" t="s">
        <v>1729</v>
      </c>
      <c r="B1175" s="2">
        <v>45520</v>
      </c>
      <c r="C1175" t="str" cm="1">
        <f t="array" ref="C11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5">
        <f>YEAR(AllDataCorrected[[#This Row],[Date]])</f>
        <v>2024</v>
      </c>
      <c r="E1175" s="1">
        <v>0.67708333333333337</v>
      </c>
      <c r="F11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5" t="str">
        <f>_xlfn.XLOOKUP(AllDataCorrected[[#This Row],[Location Name]], Locations[Location Name],Locations[Group As])</f>
        <v>Abbey Mill</v>
      </c>
      <c r="H1175" t="e" vm="1">
        <f>_xlfn.XLOOKUP(AllDataCorrected[[#This Row],[Site Name]],LocationsKey[Site Name],LocationsKey[District])</f>
        <v>#VALUE!</v>
      </c>
      <c r="I1175" t="e" vm="1">
        <f>_xlfn.XLOOKUP(AllDataCorrected[[#This Row],[Site Name]],LocationsKey[Site Name],LocationsKey[Town])</f>
        <v>#VALUE!</v>
      </c>
      <c r="J1175" t="str">
        <f>_xlfn.XLOOKUP(AllDataCorrected[[#This Row],[Site Name]],LocationsKey[Site Name], LocationsKey[Waterway])</f>
        <v>Avon</v>
      </c>
      <c r="K1175" t="s">
        <v>25</v>
      </c>
      <c r="L1175">
        <f>_xlfn.XLOOKUP(AllDataCorrected[[#This Row],[Site Name]],Tables!$B$12:$B$78, Tables!C$12:C$78)</f>
        <v>51.991389555555564</v>
      </c>
      <c r="M1175">
        <f>_xlfn.XLOOKUP(AllDataCorrected[[#This Row],[Site Name]],Tables!$B$12:$B$78, Tables!D$12:D$78)</f>
        <v>-2.1620794000000005</v>
      </c>
      <c r="N1175" t="s">
        <v>23</v>
      </c>
      <c r="O1175">
        <v>103</v>
      </c>
      <c r="P1175">
        <v>22.3</v>
      </c>
      <c r="Q1175">
        <v>10</v>
      </c>
      <c r="R11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5">
        <v>0.83</v>
      </c>
      <c r="T11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5">
        <v>0</v>
      </c>
    </row>
    <row r="1176" spans="1:22" x14ac:dyDescent="0.25">
      <c r="A1176" t="s">
        <v>1728</v>
      </c>
      <c r="B1176" s="2">
        <v>45520</v>
      </c>
      <c r="C1176" t="str" cm="1">
        <f t="array" ref="C11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6">
        <f>YEAR(AllDataCorrected[[#This Row],[Date]])</f>
        <v>2024</v>
      </c>
      <c r="E1176" s="1">
        <v>0.7</v>
      </c>
      <c r="F11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6" t="str">
        <f>_xlfn.XLOOKUP(AllDataCorrected[[#This Row],[Location Name]], Locations[Location Name],Locations[Group As])</f>
        <v>Black Bear</v>
      </c>
      <c r="H1176" t="e" vm="1">
        <f>_xlfn.XLOOKUP(AllDataCorrected[[#This Row],[Site Name]],LocationsKey[Site Name],LocationsKey[District])</f>
        <v>#VALUE!</v>
      </c>
      <c r="I1176" t="e" vm="1">
        <f>_xlfn.XLOOKUP(AllDataCorrected[[#This Row],[Site Name]],LocationsKey[Site Name],LocationsKey[Town])</f>
        <v>#VALUE!</v>
      </c>
      <c r="J1176" t="str">
        <f>_xlfn.XLOOKUP(AllDataCorrected[[#This Row],[Site Name]],LocationsKey[Site Name], LocationsKey[Waterway])</f>
        <v>Avon</v>
      </c>
      <c r="K1176" t="s">
        <v>1045</v>
      </c>
      <c r="L1176">
        <f>_xlfn.XLOOKUP(AllDataCorrected[[#This Row],[Site Name]],Tables!$B$12:$B$78, Tables!C$12:C$78)</f>
        <v>51.997435214285723</v>
      </c>
      <c r="M1176">
        <f>_xlfn.XLOOKUP(AllDataCorrected[[#This Row],[Site Name]],Tables!$B$12:$B$78, Tables!D$12:D$78)</f>
        <v>-2.1562056785714288</v>
      </c>
      <c r="N1176" t="s">
        <v>23</v>
      </c>
      <c r="O1176">
        <v>988</v>
      </c>
      <c r="P1176">
        <v>22.8</v>
      </c>
      <c r="Q1176">
        <v>10</v>
      </c>
      <c r="R117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6">
        <v>1.26</v>
      </c>
      <c r="T11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6">
        <v>0</v>
      </c>
    </row>
    <row r="1177" spans="1:22" x14ac:dyDescent="0.25">
      <c r="A1177" t="s">
        <v>1727</v>
      </c>
      <c r="B1177" s="2">
        <v>45521</v>
      </c>
      <c r="C1177" t="str" cm="1">
        <f t="array" ref="C11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7">
        <f>YEAR(AllDataCorrected[[#This Row],[Date]])</f>
        <v>2024</v>
      </c>
      <c r="E1177" s="1">
        <v>0.40625</v>
      </c>
      <c r="F11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7" t="str">
        <f>_xlfn.XLOOKUP(AllDataCorrected[[#This Row],[Location Name]], Locations[Location Name],Locations[Group As])</f>
        <v>Twyning Fleet</v>
      </c>
      <c r="H1177" t="e" vm="1">
        <f>_xlfn.XLOOKUP(AllDataCorrected[[#This Row],[Site Name]],LocationsKey[Site Name],LocationsKey[District])</f>
        <v>#VALUE!</v>
      </c>
      <c r="I1177" t="str">
        <f>_xlfn.XLOOKUP(AllDataCorrected[[#This Row],[Site Name]],LocationsKey[Site Name],LocationsKey[Town])</f>
        <v>Twyning Green</v>
      </c>
      <c r="J1177" t="str">
        <f>_xlfn.XLOOKUP(AllDataCorrected[[#This Row],[Site Name]],LocationsKey[Site Name], LocationsKey[Waterway])</f>
        <v>Avon</v>
      </c>
      <c r="K1177" t="s">
        <v>54</v>
      </c>
      <c r="L1177">
        <f>_xlfn.XLOOKUP(AllDataCorrected[[#This Row],[Site Name]],Tables!$B$12:$B$78, Tables!C$12:C$78)</f>
        <v>52.027190153846163</v>
      </c>
      <c r="M1177">
        <f>_xlfn.XLOOKUP(AllDataCorrected[[#This Row],[Site Name]],Tables!$B$12:$B$78, Tables!D$12:D$78)</f>
        <v>-2.1406086923076924</v>
      </c>
      <c r="N1177" t="s">
        <v>29</v>
      </c>
      <c r="O1177">
        <v>9000</v>
      </c>
      <c r="P1177">
        <v>21</v>
      </c>
      <c r="Q1177">
        <v>7</v>
      </c>
      <c r="R117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7">
        <v>1.04</v>
      </c>
      <c r="T11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7">
        <v>0</v>
      </c>
    </row>
    <row r="1178" spans="1:22" x14ac:dyDescent="0.25">
      <c r="A1178" t="s">
        <v>1711</v>
      </c>
      <c r="B1178" s="2">
        <v>45521</v>
      </c>
      <c r="C1178" t="str" cm="1">
        <f t="array" ref="C11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8">
        <f>YEAR(AllDataCorrected[[#This Row],[Date]])</f>
        <v>2024</v>
      </c>
      <c r="E1178" s="1">
        <v>0.42916666666666664</v>
      </c>
      <c r="F11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8" t="str">
        <f>_xlfn.XLOOKUP(AllDataCorrected[[#This Row],[Location Name]], Locations[Location Name],Locations[Group As])</f>
        <v>Avon Smiths Meadow Wyre Piddle</v>
      </c>
      <c r="H1178" t="e" vm="17">
        <f>_xlfn.XLOOKUP(AllDataCorrected[[#This Row],[Site Name]],LocationsKey[Site Name],LocationsKey[District])</f>
        <v>#VALUE!</v>
      </c>
      <c r="I1178" t="e" vm="20">
        <f>_xlfn.XLOOKUP(AllDataCorrected[[#This Row],[Site Name]],LocationsKey[Site Name],LocationsKey[Town])</f>
        <v>#VALUE!</v>
      </c>
      <c r="J1178" t="str">
        <f>_xlfn.XLOOKUP(AllDataCorrected[[#This Row],[Site Name]],LocationsKey[Site Name], LocationsKey[Waterway])</f>
        <v>Avon</v>
      </c>
      <c r="K1178" t="s">
        <v>741</v>
      </c>
      <c r="L1178">
        <f>_xlfn.XLOOKUP(AllDataCorrected[[#This Row],[Site Name]],Tables!$B$12:$B$78, Tables!C$12:C$78)</f>
        <v>52.123045961538452</v>
      </c>
      <c r="M1178">
        <f>_xlfn.XLOOKUP(AllDataCorrected[[#This Row],[Site Name]],Tables!$B$12:$B$78, Tables!D$12:D$78)</f>
        <v>-2.0572161923076919</v>
      </c>
      <c r="N1178" t="s">
        <v>23</v>
      </c>
      <c r="O1178">
        <v>1070</v>
      </c>
      <c r="P1178">
        <v>19.7</v>
      </c>
      <c r="Q1178">
        <v>7</v>
      </c>
      <c r="R117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8">
        <v>0.87</v>
      </c>
      <c r="T11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8">
        <v>0.5</v>
      </c>
      <c r="V1178" t="s">
        <v>1884</v>
      </c>
    </row>
    <row r="1179" spans="1:22" x14ac:dyDescent="0.25">
      <c r="A1179" t="s">
        <v>1710</v>
      </c>
      <c r="B1179" s="2">
        <v>45521</v>
      </c>
      <c r="C1179" t="str" cm="1">
        <f t="array" ref="C11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9">
        <f>YEAR(AllDataCorrected[[#This Row],[Date]])</f>
        <v>2024</v>
      </c>
      <c r="E1179" s="1">
        <v>0.44791666666666669</v>
      </c>
      <c r="F11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9" t="str">
        <f>_xlfn.XLOOKUP(AllDataCorrected[[#This Row],[Location Name]], Locations[Location Name],Locations[Group As])</f>
        <v>Piddle Brook Wyre Piddle Bridge</v>
      </c>
      <c r="H1179" t="e" vm="17">
        <f>_xlfn.XLOOKUP(AllDataCorrected[[#This Row],[Site Name]],LocationsKey[Site Name],LocationsKey[District])</f>
        <v>#VALUE!</v>
      </c>
      <c r="I1179" t="e" vm="20">
        <f>_xlfn.XLOOKUP(AllDataCorrected[[#This Row],[Site Name]],LocationsKey[Site Name],LocationsKey[Town])</f>
        <v>#VALUE!</v>
      </c>
      <c r="J1179" t="str">
        <f>_xlfn.XLOOKUP(AllDataCorrected[[#This Row],[Site Name]],LocationsKey[Site Name], LocationsKey[Waterway])</f>
        <v>Piddle Brook</v>
      </c>
      <c r="K1179" t="s">
        <v>744</v>
      </c>
      <c r="L1179">
        <f>_xlfn.XLOOKUP(AllDataCorrected[[#This Row],[Site Name]],Tables!$B$12:$B$78, Tables!C$12:C$78)</f>
        <v>52.126401720000004</v>
      </c>
      <c r="M1179">
        <f>_xlfn.XLOOKUP(AllDataCorrected[[#This Row],[Site Name]],Tables!$B$12:$B$78, Tables!D$12:D$78)</f>
        <v>-2.0565162000000003</v>
      </c>
      <c r="N1179" t="s">
        <v>23</v>
      </c>
      <c r="O1179">
        <v>1850</v>
      </c>
      <c r="P1179">
        <v>16.8</v>
      </c>
      <c r="Q1179">
        <v>5</v>
      </c>
      <c r="R117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9">
        <v>1.31</v>
      </c>
      <c r="T11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9">
        <v>0.13</v>
      </c>
      <c r="V1179" t="s">
        <v>1883</v>
      </c>
    </row>
    <row r="1180" spans="1:22" x14ac:dyDescent="0.25">
      <c r="A1180" t="s">
        <v>1657</v>
      </c>
      <c r="B1180" s="2">
        <v>45521</v>
      </c>
      <c r="C1180" t="str" cm="1">
        <f t="array" ref="C11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0">
        <f>YEAR(AllDataCorrected[[#This Row],[Date]])</f>
        <v>2024</v>
      </c>
      <c r="E1180" s="1">
        <v>0.4826388888888889</v>
      </c>
      <c r="F11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0" t="str">
        <f>_xlfn.XLOOKUP(AllDataCorrected[[#This Row],[Location Name]], Locations[Location Name],Locations[Group As])</f>
        <v>The Ford, Langley</v>
      </c>
      <c r="H1180" t="e" vm="2">
        <f>_xlfn.XLOOKUP(AllDataCorrected[[#This Row],[Site Name]],LocationsKey[Site Name],LocationsKey[District])</f>
        <v>#VALUE!</v>
      </c>
      <c r="I1180" t="str">
        <f>_xlfn.XLOOKUP(AllDataCorrected[[#This Row],[Site Name]],LocationsKey[Site Name],LocationsKey[Town])</f>
        <v>Langley</v>
      </c>
      <c r="J1180" t="str">
        <f>_xlfn.XLOOKUP(AllDataCorrected[[#This Row],[Site Name]],LocationsKey[Site Name], LocationsKey[Waterway])</f>
        <v>Langley Ford</v>
      </c>
      <c r="K1180" t="s">
        <v>557</v>
      </c>
      <c r="L1180">
        <f>_xlfn.XLOOKUP(AllDataCorrected[[#This Row],[Site Name]],Tables!$B$12:$B$78, Tables!C$12:C$78)</f>
        <v>52.261724821428579</v>
      </c>
      <c r="M1180">
        <f>_xlfn.XLOOKUP(AllDataCorrected[[#This Row],[Site Name]],Tables!$B$12:$B$78, Tables!D$12:D$78)</f>
        <v>-1.719408857142857</v>
      </c>
      <c r="N1180" t="s">
        <v>29</v>
      </c>
      <c r="O1180">
        <v>837</v>
      </c>
      <c r="P1180">
        <v>16</v>
      </c>
      <c r="Q1180">
        <v>8</v>
      </c>
      <c r="R11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0">
        <v>0.86</v>
      </c>
      <c r="T11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0">
        <v>0.13</v>
      </c>
    </row>
    <row r="1181" spans="1:22" x14ac:dyDescent="0.25">
      <c r="A1181" t="s">
        <v>1726</v>
      </c>
      <c r="B1181" s="2">
        <v>45521</v>
      </c>
      <c r="C1181" t="str" cm="1">
        <f t="array" ref="C11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1">
        <f>YEAR(AllDataCorrected[[#This Row],[Date]])</f>
        <v>2024</v>
      </c>
      <c r="E1181" s="1">
        <v>0.51180555555555551</v>
      </c>
      <c r="F11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1" t="str">
        <f>_xlfn.XLOOKUP(AllDataCorrected[[#This Row],[Location Name]], Locations[Location Name],Locations[Group As])</f>
        <v>Preston-on-Stour River Bridge</v>
      </c>
      <c r="H1181" t="e" vm="2">
        <f>_xlfn.XLOOKUP(AllDataCorrected[[#This Row],[Site Name]],LocationsKey[Site Name],LocationsKey[District])</f>
        <v>#VALUE!</v>
      </c>
      <c r="I1181" t="e" vm="9">
        <f>_xlfn.XLOOKUP(AllDataCorrected[[#This Row],[Site Name]],LocationsKey[Site Name],LocationsKey[Town])</f>
        <v>#VALUE!</v>
      </c>
      <c r="J1181" t="str">
        <f>_xlfn.XLOOKUP(AllDataCorrected[[#This Row],[Site Name]],LocationsKey[Site Name], LocationsKey[Waterway])</f>
        <v>Stour</v>
      </c>
      <c r="K1181" t="s">
        <v>163</v>
      </c>
      <c r="L1181">
        <f>_xlfn.XLOOKUP(AllDataCorrected[[#This Row],[Site Name]],Tables!$B$12:$B$78, Tables!C$12:C$78)</f>
        <v>52.146529500000007</v>
      </c>
      <c r="M1181">
        <f>_xlfn.XLOOKUP(AllDataCorrected[[#This Row],[Site Name]],Tables!$B$12:$B$78, Tables!D$12:D$78)</f>
        <v>-1.6996899999999999</v>
      </c>
      <c r="N1181" t="s">
        <v>29</v>
      </c>
      <c r="O1181">
        <v>709</v>
      </c>
      <c r="P1181">
        <v>19.2</v>
      </c>
      <c r="Q1181">
        <v>5</v>
      </c>
      <c r="R11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1">
        <v>0.45</v>
      </c>
      <c r="T11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81">
        <v>1</v>
      </c>
    </row>
    <row r="1182" spans="1:22" x14ac:dyDescent="0.25">
      <c r="A1182" t="s">
        <v>1721</v>
      </c>
      <c r="B1182" s="2">
        <v>45521</v>
      </c>
      <c r="C1182" t="str" cm="1">
        <f t="array" ref="C11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2">
        <f>YEAR(AllDataCorrected[[#This Row],[Date]])</f>
        <v>2024</v>
      </c>
      <c r="E1182" s="1">
        <v>0.52083333333333337</v>
      </c>
      <c r="F11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2" t="str">
        <f>_xlfn.XLOOKUP(AllDataCorrected[[#This Row],[Location Name]], Locations[Location Name],Locations[Group As])</f>
        <v>Carrant Bredon Rd</v>
      </c>
      <c r="H1182" t="e" vm="1">
        <f>_xlfn.XLOOKUP(AllDataCorrected[[#This Row],[Site Name]],LocationsKey[Site Name],LocationsKey[District])</f>
        <v>#VALUE!</v>
      </c>
      <c r="I1182" t="e" vm="1">
        <f>_xlfn.XLOOKUP(AllDataCorrected[[#This Row],[Site Name]],LocationsKey[Site Name],LocationsKey[Town])</f>
        <v>#VALUE!</v>
      </c>
      <c r="J1182" t="str">
        <f>_xlfn.XLOOKUP(AllDataCorrected[[#This Row],[Site Name]],LocationsKey[Site Name], LocationsKey[Waterway])</f>
        <v>Carrant</v>
      </c>
      <c r="K1182" t="s">
        <v>600</v>
      </c>
      <c r="L1182">
        <f>_xlfn.XLOOKUP(AllDataCorrected[[#This Row],[Site Name]],Tables!$B$12:$B$78, Tables!C$12:C$78)</f>
        <v>51.996416567567572</v>
      </c>
      <c r="M1182">
        <f>_xlfn.XLOOKUP(AllDataCorrected[[#This Row],[Site Name]],Tables!$B$12:$B$78, Tables!D$12:D$78)</f>
        <v>-2.1556626756756749</v>
      </c>
      <c r="N1182" t="s">
        <v>23</v>
      </c>
      <c r="O1182">
        <v>726</v>
      </c>
      <c r="P1182">
        <v>17.100000000000001</v>
      </c>
      <c r="Q1182">
        <v>6</v>
      </c>
      <c r="R11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2">
        <v>0.82</v>
      </c>
      <c r="T11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2">
        <v>0</v>
      </c>
    </row>
    <row r="1183" spans="1:22" x14ac:dyDescent="0.25">
      <c r="A1183" t="s">
        <v>1725</v>
      </c>
      <c r="B1183" s="2">
        <v>45521</v>
      </c>
      <c r="C1183" t="str" cm="1">
        <f t="array" ref="C11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3">
        <f>YEAR(AllDataCorrected[[#This Row],[Date]])</f>
        <v>2024</v>
      </c>
      <c r="E1183" s="1">
        <v>0.68055555555555558</v>
      </c>
      <c r="F11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3" t="str">
        <f>_xlfn.XLOOKUP(AllDataCorrected[[#This Row],[Location Name]], Locations[Location Name],Locations[Group As])</f>
        <v>Fell Mill Footbridge</v>
      </c>
      <c r="H1183" t="e" vm="2">
        <f>_xlfn.XLOOKUP(AllDataCorrected[[#This Row],[Site Name]],LocationsKey[Site Name],LocationsKey[District])</f>
        <v>#VALUE!</v>
      </c>
      <c r="I1183" t="e" vm="10">
        <f>_xlfn.XLOOKUP(AllDataCorrected[[#This Row],[Site Name]],LocationsKey[Site Name],LocationsKey[Town])</f>
        <v>#VALUE!</v>
      </c>
      <c r="J1183" t="str">
        <f>_xlfn.XLOOKUP(AllDataCorrected[[#This Row],[Site Name]],LocationsKey[Site Name], LocationsKey[Waterway])</f>
        <v>Stour</v>
      </c>
      <c r="K1183" t="s">
        <v>818</v>
      </c>
      <c r="L1183">
        <f>_xlfn.XLOOKUP(AllDataCorrected[[#This Row],[Site Name]],Tables!$B$12:$B$78, Tables!C$12:C$78)</f>
        <v>52.067966827586183</v>
      </c>
      <c r="M1183">
        <f>_xlfn.XLOOKUP(AllDataCorrected[[#This Row],[Site Name]],Tables!$B$12:$B$78, Tables!D$12:D$78)</f>
        <v>-1.6118101379310343</v>
      </c>
      <c r="N1183" t="s">
        <v>29</v>
      </c>
      <c r="O1183">
        <v>678</v>
      </c>
      <c r="P1183">
        <v>17.2</v>
      </c>
      <c r="Q1183">
        <v>5</v>
      </c>
      <c r="R118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3">
        <v>0.62</v>
      </c>
      <c r="T11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3">
        <v>0.6</v>
      </c>
    </row>
    <row r="1184" spans="1:22" x14ac:dyDescent="0.25">
      <c r="A1184" t="s">
        <v>1724</v>
      </c>
      <c r="B1184" s="2">
        <v>45522</v>
      </c>
      <c r="C1184" t="str" cm="1">
        <f t="array" ref="C11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4">
        <f>YEAR(AllDataCorrected[[#This Row],[Date]])</f>
        <v>2024</v>
      </c>
      <c r="E1184" s="1">
        <v>0.34861111111111109</v>
      </c>
      <c r="F11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4" t="str">
        <f>_xlfn.XLOOKUP(AllDataCorrected[[#This Row],[Location Name]], Locations[Location Name],Locations[Group As])</f>
        <v>Lower Lode</v>
      </c>
      <c r="H1184" t="e" vm="1">
        <f>_xlfn.XLOOKUP(AllDataCorrected[[#This Row],[Site Name]],LocationsKey[Site Name],LocationsKey[District])</f>
        <v>#VALUE!</v>
      </c>
      <c r="I1184" t="e" vm="1">
        <f>_xlfn.XLOOKUP(AllDataCorrected[[#This Row],[Site Name]],LocationsKey[Site Name],LocationsKey[Town])</f>
        <v>#VALUE!</v>
      </c>
      <c r="J1184" t="str">
        <f>_xlfn.XLOOKUP(AllDataCorrected[[#This Row],[Site Name]],LocationsKey[Site Name], LocationsKey[Waterway])</f>
        <v>Avon</v>
      </c>
      <c r="K1184" t="s">
        <v>592</v>
      </c>
      <c r="L1184">
        <f>_xlfn.XLOOKUP(AllDataCorrected[[#This Row],[Site Name]],Tables!$B$12:$B$78, Tables!C$12:C$78)</f>
        <v>51.984954782608689</v>
      </c>
      <c r="M1184">
        <f>_xlfn.XLOOKUP(AllDataCorrected[[#This Row],[Site Name]],Tables!$B$12:$B$78, Tables!D$12:D$78)</f>
        <v>-2.1744283478260868</v>
      </c>
      <c r="N1184" t="s">
        <v>29</v>
      </c>
      <c r="O1184">
        <v>7100</v>
      </c>
      <c r="P1184">
        <v>19.3</v>
      </c>
      <c r="Q1184">
        <v>10</v>
      </c>
      <c r="R11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4">
        <v>0.71</v>
      </c>
      <c r="T11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4">
        <v>0</v>
      </c>
    </row>
    <row r="1185" spans="1:22" x14ac:dyDescent="0.25">
      <c r="A1185" t="s">
        <v>1686</v>
      </c>
      <c r="B1185" s="2">
        <v>45522</v>
      </c>
      <c r="C1185" t="str" cm="1">
        <f t="array" ref="C11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5">
        <f>YEAR(AllDataCorrected[[#This Row],[Date]])</f>
        <v>2024</v>
      </c>
      <c r="E1185" s="1">
        <v>0.36458333333333331</v>
      </c>
      <c r="F11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5" t="str">
        <f>_xlfn.XLOOKUP(AllDataCorrected[[#This Row],[Location Name]], Locations[Location Name],Locations[Group As])</f>
        <v>Sherbourne Brook 1</v>
      </c>
      <c r="H1185" t="e" vm="2">
        <f>_xlfn.XLOOKUP(AllDataCorrected[[#This Row],[Site Name]],LocationsKey[Site Name],LocationsKey[District])</f>
        <v>#VALUE!</v>
      </c>
      <c r="I1185" t="e" vm="16">
        <f>_xlfn.XLOOKUP(AllDataCorrected[[#This Row],[Site Name]],LocationsKey[Site Name],LocationsKey[Town])</f>
        <v>#VALUE!</v>
      </c>
      <c r="J1185" t="str">
        <f>_xlfn.XLOOKUP(AllDataCorrected[[#This Row],[Site Name]],LocationsKey[Site Name], LocationsKey[Waterway])</f>
        <v>Sherbourne Brook</v>
      </c>
      <c r="K1185" t="s">
        <v>570</v>
      </c>
      <c r="L1185">
        <f>_xlfn.XLOOKUP(AllDataCorrected[[#This Row],[Site Name]],Tables!$B$12:$B$78, Tables!C$12:C$78)</f>
        <v>52.252500000000033</v>
      </c>
      <c r="M1185">
        <f>_xlfn.XLOOKUP(AllDataCorrected[[#This Row],[Site Name]],Tables!$B$12:$B$78, Tables!D$12:D$78)</f>
        <v>-1.6685000000000012</v>
      </c>
      <c r="N1185" t="s">
        <v>23</v>
      </c>
      <c r="O1185">
        <v>1090</v>
      </c>
      <c r="P1185">
        <v>16</v>
      </c>
      <c r="Q1185">
        <v>10</v>
      </c>
      <c r="R11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5">
        <v>0.17</v>
      </c>
      <c r="T11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85">
        <v>0.1</v>
      </c>
    </row>
    <row r="1186" spans="1:22" x14ac:dyDescent="0.25">
      <c r="A1186" t="s">
        <v>1685</v>
      </c>
      <c r="B1186" s="2">
        <v>45522</v>
      </c>
      <c r="C1186" t="str" cm="1">
        <f t="array" ref="C11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6">
        <f>YEAR(AllDataCorrected[[#This Row],[Date]])</f>
        <v>2024</v>
      </c>
      <c r="E1186" s="1">
        <v>0.375</v>
      </c>
      <c r="F11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6" t="str">
        <f>_xlfn.XLOOKUP(AllDataCorrected[[#This Row],[Location Name]], Locations[Location Name],Locations[Group As])</f>
        <v>Bell Brook 1</v>
      </c>
      <c r="H1186" t="e" vm="2">
        <f>_xlfn.XLOOKUP(AllDataCorrected[[#This Row],[Site Name]],LocationsKey[Site Name],LocationsKey[District])</f>
        <v>#VALUE!</v>
      </c>
      <c r="I1186" t="e" vm="15">
        <f>_xlfn.XLOOKUP(AllDataCorrected[[#This Row],[Site Name]],LocationsKey[Site Name],LocationsKey[Town])</f>
        <v>#VALUE!</v>
      </c>
      <c r="J1186" t="str">
        <f>_xlfn.XLOOKUP(AllDataCorrected[[#This Row],[Site Name]],LocationsKey[Site Name], LocationsKey[Waterway])</f>
        <v>Bell Brook</v>
      </c>
      <c r="K1186" t="s">
        <v>534</v>
      </c>
      <c r="L1186">
        <f>_xlfn.XLOOKUP(AllDataCorrected[[#This Row],[Site Name]],Tables!$B$12:$B$78, Tables!C$12:C$78)</f>
        <v>52.24489999999998</v>
      </c>
      <c r="M1186">
        <f>_xlfn.XLOOKUP(AllDataCorrected[[#This Row],[Site Name]],Tables!$B$12:$B$78, Tables!D$12:D$78)</f>
        <v>-1.6617000000000013</v>
      </c>
      <c r="N1186" t="s">
        <v>23</v>
      </c>
      <c r="O1186">
        <v>873</v>
      </c>
      <c r="P1186">
        <v>15.8</v>
      </c>
      <c r="Q1186">
        <v>15</v>
      </c>
      <c r="R11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6">
        <v>0.73</v>
      </c>
      <c r="T11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6">
        <v>0.1</v>
      </c>
    </row>
    <row r="1187" spans="1:22" x14ac:dyDescent="0.25">
      <c r="A1187" t="s">
        <v>1662</v>
      </c>
      <c r="B1187" s="2">
        <v>45522</v>
      </c>
      <c r="C1187" t="str" cm="1">
        <f t="array" ref="C11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7">
        <f>YEAR(AllDataCorrected[[#This Row],[Date]])</f>
        <v>2024</v>
      </c>
      <c r="E1187" s="1">
        <v>0.41666666666666669</v>
      </c>
      <c r="F11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7" t="str">
        <f>_xlfn.XLOOKUP(AllDataCorrected[[#This Row],[Location Name]], Locations[Location Name],Locations[Group As])</f>
        <v>Site 1  :  Middle Street</v>
      </c>
      <c r="H1187" t="e" vm="2">
        <f>_xlfn.XLOOKUP(AllDataCorrected[[#This Row],[Site Name]],LocationsKey[Site Name],LocationsKey[District])</f>
        <v>#VALUE!</v>
      </c>
      <c r="I1187" t="e" vm="11">
        <f>_xlfn.XLOOKUP(AllDataCorrected[[#This Row],[Site Name]],LocationsKey[Site Name],LocationsKey[Town])</f>
        <v>#VALUE!</v>
      </c>
      <c r="J1187" t="str">
        <f>_xlfn.XLOOKUP(AllDataCorrected[[#This Row],[Site Name]],LocationsKey[Site Name], LocationsKey[Waterway])</f>
        <v>Fosseway Brook</v>
      </c>
      <c r="K1187" t="s">
        <v>1850</v>
      </c>
      <c r="L1187">
        <f>_xlfn.XLOOKUP(AllDataCorrected[[#This Row],[Site Name]],Tables!$B$12:$B$78, Tables!C$12:C$78)</f>
        <v>52.090077380952394</v>
      </c>
      <c r="M1187">
        <f>_xlfn.XLOOKUP(AllDataCorrected[[#This Row],[Site Name]],Tables!$B$12:$B$78, Tables!D$12:D$78)</f>
        <v>-1.6926051666666673</v>
      </c>
      <c r="N1187" t="s">
        <v>66</v>
      </c>
      <c r="O1187">
        <v>655</v>
      </c>
      <c r="P1187">
        <v>19</v>
      </c>
      <c r="Q1187">
        <v>2</v>
      </c>
      <c r="R1187" t="str">
        <f>IF(AllDataCorrected[[#This Row],[Nitrate (PPM)]]&gt;2, "4. Very high (&gt;2ppm)", IF(AllDataCorrected[[#This Row],[Nitrate (PPM)]]&gt;1, "3. High (1-2ppm)", IF(AllDataCorrected[[#This Row],[Nitrate (PPM)]]&gt;0.5, "2. Some evidence (0.5-1ppm)", IF(AllDataCorrected[[#This Row],[Nitrate (PPM)]]&gt;=0, "1. No evidence (&lt;0.5ppm)"))))</f>
        <v>3. High (1-2ppm)</v>
      </c>
      <c r="S1187">
        <v>0.52</v>
      </c>
      <c r="T11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7">
        <v>0</v>
      </c>
      <c r="V1187" t="s">
        <v>1870</v>
      </c>
    </row>
    <row r="1188" spans="1:22" x14ac:dyDescent="0.25">
      <c r="A1188" t="s">
        <v>1723</v>
      </c>
      <c r="B1188" s="2">
        <v>45522</v>
      </c>
      <c r="C1188" t="str" cm="1">
        <f t="array" ref="C11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8">
        <f>YEAR(AllDataCorrected[[#This Row],[Date]])</f>
        <v>2024</v>
      </c>
      <c r="E1188" s="1">
        <v>0.43194444444444446</v>
      </c>
      <c r="F11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8" t="str">
        <f>_xlfn.XLOOKUP(AllDataCorrected[[#This Row],[Location Name]], Locations[Location Name],Locations[Group As])</f>
        <v>Stour Stretton-on-Fosse Village</v>
      </c>
      <c r="H1188" t="e" vm="2">
        <f>_xlfn.XLOOKUP(AllDataCorrected[[#This Row],[Site Name]],LocationsKey[Site Name],LocationsKey[District])</f>
        <v>#VALUE!</v>
      </c>
      <c r="I1188" t="e" vm="14">
        <f>_xlfn.XLOOKUP(AllDataCorrected[[#This Row],[Site Name]],LocationsKey[Site Name],LocationsKey[Town])</f>
        <v>#VALUE!</v>
      </c>
      <c r="J1188" t="str">
        <f>_xlfn.XLOOKUP(AllDataCorrected[[#This Row],[Site Name]],LocationsKey[Site Name], LocationsKey[Waterway])</f>
        <v>Stour</v>
      </c>
      <c r="K1188" t="s">
        <v>544</v>
      </c>
      <c r="L1188">
        <f>_xlfn.XLOOKUP(AllDataCorrected[[#This Row],[Site Name]],Tables!$B$12:$B$78, Tables!C$12:C$78)</f>
        <v>52.046517558823524</v>
      </c>
      <c r="M1188">
        <f>_xlfn.XLOOKUP(AllDataCorrected[[#This Row],[Site Name]],Tables!$B$12:$B$78, Tables!D$12:D$78)</f>
        <v>-1.6734143529411767</v>
      </c>
      <c r="N1188" t="s">
        <v>66</v>
      </c>
      <c r="O1188">
        <v>776</v>
      </c>
      <c r="P1188">
        <v>15.7</v>
      </c>
      <c r="Q1188">
        <v>0</v>
      </c>
      <c r="R118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88">
        <v>2.5</v>
      </c>
      <c r="T11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8">
        <v>0.15</v>
      </c>
      <c r="V1188" t="s">
        <v>1177</v>
      </c>
    </row>
    <row r="1189" spans="1:22" x14ac:dyDescent="0.25">
      <c r="A1189" t="s">
        <v>1661</v>
      </c>
      <c r="B1189" s="2">
        <v>45522</v>
      </c>
      <c r="C1189" t="str" cm="1">
        <f t="array" ref="C11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9">
        <f>YEAR(AllDataCorrected[[#This Row],[Date]])</f>
        <v>2024</v>
      </c>
      <c r="E1189" s="1">
        <v>0.4375</v>
      </c>
      <c r="F11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9" t="str">
        <f>_xlfn.XLOOKUP(AllDataCorrected[[#This Row],[Location Name]], Locations[Location Name],Locations[Group As])</f>
        <v>Site 3  :  Severn Trent Water processing plant outflow</v>
      </c>
      <c r="H1189" t="e" vm="2">
        <f>_xlfn.XLOOKUP(AllDataCorrected[[#This Row],[Site Name]],LocationsKey[Site Name],LocationsKey[District])</f>
        <v>#VALUE!</v>
      </c>
      <c r="I1189" t="e" vm="11">
        <f>_xlfn.XLOOKUP(AllDataCorrected[[#This Row],[Site Name]],LocationsKey[Site Name],LocationsKey[Town])</f>
        <v>#VALUE!</v>
      </c>
      <c r="J1189" t="str">
        <f>_xlfn.XLOOKUP(AllDataCorrected[[#This Row],[Site Name]],LocationsKey[Site Name], LocationsKey[Waterway])</f>
        <v>Fosseway Brook</v>
      </c>
      <c r="K1189" t="s">
        <v>1849</v>
      </c>
      <c r="L1189">
        <f>_xlfn.XLOOKUP(AllDataCorrected[[#This Row],[Site Name]],Tables!$B$12:$B$78, Tables!C$12:C$78)</f>
        <v>52.094341024390218</v>
      </c>
      <c r="M1189">
        <f>_xlfn.XLOOKUP(AllDataCorrected[[#This Row],[Site Name]],Tables!$B$12:$B$78, Tables!D$12:D$78)</f>
        <v>-1.6731015853658531</v>
      </c>
      <c r="N1189" t="s">
        <v>29</v>
      </c>
      <c r="O1189">
        <v>973</v>
      </c>
      <c r="P1189">
        <v>20</v>
      </c>
      <c r="Q1189">
        <v>20</v>
      </c>
      <c r="R11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9">
        <v>2.5</v>
      </c>
      <c r="T11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9">
        <v>0.25</v>
      </c>
      <c r="V1189" t="s">
        <v>1869</v>
      </c>
    </row>
    <row r="1190" spans="1:22" x14ac:dyDescent="0.25">
      <c r="A1190" t="s">
        <v>1722</v>
      </c>
      <c r="B1190" s="2">
        <v>45522</v>
      </c>
      <c r="C1190" t="str" cm="1">
        <f t="array" ref="C11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0">
        <f>YEAR(AllDataCorrected[[#This Row],[Date]])</f>
        <v>2024</v>
      </c>
      <c r="E1190" s="1">
        <v>0.45555555555555555</v>
      </c>
      <c r="F11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0" t="str">
        <f>_xlfn.XLOOKUP(AllDataCorrected[[#This Row],[Location Name]], Locations[Location Name],Locations[Group As])</f>
        <v>Stour Stretton-on-Fosse Sewage Works</v>
      </c>
      <c r="H1190" t="e" vm="2">
        <f>_xlfn.XLOOKUP(AllDataCorrected[[#This Row],[Site Name]],LocationsKey[Site Name],LocationsKey[District])</f>
        <v>#VALUE!</v>
      </c>
      <c r="I1190" t="e" vm="14">
        <f>_xlfn.XLOOKUP(AllDataCorrected[[#This Row],[Site Name]],LocationsKey[Site Name],LocationsKey[Town])</f>
        <v>#VALUE!</v>
      </c>
      <c r="J1190" t="str">
        <f>_xlfn.XLOOKUP(AllDataCorrected[[#This Row],[Site Name]],LocationsKey[Site Name], LocationsKey[Waterway])</f>
        <v>Stour</v>
      </c>
      <c r="K1190" t="s">
        <v>335</v>
      </c>
      <c r="L1190">
        <f>_xlfn.XLOOKUP(AllDataCorrected[[#This Row],[Site Name]],Tables!$B$12:$B$78, Tables!C$12:C$78)</f>
        <v>52.045653647058806</v>
      </c>
      <c r="M1190">
        <f>_xlfn.XLOOKUP(AllDataCorrected[[#This Row],[Site Name]],Tables!$B$12:$B$78, Tables!D$12:D$78)</f>
        <v>-1.6719221470588235</v>
      </c>
      <c r="N1190" t="s">
        <v>29</v>
      </c>
      <c r="O1190">
        <v>925</v>
      </c>
      <c r="P1190">
        <v>16.5</v>
      </c>
      <c r="Q1190">
        <v>3</v>
      </c>
      <c r="R11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0">
        <v>2.5</v>
      </c>
      <c r="T11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0">
        <v>0.2</v>
      </c>
      <c r="V1190" t="s">
        <v>1887</v>
      </c>
    </row>
    <row r="1191" spans="1:22" x14ac:dyDescent="0.25">
      <c r="A1191" t="s">
        <v>1716</v>
      </c>
      <c r="B1191" s="2">
        <v>45523</v>
      </c>
      <c r="C1191" t="str" cm="1">
        <f t="array" ref="C11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1">
        <f>YEAR(AllDataCorrected[[#This Row],[Date]])</f>
        <v>2024</v>
      </c>
      <c r="E1191" s="1">
        <v>0.33333333333333331</v>
      </c>
      <c r="F11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1" t="str">
        <f>_xlfn.XLOOKUP(AllDataCorrected[[#This Row],[Location Name]], Locations[Location Name],Locations[Group As])</f>
        <v>Carrant M5 Bridge</v>
      </c>
      <c r="H1191" t="e" vm="1">
        <f>_xlfn.XLOOKUP(AllDataCorrected[[#This Row],[Site Name]],LocationsKey[Site Name],LocationsKey[District])</f>
        <v>#VALUE!</v>
      </c>
      <c r="I1191" t="e" vm="1">
        <f>_xlfn.XLOOKUP(AllDataCorrected[[#This Row],[Site Name]],LocationsKey[Site Name],LocationsKey[Town])</f>
        <v>#VALUE!</v>
      </c>
      <c r="J1191" t="str">
        <f>_xlfn.XLOOKUP(AllDataCorrected[[#This Row],[Site Name]],LocationsKey[Site Name], LocationsKey[Waterway])</f>
        <v>Carrant</v>
      </c>
      <c r="K1191" t="s">
        <v>960</v>
      </c>
      <c r="L1191">
        <f>_xlfn.XLOOKUP(AllDataCorrected[[#This Row],[Site Name]],Tables!$B$12:$B$78, Tables!C$12:C$78)</f>
        <v>52.011600000000001</v>
      </c>
      <c r="M1191">
        <f>_xlfn.XLOOKUP(AllDataCorrected[[#This Row],[Site Name]],Tables!$B$12:$B$78, Tables!D$12:D$78)</f>
        <v>-2.1206</v>
      </c>
      <c r="N1191" t="s">
        <v>23</v>
      </c>
      <c r="O1191">
        <v>807</v>
      </c>
      <c r="P1191">
        <v>17.399999999999999</v>
      </c>
      <c r="Q1191">
        <v>6</v>
      </c>
      <c r="R119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1">
        <v>1.48</v>
      </c>
      <c r="T11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1">
        <v>0</v>
      </c>
    </row>
    <row r="1192" spans="1:22" x14ac:dyDescent="0.25">
      <c r="A1192" t="s">
        <v>1497</v>
      </c>
      <c r="B1192" s="2">
        <v>45474</v>
      </c>
      <c r="C1192" t="str" cm="1">
        <f t="array" ref="C11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2">
        <f>YEAR(AllDataCorrected[[#This Row],[Date]])</f>
        <v>2024</v>
      </c>
      <c r="E1192" s="1">
        <v>0.35416666666666669</v>
      </c>
      <c r="F11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2" t="str">
        <f>_xlfn.XLOOKUP(AllDataCorrected[[#This Row],[Location Name]], Locations[Location Name],Locations[Group As])</f>
        <v>Chipping Campden Sewage Works</v>
      </c>
      <c r="H1192" t="e" vm="23">
        <f>_xlfn.XLOOKUP(AllDataCorrected[[#This Row],[Site Name]],LocationsKey[Site Name],LocationsKey[District])</f>
        <v>#VALUE!</v>
      </c>
      <c r="I1192" t="e" vm="24">
        <f>_xlfn.XLOOKUP(AllDataCorrected[[#This Row],[Site Name]],LocationsKey[Site Name],LocationsKey[Town])</f>
        <v>#VALUE!</v>
      </c>
      <c r="J1192" t="str">
        <f>_xlfn.XLOOKUP(AllDataCorrected[[#This Row],[Site Name]],LocationsKey[Site Name], LocationsKey[Waterway])</f>
        <v>Cam Brook</v>
      </c>
      <c r="K1192" t="s">
        <v>1474</v>
      </c>
      <c r="L1192">
        <f>_xlfn.XLOOKUP(AllDataCorrected[[#This Row],[Site Name]],Tables!$B$12:$B$78, Tables!C$12:C$78)</f>
        <v>52.052216999999999</v>
      </c>
      <c r="M1192">
        <f>_xlfn.XLOOKUP(AllDataCorrected[[#This Row],[Site Name]],Tables!$B$12:$B$78, Tables!D$12:D$78)</f>
        <v>-1.7616225000000001</v>
      </c>
      <c r="N1192" t="s">
        <v>29</v>
      </c>
      <c r="O1192">
        <v>690</v>
      </c>
      <c r="P1192">
        <v>15.3</v>
      </c>
      <c r="Q1192">
        <v>2</v>
      </c>
      <c r="R1192" t="str">
        <f>IF(AllDataCorrected[[#This Row],[Nitrate (PPM)]]&gt;2, "4. Very high (&gt;2ppm)", IF(AllDataCorrected[[#This Row],[Nitrate (PPM)]]&gt;1, "3. High (1-2ppm)", IF(AllDataCorrected[[#This Row],[Nitrate (PPM)]]&gt;0.5, "2. Some evidence (0.5-1ppm)", IF(AllDataCorrected[[#This Row],[Nitrate (PPM)]]&gt;=0, "1. No evidence (&lt;0.5ppm)"))))</f>
        <v>3. High (1-2ppm)</v>
      </c>
      <c r="S1192">
        <v>0.4</v>
      </c>
      <c r="T11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2">
        <v>0.13</v>
      </c>
      <c r="V1192" t="s">
        <v>1498</v>
      </c>
    </row>
    <row r="1193" spans="1:22" x14ac:dyDescent="0.25">
      <c r="A1193" t="s">
        <v>1496</v>
      </c>
      <c r="B1193" s="2">
        <v>45481</v>
      </c>
      <c r="C1193" t="str" cm="1">
        <f t="array" ref="C11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3">
        <f>YEAR(AllDataCorrected[[#This Row],[Date]])</f>
        <v>2024</v>
      </c>
      <c r="E1193" s="1">
        <v>0.5131944444444444</v>
      </c>
      <c r="F11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3" t="str">
        <f>_xlfn.XLOOKUP(AllDataCorrected[[#This Row],[Location Name]], Locations[Location Name],Locations[Group As])</f>
        <v>Chipping Campden Sewage Works</v>
      </c>
      <c r="H1193" t="e" vm="23">
        <f>_xlfn.XLOOKUP(AllDataCorrected[[#This Row],[Site Name]],LocationsKey[Site Name],LocationsKey[District])</f>
        <v>#VALUE!</v>
      </c>
      <c r="I1193" t="e" vm="24">
        <f>_xlfn.XLOOKUP(AllDataCorrected[[#This Row],[Site Name]],LocationsKey[Site Name],LocationsKey[Town])</f>
        <v>#VALUE!</v>
      </c>
      <c r="J1193" t="str">
        <f>_xlfn.XLOOKUP(AllDataCorrected[[#This Row],[Site Name]],LocationsKey[Site Name], LocationsKey[Waterway])</f>
        <v>Cam Brook</v>
      </c>
      <c r="K1193" t="s">
        <v>1474</v>
      </c>
      <c r="L1193">
        <f>_xlfn.XLOOKUP(AllDataCorrected[[#This Row],[Site Name]],Tables!$B$12:$B$78, Tables!C$12:C$78)</f>
        <v>52.052216999999999</v>
      </c>
      <c r="M1193">
        <f>_xlfn.XLOOKUP(AllDataCorrected[[#This Row],[Site Name]],Tables!$B$12:$B$78, Tables!D$12:D$78)</f>
        <v>-1.7616225000000001</v>
      </c>
      <c r="N1193" t="s">
        <v>29</v>
      </c>
      <c r="O1193">
        <v>643</v>
      </c>
      <c r="P1193">
        <v>15.6</v>
      </c>
      <c r="Q1193">
        <v>2</v>
      </c>
      <c r="R1193" t="str">
        <f>IF(AllDataCorrected[[#This Row],[Nitrate (PPM)]]&gt;2, "4. Very high (&gt;2ppm)", IF(AllDataCorrected[[#This Row],[Nitrate (PPM)]]&gt;1, "3. High (1-2ppm)", IF(AllDataCorrected[[#This Row],[Nitrate (PPM)]]&gt;0.5, "2. Some evidence (0.5-1ppm)", IF(AllDataCorrected[[#This Row],[Nitrate (PPM)]]&gt;=0, "1. No evidence (&lt;0.5ppm)"))))</f>
        <v>3. High (1-2ppm)</v>
      </c>
      <c r="S1193">
        <v>0.53</v>
      </c>
      <c r="T11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3">
        <v>0.14000000000000001</v>
      </c>
    </row>
    <row r="1194" spans="1:22" x14ac:dyDescent="0.25">
      <c r="A1194" t="s">
        <v>1495</v>
      </c>
      <c r="B1194" s="2">
        <v>45488</v>
      </c>
      <c r="C1194" t="str" cm="1">
        <f t="array" ref="C11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4">
        <f>YEAR(AllDataCorrected[[#This Row],[Date]])</f>
        <v>2024</v>
      </c>
      <c r="E1194" s="1">
        <v>0.54513888888888884</v>
      </c>
      <c r="F11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4" t="str">
        <f>_xlfn.XLOOKUP(AllDataCorrected[[#This Row],[Location Name]], Locations[Location Name],Locations[Group As])</f>
        <v>Chipping Campden Sewage Works</v>
      </c>
      <c r="H1194" t="e" vm="23">
        <f>_xlfn.XLOOKUP(AllDataCorrected[[#This Row],[Site Name]],LocationsKey[Site Name],LocationsKey[District])</f>
        <v>#VALUE!</v>
      </c>
      <c r="I1194" t="e" vm="24">
        <f>_xlfn.XLOOKUP(AllDataCorrected[[#This Row],[Site Name]],LocationsKey[Site Name],LocationsKey[Town])</f>
        <v>#VALUE!</v>
      </c>
      <c r="J1194" t="str">
        <f>_xlfn.XLOOKUP(AllDataCorrected[[#This Row],[Site Name]],LocationsKey[Site Name], LocationsKey[Waterway])</f>
        <v>Cam Brook</v>
      </c>
      <c r="K1194" t="s">
        <v>1474</v>
      </c>
      <c r="L1194">
        <f>_xlfn.XLOOKUP(AllDataCorrected[[#This Row],[Site Name]],Tables!$B$12:$B$78, Tables!C$12:C$78)</f>
        <v>52.052216999999999</v>
      </c>
      <c r="M1194">
        <f>_xlfn.XLOOKUP(AllDataCorrected[[#This Row],[Site Name]],Tables!$B$12:$B$78, Tables!D$12:D$78)</f>
        <v>-1.7616225000000001</v>
      </c>
      <c r="N1194" t="s">
        <v>29</v>
      </c>
      <c r="O1194">
        <v>689</v>
      </c>
      <c r="P1194">
        <v>15.7</v>
      </c>
      <c r="Q1194">
        <v>5</v>
      </c>
      <c r="R11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4">
        <v>0.33</v>
      </c>
      <c r="T11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4">
        <v>0.17</v>
      </c>
    </row>
    <row r="1195" spans="1:22" x14ac:dyDescent="0.25">
      <c r="A1195" t="s">
        <v>1718</v>
      </c>
      <c r="B1195" s="2">
        <v>45523</v>
      </c>
      <c r="C1195" t="str" cm="1">
        <f t="array" ref="C11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5">
        <f>YEAR(AllDataCorrected[[#This Row],[Date]])</f>
        <v>2024</v>
      </c>
      <c r="E1195" s="1">
        <v>0.75138888888888888</v>
      </c>
      <c r="F119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95" t="str">
        <f>_xlfn.XLOOKUP(AllDataCorrected[[#This Row],[Location Name]], Locations[Location Name],Locations[Group As])</f>
        <v>Carrant Back Lane Beckford</v>
      </c>
      <c r="H1195" t="e" vm="1">
        <f>_xlfn.XLOOKUP(AllDataCorrected[[#This Row],[Site Name]],LocationsKey[Site Name],LocationsKey[District])</f>
        <v>#VALUE!</v>
      </c>
      <c r="I1195" t="str">
        <f>_xlfn.XLOOKUP(AllDataCorrected[[#This Row],[Site Name]],LocationsKey[Site Name],LocationsKey[Town])</f>
        <v>Beckford</v>
      </c>
      <c r="J1195" t="str">
        <f>_xlfn.XLOOKUP(AllDataCorrected[[#This Row],[Site Name]],LocationsKey[Site Name], LocationsKey[Waterway])</f>
        <v>Carrant</v>
      </c>
      <c r="K1195" t="s">
        <v>1490</v>
      </c>
      <c r="L1195">
        <f>_xlfn.XLOOKUP(AllDataCorrected[[#This Row],[Site Name]],Tables!$B$12:$B$78, Tables!C$12:C$78)</f>
        <v>52.017659444444448</v>
      </c>
      <c r="M1195">
        <f>_xlfn.XLOOKUP(AllDataCorrected[[#This Row],[Site Name]],Tables!$B$12:$B$78, Tables!D$12:D$78)</f>
        <v>-2.0390003333333335</v>
      </c>
      <c r="N1195" t="s">
        <v>66</v>
      </c>
      <c r="O1195">
        <v>781</v>
      </c>
      <c r="P1195">
        <v>16.7</v>
      </c>
      <c r="Q1195">
        <v>15</v>
      </c>
      <c r="R11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5">
        <v>0.08</v>
      </c>
      <c r="T11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95">
        <v>0.2</v>
      </c>
      <c r="V1195" t="s">
        <v>1886</v>
      </c>
    </row>
    <row r="1196" spans="1:22" x14ac:dyDescent="0.25">
      <c r="A1196" t="s">
        <v>1697</v>
      </c>
      <c r="B1196" s="2">
        <v>45524</v>
      </c>
      <c r="C1196" t="str" cm="1">
        <f t="array" ref="C11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6">
        <f>YEAR(AllDataCorrected[[#This Row],[Date]])</f>
        <v>2024</v>
      </c>
      <c r="E1196" s="1">
        <v>0.6430555555555556</v>
      </c>
      <c r="F11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6" t="str">
        <f>_xlfn.XLOOKUP(AllDataCorrected[[#This Row],[Location Name]], Locations[Location Name],Locations[Group As])</f>
        <v>Abbey Mill</v>
      </c>
      <c r="H1196" t="e" vm="1">
        <f>_xlfn.XLOOKUP(AllDataCorrected[[#This Row],[Site Name]],LocationsKey[Site Name],LocationsKey[District])</f>
        <v>#VALUE!</v>
      </c>
      <c r="I1196" t="e" vm="1">
        <f>_xlfn.XLOOKUP(AllDataCorrected[[#This Row],[Site Name]],LocationsKey[Site Name],LocationsKey[Town])</f>
        <v>#VALUE!</v>
      </c>
      <c r="J1196" t="str">
        <f>_xlfn.XLOOKUP(AllDataCorrected[[#This Row],[Site Name]],LocationsKey[Site Name], LocationsKey[Waterway])</f>
        <v>Avon</v>
      </c>
      <c r="K1196" t="s">
        <v>22</v>
      </c>
      <c r="L1196">
        <f>_xlfn.XLOOKUP(AllDataCorrected[[#This Row],[Site Name]],Tables!$B$12:$B$78, Tables!C$12:C$78)</f>
        <v>51.991389555555564</v>
      </c>
      <c r="M1196">
        <f>_xlfn.XLOOKUP(AllDataCorrected[[#This Row],[Site Name]],Tables!$B$12:$B$78, Tables!D$12:D$78)</f>
        <v>-2.1620794000000005</v>
      </c>
      <c r="N1196" t="s">
        <v>23</v>
      </c>
      <c r="O1196">
        <v>106</v>
      </c>
      <c r="P1196">
        <v>18.3</v>
      </c>
      <c r="Q1196">
        <v>8</v>
      </c>
      <c r="R11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6">
        <v>1.06</v>
      </c>
      <c r="T11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6">
        <v>0</v>
      </c>
    </row>
    <row r="1197" spans="1:22" x14ac:dyDescent="0.25">
      <c r="A1197" t="s">
        <v>1715</v>
      </c>
      <c r="B1197" s="2">
        <v>45526</v>
      </c>
      <c r="C1197" t="str" cm="1">
        <f t="array" ref="C11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7">
        <f>YEAR(AllDataCorrected[[#This Row],[Date]])</f>
        <v>2024</v>
      </c>
      <c r="E1197" s="1">
        <v>0.41666666666666669</v>
      </c>
      <c r="F11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7" t="str">
        <f>_xlfn.XLOOKUP(AllDataCorrected[[#This Row],[Location Name]], Locations[Location Name],Locations[Group As])</f>
        <v>Swilgate</v>
      </c>
      <c r="H1197" t="e" vm="1">
        <f>_xlfn.XLOOKUP(AllDataCorrected[[#This Row],[Site Name]],LocationsKey[Site Name],LocationsKey[District])</f>
        <v>#VALUE!</v>
      </c>
      <c r="I1197" t="e" vm="1">
        <f>_xlfn.XLOOKUP(AllDataCorrected[[#This Row],[Site Name]],LocationsKey[Site Name],LocationsKey[Town])</f>
        <v>#VALUE!</v>
      </c>
      <c r="J1197" t="str">
        <f>_xlfn.XLOOKUP(AllDataCorrected[[#This Row],[Site Name]],LocationsKey[Site Name], LocationsKey[Waterway])</f>
        <v>Swilgate</v>
      </c>
      <c r="K1197" t="s">
        <v>84</v>
      </c>
      <c r="L1197">
        <f>_xlfn.XLOOKUP(AllDataCorrected[[#This Row],[Site Name]],Tables!$B$12:$B$78, Tables!C$12:C$78)</f>
        <v>51.9885442</v>
      </c>
      <c r="M1197">
        <f>_xlfn.XLOOKUP(AllDataCorrected[[#This Row],[Site Name]],Tables!$B$12:$B$78, Tables!D$12:D$78)</f>
        <v>-2.1639010000000001</v>
      </c>
      <c r="N1197" t="s">
        <v>23</v>
      </c>
      <c r="O1197">
        <v>1090</v>
      </c>
      <c r="P1197">
        <v>16.7</v>
      </c>
      <c r="Q1197">
        <v>7</v>
      </c>
      <c r="R11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7">
        <v>1.08</v>
      </c>
      <c r="T11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7">
        <v>0</v>
      </c>
    </row>
    <row r="1198" spans="1:22" x14ac:dyDescent="0.25">
      <c r="A1198" t="s">
        <v>1708</v>
      </c>
      <c r="B1198" s="2">
        <v>45526</v>
      </c>
      <c r="C1198" t="str" cm="1">
        <f t="array" ref="C11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8">
        <f>YEAR(AllDataCorrected[[#This Row],[Date]])</f>
        <v>2024</v>
      </c>
      <c r="E1198" s="1">
        <v>0.52083333333333337</v>
      </c>
      <c r="F11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8" t="str">
        <f>_xlfn.XLOOKUP(AllDataCorrected[[#This Row],[Location Name]], Locations[Location Name],Locations[Group As])</f>
        <v>Stour Willington</v>
      </c>
      <c r="H1198" t="e" vm="2">
        <f>_xlfn.XLOOKUP(AllDataCorrected[[#This Row],[Site Name]],LocationsKey[Site Name],LocationsKey[District])</f>
        <v>#VALUE!</v>
      </c>
      <c r="I1198" t="str">
        <f>_xlfn.XLOOKUP(AllDataCorrected[[#This Row],[Site Name]],LocationsKey[Site Name],LocationsKey[Town])</f>
        <v>Willington</v>
      </c>
      <c r="J1198" t="str">
        <f>_xlfn.XLOOKUP(AllDataCorrected[[#This Row],[Site Name]],LocationsKey[Site Name], LocationsKey[Waterway])</f>
        <v>Stour</v>
      </c>
      <c r="K1198" t="s">
        <v>517</v>
      </c>
      <c r="L1198">
        <f>_xlfn.XLOOKUP(AllDataCorrected[[#This Row],[Site Name]],Tables!$B$12:$B$78, Tables!C$12:C$78)</f>
        <v>52.053154375000005</v>
      </c>
      <c r="M1198">
        <f>_xlfn.XLOOKUP(AllDataCorrected[[#This Row],[Site Name]],Tables!$B$12:$B$78, Tables!D$12:D$78)</f>
        <v>-1.6191991562500001</v>
      </c>
      <c r="N1198" t="s">
        <v>23</v>
      </c>
      <c r="O1198">
        <v>633</v>
      </c>
      <c r="P1198">
        <v>16.3</v>
      </c>
      <c r="Q1198">
        <v>2</v>
      </c>
      <c r="R1198" t="str">
        <f>IF(AllDataCorrected[[#This Row],[Nitrate (PPM)]]&gt;2, "4. Very high (&gt;2ppm)", IF(AllDataCorrected[[#This Row],[Nitrate (PPM)]]&gt;1, "3. High (1-2ppm)", IF(AllDataCorrected[[#This Row],[Nitrate (PPM)]]&gt;0.5, "2. Some evidence (0.5-1ppm)", IF(AllDataCorrected[[#This Row],[Nitrate (PPM)]]&gt;=0, "1. No evidence (&lt;0.5ppm)"))))</f>
        <v>3. High (1-2ppm)</v>
      </c>
      <c r="S1198">
        <v>0.37</v>
      </c>
      <c r="T11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8">
        <v>0.5</v>
      </c>
    </row>
    <row r="1199" spans="1:22" x14ac:dyDescent="0.25">
      <c r="A1199" t="s">
        <v>1714</v>
      </c>
      <c r="B1199" s="2">
        <v>45526</v>
      </c>
      <c r="C1199" t="str" cm="1">
        <f t="array" ref="C11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9">
        <f>YEAR(AllDataCorrected[[#This Row],[Date]])</f>
        <v>2024</v>
      </c>
      <c r="E1199" s="1">
        <v>0.6333333333333333</v>
      </c>
      <c r="F11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9" t="str">
        <f>_xlfn.XLOOKUP(AllDataCorrected[[#This Row],[Location Name]], Locations[Location Name],Locations[Group As])</f>
        <v>Carrant Mitton Bridge</v>
      </c>
      <c r="H1199" t="e" vm="1">
        <f>_xlfn.XLOOKUP(AllDataCorrected[[#This Row],[Site Name]],LocationsKey[Site Name],LocationsKey[District])</f>
        <v>#VALUE!</v>
      </c>
      <c r="I1199" t="e" vm="1">
        <f>_xlfn.XLOOKUP(AllDataCorrected[[#This Row],[Site Name]],LocationsKey[Site Name],LocationsKey[Town])</f>
        <v>#VALUE!</v>
      </c>
      <c r="J1199" t="str">
        <f>_xlfn.XLOOKUP(AllDataCorrected[[#This Row],[Site Name]],LocationsKey[Site Name], LocationsKey[Waterway])</f>
        <v>Carrant</v>
      </c>
      <c r="K1199" t="s">
        <v>1209</v>
      </c>
      <c r="L1199">
        <f>_xlfn.XLOOKUP(AllDataCorrected[[#This Row],[Site Name]],Tables!$B$12:$B$78, Tables!C$12:C$78)</f>
        <v>51.999974666666674</v>
      </c>
      <c r="M1199">
        <f>_xlfn.XLOOKUP(AllDataCorrected[[#This Row],[Site Name]],Tables!$B$12:$B$78, Tables!D$12:D$78)</f>
        <v>-2.141273</v>
      </c>
      <c r="N1199" t="s">
        <v>23</v>
      </c>
      <c r="O1199">
        <v>656</v>
      </c>
      <c r="P1199">
        <v>18</v>
      </c>
      <c r="Q1199">
        <v>5</v>
      </c>
      <c r="R11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9">
        <v>0.56999999999999995</v>
      </c>
      <c r="T11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9">
        <v>0</v>
      </c>
    </row>
    <row r="1200" spans="1:22" x14ac:dyDescent="0.25">
      <c r="A1200" t="s">
        <v>1713</v>
      </c>
      <c r="B1200" s="2">
        <v>45526</v>
      </c>
      <c r="C1200" t="str" cm="1">
        <f t="array" ref="C12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0">
        <f>YEAR(AllDataCorrected[[#This Row],[Date]])</f>
        <v>2024</v>
      </c>
      <c r="E1200" s="1">
        <v>0.70833333333333337</v>
      </c>
      <c r="F12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0" t="str">
        <f>_xlfn.XLOOKUP(AllDataCorrected[[#This Row],[Location Name]], Locations[Location Name],Locations[Group As])</f>
        <v>Bredon Marina</v>
      </c>
      <c r="H1200" t="e" vm="1">
        <f>_xlfn.XLOOKUP(AllDataCorrected[[#This Row],[Site Name]],LocationsKey[Site Name],LocationsKey[District])</f>
        <v>#VALUE!</v>
      </c>
      <c r="I1200" t="e" vm="25">
        <f>_xlfn.XLOOKUP(AllDataCorrected[[#This Row],[Site Name]],LocationsKey[Site Name],LocationsKey[Town])</f>
        <v>#VALUE!</v>
      </c>
      <c r="J1200" t="str">
        <f>_xlfn.XLOOKUP(AllDataCorrected[[#This Row],[Site Name]],LocationsKey[Site Name], LocationsKey[Waterway])</f>
        <v>Avon</v>
      </c>
      <c r="K1200" t="s">
        <v>1649</v>
      </c>
      <c r="L1200">
        <f>_xlfn.XLOOKUP(AllDataCorrected[[#This Row],[Site Name]],Tables!$B$12:$B$78, Tables!C$12:C$78)</f>
        <v>52.032660333333332</v>
      </c>
      <c r="M1200">
        <f>_xlfn.XLOOKUP(AllDataCorrected[[#This Row],[Site Name]],Tables!$B$12:$B$78, Tables!D$12:D$78)</f>
        <v>-2.1157033333333337</v>
      </c>
      <c r="N1200" t="s">
        <v>29</v>
      </c>
      <c r="O1200">
        <v>9070</v>
      </c>
      <c r="P1200">
        <v>20.5</v>
      </c>
      <c r="Q1200">
        <v>10</v>
      </c>
      <c r="R12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0">
        <v>1.04</v>
      </c>
      <c r="T12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0">
        <v>0</v>
      </c>
    </row>
    <row r="1201" spans="1:22" x14ac:dyDescent="0.25">
      <c r="A1201" t="s">
        <v>1712</v>
      </c>
      <c r="B1201" s="2">
        <v>45527</v>
      </c>
      <c r="C1201" t="str" cm="1">
        <f t="array" ref="C12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1">
        <f>YEAR(AllDataCorrected[[#This Row],[Date]])</f>
        <v>2024</v>
      </c>
      <c r="E1201" s="1">
        <v>0.70138888888888884</v>
      </c>
      <c r="F12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1" t="str">
        <f>_xlfn.XLOOKUP(AllDataCorrected[[#This Row],[Location Name]], Locations[Location Name],Locations[Group As])</f>
        <v>Mill Bridge Peopleton</v>
      </c>
      <c r="H1201" t="e" vm="17">
        <f>_xlfn.XLOOKUP(AllDataCorrected[[#This Row],[Site Name]],LocationsKey[Site Name],LocationsKey[District])</f>
        <v>#VALUE!</v>
      </c>
      <c r="I1201" t="str">
        <f>_xlfn.XLOOKUP(AllDataCorrected[[#This Row],[Site Name]],LocationsKey[Site Name],LocationsKey[Town])</f>
        <v>Peopleton</v>
      </c>
      <c r="J1201" t="str">
        <f>_xlfn.XLOOKUP(AllDataCorrected[[#This Row],[Site Name]],LocationsKey[Site Name], LocationsKey[Waterway])</f>
        <v>Bow Brook</v>
      </c>
      <c r="K1201" t="s">
        <v>921</v>
      </c>
      <c r="L1201">
        <f>_xlfn.XLOOKUP(AllDataCorrected[[#This Row],[Site Name]],Tables!$B$12:$B$78, Tables!C$12:C$78)</f>
        <v>52.15202992857143</v>
      </c>
      <c r="M1201">
        <f>_xlfn.XLOOKUP(AllDataCorrected[[#This Row],[Site Name]],Tables!$B$12:$B$78, Tables!D$12:D$78)</f>
        <v>-2.0954780000000004</v>
      </c>
      <c r="N1201" t="s">
        <v>29</v>
      </c>
      <c r="O1201">
        <v>1110</v>
      </c>
      <c r="P1201">
        <v>17.5</v>
      </c>
      <c r="Q1201">
        <v>5</v>
      </c>
      <c r="R12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1">
        <v>0.2</v>
      </c>
      <c r="T12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01">
        <v>0.2</v>
      </c>
      <c r="V1201" t="s">
        <v>1885</v>
      </c>
    </row>
    <row r="1202" spans="1:22" x14ac:dyDescent="0.25">
      <c r="A1202" t="s">
        <v>1656</v>
      </c>
      <c r="B1202" s="2">
        <v>45527</v>
      </c>
      <c r="C1202" t="str" cm="1">
        <f t="array" ref="C12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2">
        <f>YEAR(AllDataCorrected[[#This Row],[Date]])</f>
        <v>2024</v>
      </c>
      <c r="E1202" s="1">
        <v>0.73541666666666672</v>
      </c>
      <c r="F12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2" t="str">
        <f>_xlfn.XLOOKUP(AllDataCorrected[[#This Row],[Location Name]], Locations[Location Name],Locations[Group As])</f>
        <v>The Ford, Langley</v>
      </c>
      <c r="H1202" t="e" vm="2">
        <f>_xlfn.XLOOKUP(AllDataCorrected[[#This Row],[Site Name]],LocationsKey[Site Name],LocationsKey[District])</f>
        <v>#VALUE!</v>
      </c>
      <c r="I1202" t="str">
        <f>_xlfn.XLOOKUP(AllDataCorrected[[#This Row],[Site Name]],LocationsKey[Site Name],LocationsKey[Town])</f>
        <v>Langley</v>
      </c>
      <c r="J1202" t="str">
        <f>_xlfn.XLOOKUP(AllDataCorrected[[#This Row],[Site Name]],LocationsKey[Site Name], LocationsKey[Waterway])</f>
        <v>Langley Ford</v>
      </c>
      <c r="K1202" t="s">
        <v>557</v>
      </c>
      <c r="L1202">
        <f>_xlfn.XLOOKUP(AllDataCorrected[[#This Row],[Site Name]],Tables!$B$12:$B$78, Tables!C$12:C$78)</f>
        <v>52.261724821428579</v>
      </c>
      <c r="M1202">
        <f>_xlfn.XLOOKUP(AllDataCorrected[[#This Row],[Site Name]],Tables!$B$12:$B$78, Tables!D$12:D$78)</f>
        <v>-1.719408857142857</v>
      </c>
      <c r="N1202" t="s">
        <v>29</v>
      </c>
      <c r="O1202">
        <v>860</v>
      </c>
      <c r="P1202">
        <v>16.2</v>
      </c>
      <c r="Q1202">
        <v>5</v>
      </c>
      <c r="R12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2">
        <v>0.8</v>
      </c>
      <c r="T12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2">
        <v>0.15</v>
      </c>
    </row>
    <row r="1203" spans="1:22" x14ac:dyDescent="0.25">
      <c r="A1203" t="s">
        <v>1707</v>
      </c>
      <c r="B1203" s="2">
        <v>45528</v>
      </c>
      <c r="C1203" t="str" cm="1">
        <f t="array" ref="C12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3">
        <f>YEAR(AllDataCorrected[[#This Row],[Date]])</f>
        <v>2024</v>
      </c>
      <c r="E1203" s="1">
        <v>0.39652777777777776</v>
      </c>
      <c r="F12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3" t="str">
        <f>_xlfn.XLOOKUP(AllDataCorrected[[#This Row],[Location Name]], Locations[Location Name],Locations[Group As])</f>
        <v>Avon Smiths Meadow Wyre Piddle</v>
      </c>
      <c r="H1203" t="e" vm="17">
        <f>_xlfn.XLOOKUP(AllDataCorrected[[#This Row],[Site Name]],LocationsKey[Site Name],LocationsKey[District])</f>
        <v>#VALUE!</v>
      </c>
      <c r="I1203" t="e" vm="20">
        <f>_xlfn.XLOOKUP(AllDataCorrected[[#This Row],[Site Name]],LocationsKey[Site Name],LocationsKey[Town])</f>
        <v>#VALUE!</v>
      </c>
      <c r="J1203" t="str">
        <f>_xlfn.XLOOKUP(AllDataCorrected[[#This Row],[Site Name]],LocationsKey[Site Name], LocationsKey[Waterway])</f>
        <v>Avon</v>
      </c>
      <c r="K1203" t="s">
        <v>741</v>
      </c>
      <c r="L1203">
        <f>_xlfn.XLOOKUP(AllDataCorrected[[#This Row],[Site Name]],Tables!$B$12:$B$78, Tables!C$12:C$78)</f>
        <v>52.123045961538452</v>
      </c>
      <c r="M1203">
        <f>_xlfn.XLOOKUP(AllDataCorrected[[#This Row],[Site Name]],Tables!$B$12:$B$78, Tables!D$12:D$78)</f>
        <v>-2.0572161923076919</v>
      </c>
      <c r="N1203" t="s">
        <v>23</v>
      </c>
      <c r="O1203">
        <v>1120</v>
      </c>
      <c r="P1203">
        <v>17.7</v>
      </c>
      <c r="Q1203">
        <v>10</v>
      </c>
      <c r="R12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3">
        <v>0.96</v>
      </c>
      <c r="T12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3">
        <v>0.5</v>
      </c>
      <c r="V1203" t="s">
        <v>1882</v>
      </c>
    </row>
    <row r="1204" spans="1:22" x14ac:dyDescent="0.25">
      <c r="A1204" t="s">
        <v>1706</v>
      </c>
      <c r="B1204" s="2">
        <v>45528</v>
      </c>
      <c r="C1204" t="str" cm="1">
        <f t="array" ref="C12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4">
        <f>YEAR(AllDataCorrected[[#This Row],[Date]])</f>
        <v>2024</v>
      </c>
      <c r="E1204" s="1">
        <v>0.46180555555555558</v>
      </c>
      <c r="F12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4" t="str">
        <f>_xlfn.XLOOKUP(AllDataCorrected[[#This Row],[Location Name]], Locations[Location Name],Locations[Group As])</f>
        <v>Piddle Brook Wyre Piddle Bridge</v>
      </c>
      <c r="H1204" t="e" vm="17">
        <f>_xlfn.XLOOKUP(AllDataCorrected[[#This Row],[Site Name]],LocationsKey[Site Name],LocationsKey[District])</f>
        <v>#VALUE!</v>
      </c>
      <c r="I1204" t="e" vm="20">
        <f>_xlfn.XLOOKUP(AllDataCorrected[[#This Row],[Site Name]],LocationsKey[Site Name],LocationsKey[Town])</f>
        <v>#VALUE!</v>
      </c>
      <c r="J1204" t="str">
        <f>_xlfn.XLOOKUP(AllDataCorrected[[#This Row],[Site Name]],LocationsKey[Site Name], LocationsKey[Waterway])</f>
        <v>Piddle Brook</v>
      </c>
      <c r="K1204" t="s">
        <v>744</v>
      </c>
      <c r="L1204">
        <f>_xlfn.XLOOKUP(AllDataCorrected[[#This Row],[Site Name]],Tables!$B$12:$B$78, Tables!C$12:C$78)</f>
        <v>52.126401720000004</v>
      </c>
      <c r="M1204">
        <f>_xlfn.XLOOKUP(AllDataCorrected[[#This Row],[Site Name]],Tables!$B$12:$B$78, Tables!D$12:D$78)</f>
        <v>-2.0565162000000003</v>
      </c>
      <c r="N1204" t="s">
        <v>23</v>
      </c>
      <c r="O1204">
        <v>1870</v>
      </c>
      <c r="P1204">
        <v>15.4</v>
      </c>
      <c r="Q1204">
        <v>7</v>
      </c>
      <c r="R12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4">
        <v>1.29</v>
      </c>
      <c r="T12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4">
        <v>0.13</v>
      </c>
      <c r="V1204" t="s">
        <v>1881</v>
      </c>
    </row>
    <row r="1205" spans="1:22" x14ac:dyDescent="0.25">
      <c r="A1205" t="s">
        <v>1705</v>
      </c>
      <c r="B1205" s="2">
        <v>45528</v>
      </c>
      <c r="C1205" t="str" cm="1">
        <f t="array" ref="C12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5">
        <f>YEAR(AllDataCorrected[[#This Row],[Date]])</f>
        <v>2024</v>
      </c>
      <c r="E1205" s="1">
        <v>0.49791666666666667</v>
      </c>
      <c r="F12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5" t="str">
        <f>_xlfn.XLOOKUP(AllDataCorrected[[#This Row],[Location Name]], Locations[Location Name],Locations[Group As])</f>
        <v>Whitsun Brook. Low road, Church Lench</v>
      </c>
      <c r="H1205" t="e" vm="17">
        <f>_xlfn.XLOOKUP(AllDataCorrected[[#This Row],[Site Name]],LocationsKey[Site Name],LocationsKey[District])</f>
        <v>#VALUE!</v>
      </c>
      <c r="I1205" t="e" vm="26">
        <f>_xlfn.XLOOKUP(AllDataCorrected[[#This Row],[Site Name]],LocationsKey[Site Name],LocationsKey[Town])</f>
        <v>#VALUE!</v>
      </c>
      <c r="J1205" t="str">
        <f>_xlfn.XLOOKUP(AllDataCorrected[[#This Row],[Site Name]],LocationsKey[Site Name], LocationsKey[Waterway])</f>
        <v>Whitsun Brook</v>
      </c>
      <c r="K1205" t="s">
        <v>1856</v>
      </c>
      <c r="L1205">
        <f>_xlfn.XLOOKUP(AllDataCorrected[[#This Row],[Site Name]],Tables!$B$12:$B$78, Tables!C$12:C$78)</f>
        <v>52.168410999999999</v>
      </c>
      <c r="M1205">
        <f>_xlfn.XLOOKUP(AllDataCorrected[[#This Row],[Site Name]],Tables!$B$12:$B$78, Tables!D$12:D$78)</f>
        <v>-1.9603710000000001</v>
      </c>
      <c r="N1205" t="s">
        <v>23</v>
      </c>
      <c r="O1205">
        <v>998</v>
      </c>
      <c r="P1205">
        <v>15.2</v>
      </c>
      <c r="Q1205">
        <v>5</v>
      </c>
      <c r="R12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5">
        <v>2.5</v>
      </c>
      <c r="T12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5">
        <v>0.13</v>
      </c>
      <c r="V1205" t="s">
        <v>1880</v>
      </c>
    </row>
    <row r="1206" spans="1:22" x14ac:dyDescent="0.25">
      <c r="A1206" t="s">
        <v>1704</v>
      </c>
      <c r="B1206" s="2">
        <v>45528</v>
      </c>
      <c r="C1206" t="str" cm="1">
        <f t="array" ref="C12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6">
        <f>YEAR(AllDataCorrected[[#This Row],[Date]])</f>
        <v>2024</v>
      </c>
      <c r="E1206" s="1">
        <v>0.50972222222222219</v>
      </c>
      <c r="F12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6" t="str">
        <f>_xlfn.XLOOKUP(AllDataCorrected[[#This Row],[Location Name]], Locations[Location Name],Locations[Group As])</f>
        <v>Whitsun Brook Atch Lench Road, Church Lench.</v>
      </c>
      <c r="H1206" t="e" vm="17">
        <f>_xlfn.XLOOKUP(AllDataCorrected[[#This Row],[Site Name]],LocationsKey[Site Name],LocationsKey[District])</f>
        <v>#VALUE!</v>
      </c>
      <c r="I1206" t="e" vm="26">
        <f>_xlfn.XLOOKUP(AllDataCorrected[[#This Row],[Site Name]],LocationsKey[Site Name],LocationsKey[Town])</f>
        <v>#VALUE!</v>
      </c>
      <c r="J1206" t="str">
        <f>_xlfn.XLOOKUP(AllDataCorrected[[#This Row],[Site Name]],LocationsKey[Site Name], LocationsKey[Waterway])</f>
        <v>Whitsun Brook</v>
      </c>
      <c r="K1206" t="s">
        <v>1855</v>
      </c>
      <c r="L1206">
        <f>_xlfn.XLOOKUP(AllDataCorrected[[#This Row],[Site Name]],Tables!$B$12:$B$78, Tables!C$12:C$78)</f>
        <v>52.158735499999999</v>
      </c>
      <c r="M1206">
        <f>_xlfn.XLOOKUP(AllDataCorrected[[#This Row],[Site Name]],Tables!$B$12:$B$78, Tables!D$12:D$78)</f>
        <v>-1.9573510000000001</v>
      </c>
      <c r="N1206" t="s">
        <v>23</v>
      </c>
      <c r="O1206">
        <v>879</v>
      </c>
      <c r="P1206">
        <v>16.8</v>
      </c>
      <c r="Q1206">
        <v>2</v>
      </c>
      <c r="R1206" t="str">
        <f>IF(AllDataCorrected[[#This Row],[Nitrate (PPM)]]&gt;2, "4. Very high (&gt;2ppm)", IF(AllDataCorrected[[#This Row],[Nitrate (PPM)]]&gt;1, "3. High (1-2ppm)", IF(AllDataCorrected[[#This Row],[Nitrate (PPM)]]&gt;0.5, "2. Some evidence (0.5-1ppm)", IF(AllDataCorrected[[#This Row],[Nitrate (PPM)]]&gt;=0, "1. No evidence (&lt;0.5ppm)"))))</f>
        <v>3. High (1-2ppm)</v>
      </c>
      <c r="S1206">
        <v>1.48</v>
      </c>
      <c r="T12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6">
        <v>0.13</v>
      </c>
      <c r="V1206" t="s">
        <v>1879</v>
      </c>
    </row>
    <row r="1207" spans="1:22" x14ac:dyDescent="0.25">
      <c r="A1207" t="s">
        <v>1699</v>
      </c>
      <c r="B1207" s="2">
        <v>45528</v>
      </c>
      <c r="C1207" t="str" cm="1">
        <f t="array" ref="C12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7">
        <f>YEAR(AllDataCorrected[[#This Row],[Date]])</f>
        <v>2024</v>
      </c>
      <c r="E1207" s="1">
        <v>0.64583333333333337</v>
      </c>
      <c r="F12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7" t="str">
        <f>_xlfn.XLOOKUP(AllDataCorrected[[#This Row],[Location Name]], Locations[Location Name],Locations[Group As])</f>
        <v>Carrant Bredon Rd</v>
      </c>
      <c r="H1207" t="e" vm="1">
        <f>_xlfn.XLOOKUP(AllDataCorrected[[#This Row],[Site Name]],LocationsKey[Site Name],LocationsKey[District])</f>
        <v>#VALUE!</v>
      </c>
      <c r="I1207" t="e" vm="1">
        <f>_xlfn.XLOOKUP(AllDataCorrected[[#This Row],[Site Name]],LocationsKey[Site Name],LocationsKey[Town])</f>
        <v>#VALUE!</v>
      </c>
      <c r="J1207" t="str">
        <f>_xlfn.XLOOKUP(AllDataCorrected[[#This Row],[Site Name]],LocationsKey[Site Name], LocationsKey[Waterway])</f>
        <v>Carrant</v>
      </c>
      <c r="K1207" t="s">
        <v>600</v>
      </c>
      <c r="L1207">
        <f>_xlfn.XLOOKUP(AllDataCorrected[[#This Row],[Site Name]],Tables!$B$12:$B$78, Tables!C$12:C$78)</f>
        <v>51.996416567567572</v>
      </c>
      <c r="M1207">
        <f>_xlfn.XLOOKUP(AllDataCorrected[[#This Row],[Site Name]],Tables!$B$12:$B$78, Tables!D$12:D$78)</f>
        <v>-2.1556626756756749</v>
      </c>
      <c r="N1207" t="s">
        <v>23</v>
      </c>
      <c r="O1207">
        <v>690</v>
      </c>
      <c r="P1207">
        <v>17.399999999999999</v>
      </c>
      <c r="Q1207">
        <v>6</v>
      </c>
      <c r="R12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7">
        <v>0.56000000000000005</v>
      </c>
      <c r="T12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7">
        <v>0</v>
      </c>
      <c r="V1207" t="s">
        <v>231</v>
      </c>
    </row>
    <row r="1208" spans="1:22" x14ac:dyDescent="0.25">
      <c r="A1208" t="s">
        <v>1703</v>
      </c>
      <c r="B1208" s="2">
        <v>45528</v>
      </c>
      <c r="C1208" t="str" cm="1">
        <f t="array" ref="C12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8">
        <f>YEAR(AllDataCorrected[[#This Row],[Date]])</f>
        <v>2024</v>
      </c>
      <c r="E1208" s="1">
        <v>0.66319444444444442</v>
      </c>
      <c r="F12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8" t="str">
        <f>_xlfn.XLOOKUP(AllDataCorrected[[#This Row],[Location Name]], Locations[Location Name],Locations[Group As])</f>
        <v>Preston-on-Stour River Bridge</v>
      </c>
      <c r="H1208" t="e" vm="2">
        <f>_xlfn.XLOOKUP(AllDataCorrected[[#This Row],[Site Name]],LocationsKey[Site Name],LocationsKey[District])</f>
        <v>#VALUE!</v>
      </c>
      <c r="I1208" t="e" vm="9">
        <f>_xlfn.XLOOKUP(AllDataCorrected[[#This Row],[Site Name]],LocationsKey[Site Name],LocationsKey[Town])</f>
        <v>#VALUE!</v>
      </c>
      <c r="J1208" t="str">
        <f>_xlfn.XLOOKUP(AllDataCorrected[[#This Row],[Site Name]],LocationsKey[Site Name], LocationsKey[Waterway])</f>
        <v>Stour</v>
      </c>
      <c r="K1208" t="s">
        <v>163</v>
      </c>
      <c r="L1208">
        <f>_xlfn.XLOOKUP(AllDataCorrected[[#This Row],[Site Name]],Tables!$B$12:$B$78, Tables!C$12:C$78)</f>
        <v>52.146529500000007</v>
      </c>
      <c r="M1208">
        <f>_xlfn.XLOOKUP(AllDataCorrected[[#This Row],[Site Name]],Tables!$B$12:$B$78, Tables!D$12:D$78)</f>
        <v>-1.6996899999999999</v>
      </c>
      <c r="N1208" t="s">
        <v>29</v>
      </c>
      <c r="O1208">
        <v>711</v>
      </c>
      <c r="P1208">
        <v>17.3</v>
      </c>
      <c r="Q1208">
        <v>4</v>
      </c>
      <c r="R12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8">
        <v>0.79</v>
      </c>
      <c r="T12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8">
        <v>1</v>
      </c>
      <c r="V1208" t="s">
        <v>1878</v>
      </c>
    </row>
    <row r="1209" spans="1:22" x14ac:dyDescent="0.25">
      <c r="A1209" t="s">
        <v>1702</v>
      </c>
      <c r="B1209" s="2">
        <v>45528</v>
      </c>
      <c r="C1209" t="str" cm="1">
        <f t="array" ref="C12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9">
        <f>YEAR(AllDataCorrected[[#This Row],[Date]])</f>
        <v>2024</v>
      </c>
      <c r="E1209" s="1">
        <v>0.6743055555555556</v>
      </c>
      <c r="F12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9" t="str">
        <f>_xlfn.XLOOKUP(AllDataCorrected[[#This Row],[Location Name]], Locations[Location Name],Locations[Group As])</f>
        <v>Site 1  :  Middle Street</v>
      </c>
      <c r="H1209" t="e" vm="2">
        <f>_xlfn.XLOOKUP(AllDataCorrected[[#This Row],[Site Name]],LocationsKey[Site Name],LocationsKey[District])</f>
        <v>#VALUE!</v>
      </c>
      <c r="I1209" t="e" vm="11">
        <f>_xlfn.XLOOKUP(AllDataCorrected[[#This Row],[Site Name]],LocationsKey[Site Name],LocationsKey[Town])</f>
        <v>#VALUE!</v>
      </c>
      <c r="J1209" t="str">
        <f>_xlfn.XLOOKUP(AllDataCorrected[[#This Row],[Site Name]],LocationsKey[Site Name], LocationsKey[Waterway])</f>
        <v>Fosseway Brook</v>
      </c>
      <c r="K1209" t="s">
        <v>1373</v>
      </c>
      <c r="L1209">
        <f>_xlfn.XLOOKUP(AllDataCorrected[[#This Row],[Site Name]],Tables!$B$12:$B$78, Tables!C$12:C$78)</f>
        <v>52.090077380952394</v>
      </c>
      <c r="M1209">
        <f>_xlfn.XLOOKUP(AllDataCorrected[[#This Row],[Site Name]],Tables!$B$12:$B$78, Tables!D$12:D$78)</f>
        <v>-1.6926051666666673</v>
      </c>
      <c r="N1209" t="s">
        <v>66</v>
      </c>
      <c r="O1209">
        <v>679</v>
      </c>
      <c r="P1209">
        <v>18.8</v>
      </c>
      <c r="Q1209">
        <v>0</v>
      </c>
      <c r="R120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09">
        <v>0.33</v>
      </c>
      <c r="T12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09">
        <v>0.04</v>
      </c>
      <c r="V1209" t="s">
        <v>1877</v>
      </c>
    </row>
    <row r="1210" spans="1:22" x14ac:dyDescent="0.25">
      <c r="A1210" t="s">
        <v>1701</v>
      </c>
      <c r="B1210" s="2">
        <v>45528</v>
      </c>
      <c r="C1210" t="str" cm="1">
        <f t="array" ref="C12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0">
        <f>YEAR(AllDataCorrected[[#This Row],[Date]])</f>
        <v>2024</v>
      </c>
      <c r="E1210" s="1">
        <v>0.68541666666666667</v>
      </c>
      <c r="F12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0" t="str">
        <f>_xlfn.XLOOKUP(AllDataCorrected[[#This Row],[Location Name]], Locations[Location Name],Locations[Group As])</f>
        <v>Site 2  :  Cross Leys culvert</v>
      </c>
      <c r="H1210" t="e" vm="2">
        <f>_xlfn.XLOOKUP(AllDataCorrected[[#This Row],[Site Name]],LocationsKey[Site Name],LocationsKey[District])</f>
        <v>#VALUE!</v>
      </c>
      <c r="I1210" t="e" vm="11">
        <f>_xlfn.XLOOKUP(AllDataCorrected[[#This Row],[Site Name]],LocationsKey[Site Name],LocationsKey[Town])</f>
        <v>#VALUE!</v>
      </c>
      <c r="J1210" t="str">
        <f>_xlfn.XLOOKUP(AllDataCorrected[[#This Row],[Site Name]],LocationsKey[Site Name], LocationsKey[Waterway])</f>
        <v>Fosseway Brook</v>
      </c>
      <c r="K1210" t="s">
        <v>1854</v>
      </c>
      <c r="L1210">
        <f>_xlfn.XLOOKUP(AllDataCorrected[[#This Row],[Site Name]],Tables!$B$12:$B$78, Tables!C$12:C$78)</f>
        <v>52.092990199999988</v>
      </c>
      <c r="M1210">
        <f>_xlfn.XLOOKUP(AllDataCorrected[[#This Row],[Site Name]],Tables!$B$12:$B$78, Tables!D$12:D$78)</f>
        <v>-1.6862810999999998</v>
      </c>
      <c r="N1210" t="s">
        <v>66</v>
      </c>
      <c r="O1210">
        <v>572</v>
      </c>
      <c r="P1210">
        <v>17.100000000000001</v>
      </c>
      <c r="Q1210">
        <v>2</v>
      </c>
      <c r="R1210" t="str">
        <f>IF(AllDataCorrected[[#This Row],[Nitrate (PPM)]]&gt;2, "4. Very high (&gt;2ppm)", IF(AllDataCorrected[[#This Row],[Nitrate (PPM)]]&gt;1, "3. High (1-2ppm)", IF(AllDataCorrected[[#This Row],[Nitrate (PPM)]]&gt;0.5, "2. Some evidence (0.5-1ppm)", IF(AllDataCorrected[[#This Row],[Nitrate (PPM)]]&gt;=0, "1. No evidence (&lt;0.5ppm)"))))</f>
        <v>3. High (1-2ppm)</v>
      </c>
      <c r="S1210">
        <v>0.83</v>
      </c>
      <c r="T12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0">
        <v>0.1</v>
      </c>
    </row>
    <row r="1211" spans="1:22" x14ac:dyDescent="0.25">
      <c r="A1211" t="s">
        <v>1700</v>
      </c>
      <c r="B1211" s="2">
        <v>45528</v>
      </c>
      <c r="C1211" t="str" cm="1">
        <f t="array" ref="C12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1">
        <f>YEAR(AllDataCorrected[[#This Row],[Date]])</f>
        <v>2024</v>
      </c>
      <c r="E1211" s="1">
        <v>0.69374999999999998</v>
      </c>
      <c r="F12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1" t="str">
        <f>_xlfn.XLOOKUP(AllDataCorrected[[#This Row],[Location Name]], Locations[Location Name],Locations[Group As])</f>
        <v>Site 3  :  Severn Trent Water processing plant outflow</v>
      </c>
      <c r="H1211" t="e" vm="2">
        <f>_xlfn.XLOOKUP(AllDataCorrected[[#This Row],[Site Name]],LocationsKey[Site Name],LocationsKey[District])</f>
        <v>#VALUE!</v>
      </c>
      <c r="I1211" t="e" vm="11">
        <f>_xlfn.XLOOKUP(AllDataCorrected[[#This Row],[Site Name]],LocationsKey[Site Name],LocationsKey[Town])</f>
        <v>#VALUE!</v>
      </c>
      <c r="J1211" t="str">
        <f>_xlfn.XLOOKUP(AllDataCorrected[[#This Row],[Site Name]],LocationsKey[Site Name], LocationsKey[Waterway])</f>
        <v>Fosseway Brook</v>
      </c>
      <c r="K1211" t="s">
        <v>1853</v>
      </c>
      <c r="L1211">
        <f>_xlfn.XLOOKUP(AllDataCorrected[[#This Row],[Site Name]],Tables!$B$12:$B$78, Tables!C$12:C$78)</f>
        <v>52.094341024390218</v>
      </c>
      <c r="M1211">
        <f>_xlfn.XLOOKUP(AllDataCorrected[[#This Row],[Site Name]],Tables!$B$12:$B$78, Tables!D$12:D$78)</f>
        <v>-1.6731015853658531</v>
      </c>
      <c r="N1211" t="s">
        <v>29</v>
      </c>
      <c r="O1211">
        <v>921</v>
      </c>
      <c r="P1211">
        <v>17.8</v>
      </c>
      <c r="Q1211">
        <v>10</v>
      </c>
      <c r="R12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1">
        <v>2.5</v>
      </c>
      <c r="T12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1">
        <v>0.15</v>
      </c>
    </row>
    <row r="1212" spans="1:22" x14ac:dyDescent="0.25">
      <c r="A1212" t="s">
        <v>1684</v>
      </c>
      <c r="B1212" s="2">
        <v>45529</v>
      </c>
      <c r="C1212" t="str" cm="1">
        <f t="array" ref="C12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2">
        <f>YEAR(AllDataCorrected[[#This Row],[Date]])</f>
        <v>2024</v>
      </c>
      <c r="E1212" s="1">
        <v>0.38541666666666669</v>
      </c>
      <c r="F12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2" t="str">
        <f>_xlfn.XLOOKUP(AllDataCorrected[[#This Row],[Location Name]], Locations[Location Name],Locations[Group As])</f>
        <v>Sherbourne Brook 1</v>
      </c>
      <c r="H1212" t="e" vm="2">
        <f>_xlfn.XLOOKUP(AllDataCorrected[[#This Row],[Site Name]],LocationsKey[Site Name],LocationsKey[District])</f>
        <v>#VALUE!</v>
      </c>
      <c r="I1212" t="e" vm="16">
        <f>_xlfn.XLOOKUP(AllDataCorrected[[#This Row],[Site Name]],LocationsKey[Site Name],LocationsKey[Town])</f>
        <v>#VALUE!</v>
      </c>
      <c r="J1212" t="str">
        <f>_xlfn.XLOOKUP(AllDataCorrected[[#This Row],[Site Name]],LocationsKey[Site Name], LocationsKey[Waterway])</f>
        <v>Sherbourne Brook</v>
      </c>
      <c r="K1212" t="s">
        <v>570</v>
      </c>
      <c r="L1212">
        <f>_xlfn.XLOOKUP(AllDataCorrected[[#This Row],[Site Name]],Tables!$B$12:$B$78, Tables!C$12:C$78)</f>
        <v>52.252500000000033</v>
      </c>
      <c r="M1212">
        <f>_xlfn.XLOOKUP(AllDataCorrected[[#This Row],[Site Name]],Tables!$B$12:$B$78, Tables!D$12:D$78)</f>
        <v>-1.6685000000000012</v>
      </c>
      <c r="N1212" t="s">
        <v>23</v>
      </c>
      <c r="O1212">
        <v>1110</v>
      </c>
      <c r="P1212">
        <v>14</v>
      </c>
      <c r="Q1212">
        <v>10</v>
      </c>
      <c r="R12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2">
        <v>0.26</v>
      </c>
      <c r="T12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2">
        <v>0.15</v>
      </c>
    </row>
    <row r="1213" spans="1:22" x14ac:dyDescent="0.25">
      <c r="A1213" t="s">
        <v>1683</v>
      </c>
      <c r="B1213" s="2">
        <v>45529</v>
      </c>
      <c r="C1213" t="str" cm="1">
        <f t="array" ref="C12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3">
        <f>YEAR(AllDataCorrected[[#This Row],[Date]])</f>
        <v>2024</v>
      </c>
      <c r="E1213" s="1">
        <v>0.39583333333333331</v>
      </c>
      <c r="F12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3" t="str">
        <f>_xlfn.XLOOKUP(AllDataCorrected[[#This Row],[Location Name]], Locations[Location Name],Locations[Group As])</f>
        <v>Bell Brook 1</v>
      </c>
      <c r="H1213" t="e" vm="2">
        <f>_xlfn.XLOOKUP(AllDataCorrected[[#This Row],[Site Name]],LocationsKey[Site Name],LocationsKey[District])</f>
        <v>#VALUE!</v>
      </c>
      <c r="I1213" t="e" vm="15">
        <f>_xlfn.XLOOKUP(AllDataCorrected[[#This Row],[Site Name]],LocationsKey[Site Name],LocationsKey[Town])</f>
        <v>#VALUE!</v>
      </c>
      <c r="J1213" t="str">
        <f>_xlfn.XLOOKUP(AllDataCorrected[[#This Row],[Site Name]],LocationsKey[Site Name], LocationsKey[Waterway])</f>
        <v>Bell Brook</v>
      </c>
      <c r="K1213" t="s">
        <v>534</v>
      </c>
      <c r="L1213">
        <f>_xlfn.XLOOKUP(AllDataCorrected[[#This Row],[Site Name]],Tables!$B$12:$B$78, Tables!C$12:C$78)</f>
        <v>52.24489999999998</v>
      </c>
      <c r="M1213">
        <f>_xlfn.XLOOKUP(AllDataCorrected[[#This Row],[Site Name]],Tables!$B$12:$B$78, Tables!D$12:D$78)</f>
        <v>-1.6617000000000013</v>
      </c>
      <c r="N1213" t="s">
        <v>23</v>
      </c>
      <c r="O1213">
        <v>887</v>
      </c>
      <c r="P1213">
        <v>14.1</v>
      </c>
      <c r="Q1213">
        <v>20</v>
      </c>
      <c r="R12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3">
        <v>0.73</v>
      </c>
      <c r="T12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3">
        <v>0.15</v>
      </c>
    </row>
    <row r="1214" spans="1:22" x14ac:dyDescent="0.25">
      <c r="A1214" t="s">
        <v>1667</v>
      </c>
      <c r="B1214" s="2">
        <v>45529</v>
      </c>
      <c r="C1214" t="str" cm="1">
        <f t="array" ref="C12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4">
        <f>YEAR(AllDataCorrected[[#This Row],[Date]])</f>
        <v>2024</v>
      </c>
      <c r="E1214" s="1">
        <v>0.41875000000000001</v>
      </c>
      <c r="F12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4" t="str">
        <f>_xlfn.XLOOKUP(AllDataCorrected[[#This Row],[Location Name]], Locations[Location Name],Locations[Group As])</f>
        <v>Pitch 16</v>
      </c>
      <c r="H1214" t="e" vm="2">
        <f>_xlfn.XLOOKUP(AllDataCorrected[[#This Row],[Site Name]],LocationsKey[Site Name],LocationsKey[District])</f>
        <v>#VALUE!</v>
      </c>
      <c r="I1214" t="e" vm="7">
        <f>_xlfn.XLOOKUP(AllDataCorrected[[#This Row],[Site Name]],LocationsKey[Site Name],LocationsKey[Town])</f>
        <v>#VALUE!</v>
      </c>
      <c r="J1214" t="str">
        <f>_xlfn.XLOOKUP(AllDataCorrected[[#This Row],[Site Name]],LocationsKey[Site Name], LocationsKey[Waterway])</f>
        <v>Avon</v>
      </c>
      <c r="K1214" t="s">
        <v>69</v>
      </c>
      <c r="L1214">
        <f>_xlfn.XLOOKUP(AllDataCorrected[[#This Row],[Site Name]],Tables!$B$12:$B$78, Tables!C$12:C$78)</f>
        <v>52.17355294117646</v>
      </c>
      <c r="M1214">
        <f>_xlfn.XLOOKUP(AllDataCorrected[[#This Row],[Site Name]],Tables!$B$12:$B$78, Tables!D$12:D$78)</f>
        <v>-1.7433199411764708</v>
      </c>
      <c r="N1214" t="s">
        <v>29</v>
      </c>
      <c r="O1214">
        <v>875</v>
      </c>
      <c r="P1214">
        <v>22.2</v>
      </c>
      <c r="Q1214">
        <v>5</v>
      </c>
      <c r="R12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4">
        <v>0.61</v>
      </c>
      <c r="T12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4">
        <v>1</v>
      </c>
    </row>
    <row r="1215" spans="1:22" x14ac:dyDescent="0.25">
      <c r="A1215" t="s">
        <v>1494</v>
      </c>
      <c r="B1215" s="2">
        <v>45495</v>
      </c>
      <c r="C1215" t="str" cm="1">
        <f t="array" ref="C12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5">
        <f>YEAR(AllDataCorrected[[#This Row],[Date]])</f>
        <v>2024</v>
      </c>
      <c r="E1215" s="1">
        <v>0.36458333333333331</v>
      </c>
      <c r="F12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5" t="str">
        <f>_xlfn.XLOOKUP(AllDataCorrected[[#This Row],[Location Name]], Locations[Location Name],Locations[Group As])</f>
        <v>Chipping Campden Sewage Works</v>
      </c>
      <c r="H1215" t="e" vm="23">
        <f>_xlfn.XLOOKUP(AllDataCorrected[[#This Row],[Site Name]],LocationsKey[Site Name],LocationsKey[District])</f>
        <v>#VALUE!</v>
      </c>
      <c r="I1215" t="e" vm="24">
        <f>_xlfn.XLOOKUP(AllDataCorrected[[#This Row],[Site Name]],LocationsKey[Site Name],LocationsKey[Town])</f>
        <v>#VALUE!</v>
      </c>
      <c r="J1215" t="str">
        <f>_xlfn.XLOOKUP(AllDataCorrected[[#This Row],[Site Name]],LocationsKey[Site Name], LocationsKey[Waterway])</f>
        <v>Cam Brook</v>
      </c>
      <c r="K1215" t="s">
        <v>1474</v>
      </c>
      <c r="L1215">
        <f>_xlfn.XLOOKUP(AllDataCorrected[[#This Row],[Site Name]],Tables!$B$12:$B$78, Tables!C$12:C$78)</f>
        <v>52.052216999999999</v>
      </c>
      <c r="M1215">
        <f>_xlfn.XLOOKUP(AllDataCorrected[[#This Row],[Site Name]],Tables!$B$12:$B$78, Tables!D$12:D$78)</f>
        <v>-1.7616225000000001</v>
      </c>
      <c r="N1215" t="s">
        <v>29</v>
      </c>
      <c r="O1215">
        <v>730</v>
      </c>
      <c r="P1215">
        <v>16.5</v>
      </c>
      <c r="Q1215">
        <v>2</v>
      </c>
      <c r="R1215" t="str">
        <f>IF(AllDataCorrected[[#This Row],[Nitrate (PPM)]]&gt;2, "4. Very high (&gt;2ppm)", IF(AllDataCorrected[[#This Row],[Nitrate (PPM)]]&gt;1, "3. High (1-2ppm)", IF(AllDataCorrected[[#This Row],[Nitrate (PPM)]]&gt;0.5, "2. Some evidence (0.5-1ppm)", IF(AllDataCorrected[[#This Row],[Nitrate (PPM)]]&gt;=0, "1. No evidence (&lt;0.5ppm)"))))</f>
        <v>3. High (1-2ppm)</v>
      </c>
      <c r="S1215">
        <v>0.71</v>
      </c>
      <c r="T12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5">
        <v>0.18</v>
      </c>
    </row>
    <row r="1216" spans="1:22" x14ac:dyDescent="0.25">
      <c r="A1216" t="s">
        <v>1698</v>
      </c>
      <c r="B1216" s="2">
        <v>45529</v>
      </c>
      <c r="C1216" t="str" cm="1">
        <f t="array" ref="C12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6">
        <f>YEAR(AllDataCorrected[[#This Row],[Date]])</f>
        <v>2024</v>
      </c>
      <c r="E1216" s="1">
        <v>0.62638888888888888</v>
      </c>
      <c r="F12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6" t="str">
        <f>_xlfn.XLOOKUP(AllDataCorrected[[#This Row],[Location Name]], Locations[Location Name],Locations[Group As])</f>
        <v>Black Bear</v>
      </c>
      <c r="H1216" t="e" vm="1">
        <f>_xlfn.XLOOKUP(AllDataCorrected[[#This Row],[Site Name]],LocationsKey[Site Name],LocationsKey[District])</f>
        <v>#VALUE!</v>
      </c>
      <c r="I1216" t="e" vm="1">
        <f>_xlfn.XLOOKUP(AllDataCorrected[[#This Row],[Site Name]],LocationsKey[Site Name],LocationsKey[Town])</f>
        <v>#VALUE!</v>
      </c>
      <c r="J1216" t="str">
        <f>_xlfn.XLOOKUP(AllDataCorrected[[#This Row],[Site Name]],LocationsKey[Site Name], LocationsKey[Waterway])</f>
        <v>Avon</v>
      </c>
      <c r="K1216" t="s">
        <v>567</v>
      </c>
      <c r="L1216">
        <f>_xlfn.XLOOKUP(AllDataCorrected[[#This Row],[Site Name]],Tables!$B$12:$B$78, Tables!C$12:C$78)</f>
        <v>51.997435214285723</v>
      </c>
      <c r="M1216">
        <f>_xlfn.XLOOKUP(AllDataCorrected[[#This Row],[Site Name]],Tables!$B$12:$B$78, Tables!D$12:D$78)</f>
        <v>-2.1562056785714288</v>
      </c>
      <c r="N1216" t="s">
        <v>23</v>
      </c>
      <c r="O1216">
        <v>106</v>
      </c>
      <c r="P1216">
        <v>18.399999999999999</v>
      </c>
      <c r="Q1216">
        <v>10</v>
      </c>
      <c r="R12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6">
        <v>0.9</v>
      </c>
      <c r="T12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6">
        <v>0</v>
      </c>
    </row>
    <row r="1217" spans="1:22" x14ac:dyDescent="0.25">
      <c r="A1217" t="s">
        <v>1678</v>
      </c>
      <c r="B1217" s="2">
        <v>45530</v>
      </c>
      <c r="C1217" t="str" cm="1">
        <f t="array" ref="C12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7">
        <f>YEAR(AllDataCorrected[[#This Row],[Date]])</f>
        <v>2024</v>
      </c>
      <c r="E1217" s="1">
        <v>0.33333333333333331</v>
      </c>
      <c r="F12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7" t="str">
        <f>_xlfn.XLOOKUP(AllDataCorrected[[#This Row],[Location Name]], Locations[Location Name],Locations[Group As])</f>
        <v>Carrant M5 Bridge</v>
      </c>
      <c r="H1217" t="e" vm="1">
        <f>_xlfn.XLOOKUP(AllDataCorrected[[#This Row],[Site Name]],LocationsKey[Site Name],LocationsKey[District])</f>
        <v>#VALUE!</v>
      </c>
      <c r="I1217" t="e" vm="1">
        <f>_xlfn.XLOOKUP(AllDataCorrected[[#This Row],[Site Name]],LocationsKey[Site Name],LocationsKey[Town])</f>
        <v>#VALUE!</v>
      </c>
      <c r="J1217" t="str">
        <f>_xlfn.XLOOKUP(AllDataCorrected[[#This Row],[Site Name]],LocationsKey[Site Name], LocationsKey[Waterway])</f>
        <v>Carrant</v>
      </c>
      <c r="K1217" t="s">
        <v>1015</v>
      </c>
      <c r="L1217">
        <f>_xlfn.XLOOKUP(AllDataCorrected[[#This Row],[Site Name]],Tables!$B$12:$B$78, Tables!C$12:C$78)</f>
        <v>52.011600000000001</v>
      </c>
      <c r="M1217">
        <f>_xlfn.XLOOKUP(AllDataCorrected[[#This Row],[Site Name]],Tables!$B$12:$B$78, Tables!D$12:D$78)</f>
        <v>-2.1206</v>
      </c>
      <c r="N1217" t="s">
        <v>23</v>
      </c>
      <c r="O1217">
        <v>518</v>
      </c>
      <c r="P1217">
        <v>17.899999999999999</v>
      </c>
      <c r="Q1217">
        <v>6</v>
      </c>
      <c r="R12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7">
        <v>0.4</v>
      </c>
      <c r="T12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7">
        <v>0</v>
      </c>
    </row>
    <row r="1218" spans="1:22" x14ac:dyDescent="0.25">
      <c r="A1218" t="s">
        <v>1682</v>
      </c>
      <c r="B1218" s="2">
        <v>45530</v>
      </c>
      <c r="C1218" t="str" cm="1">
        <f t="array" ref="C12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8">
        <f>YEAR(AllDataCorrected[[#This Row],[Date]])</f>
        <v>2024</v>
      </c>
      <c r="E1218" s="1">
        <v>0.33819444444444446</v>
      </c>
      <c r="F12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8" t="str">
        <f>_xlfn.XLOOKUP(AllDataCorrected[[#This Row],[Location Name]], Locations[Location Name],Locations[Group As])</f>
        <v>Lower Lode</v>
      </c>
      <c r="H1218" t="e" vm="1">
        <f>_xlfn.XLOOKUP(AllDataCorrected[[#This Row],[Site Name]],LocationsKey[Site Name],LocationsKey[District])</f>
        <v>#VALUE!</v>
      </c>
      <c r="I1218" t="e" vm="1">
        <f>_xlfn.XLOOKUP(AllDataCorrected[[#This Row],[Site Name]],LocationsKey[Site Name],LocationsKey[Town])</f>
        <v>#VALUE!</v>
      </c>
      <c r="J1218" t="str">
        <f>_xlfn.XLOOKUP(AllDataCorrected[[#This Row],[Site Name]],LocationsKey[Site Name], LocationsKey[Waterway])</f>
        <v>Avon</v>
      </c>
      <c r="K1218" t="s">
        <v>592</v>
      </c>
      <c r="L1218">
        <f>_xlfn.XLOOKUP(AllDataCorrected[[#This Row],[Site Name]],Tables!$B$12:$B$78, Tables!C$12:C$78)</f>
        <v>51.984954782608689</v>
      </c>
      <c r="M1218">
        <f>_xlfn.XLOOKUP(AllDataCorrected[[#This Row],[Site Name]],Tables!$B$12:$B$78, Tables!D$12:D$78)</f>
        <v>-2.1744283478260868</v>
      </c>
      <c r="N1218" t="s">
        <v>29</v>
      </c>
      <c r="O1218">
        <v>1030</v>
      </c>
      <c r="P1218">
        <v>17.8</v>
      </c>
      <c r="Q1218">
        <v>10</v>
      </c>
      <c r="R12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8">
        <v>0.82</v>
      </c>
      <c r="T12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8">
        <v>0</v>
      </c>
    </row>
    <row r="1219" spans="1:22" x14ac:dyDescent="0.25">
      <c r="A1219" t="s">
        <v>1473</v>
      </c>
      <c r="B1219" s="2">
        <v>45502</v>
      </c>
      <c r="C1219" t="str" cm="1">
        <f t="array" ref="C12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9">
        <f>YEAR(AllDataCorrected[[#This Row],[Date]])</f>
        <v>2024</v>
      </c>
      <c r="E1219" s="1">
        <v>0.3611111111111111</v>
      </c>
      <c r="F12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9" t="str">
        <f>_xlfn.XLOOKUP(AllDataCorrected[[#This Row],[Location Name]], Locations[Location Name],Locations[Group As])</f>
        <v>Chipping Campden Sewage Works</v>
      </c>
      <c r="H1219" t="e" vm="23">
        <f>_xlfn.XLOOKUP(AllDataCorrected[[#This Row],[Site Name]],LocationsKey[Site Name],LocationsKey[District])</f>
        <v>#VALUE!</v>
      </c>
      <c r="I1219" t="e" vm="24">
        <f>_xlfn.XLOOKUP(AllDataCorrected[[#This Row],[Site Name]],LocationsKey[Site Name],LocationsKey[Town])</f>
        <v>#VALUE!</v>
      </c>
      <c r="J1219" t="str">
        <f>_xlfn.XLOOKUP(AllDataCorrected[[#This Row],[Site Name]],LocationsKey[Site Name], LocationsKey[Waterway])</f>
        <v>Cam Brook</v>
      </c>
      <c r="K1219" t="s">
        <v>1474</v>
      </c>
      <c r="L1219">
        <f>_xlfn.XLOOKUP(AllDataCorrected[[#This Row],[Site Name]],Tables!$B$12:$B$78, Tables!C$12:C$78)</f>
        <v>52.052216999999999</v>
      </c>
      <c r="M1219">
        <f>_xlfn.XLOOKUP(AllDataCorrected[[#This Row],[Site Name]],Tables!$B$12:$B$78, Tables!D$12:D$78)</f>
        <v>-1.7616225000000001</v>
      </c>
      <c r="N1219" t="s">
        <v>29</v>
      </c>
      <c r="O1219">
        <v>765</v>
      </c>
      <c r="P1219">
        <v>15.6</v>
      </c>
      <c r="Q1219">
        <v>5</v>
      </c>
      <c r="R12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9">
        <v>0.25</v>
      </c>
      <c r="T12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9">
        <v>0.15</v>
      </c>
    </row>
    <row r="1220" spans="1:22" x14ac:dyDescent="0.25">
      <c r="A1220" t="s">
        <v>1836</v>
      </c>
      <c r="B1220" s="2">
        <v>45509</v>
      </c>
      <c r="C1220" t="str" cm="1">
        <f t="array" ref="C12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0">
        <f>YEAR(AllDataCorrected[[#This Row],[Date]])</f>
        <v>2024</v>
      </c>
      <c r="E1220" s="1">
        <v>0.40625</v>
      </c>
      <c r="F12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0" t="str">
        <f>_xlfn.XLOOKUP(AllDataCorrected[[#This Row],[Location Name]], Locations[Location Name],Locations[Group As])</f>
        <v>Chipping Campden Sewage Works</v>
      </c>
      <c r="H1220" t="e" vm="23">
        <f>_xlfn.XLOOKUP(AllDataCorrected[[#This Row],[Site Name]],LocationsKey[Site Name],LocationsKey[District])</f>
        <v>#VALUE!</v>
      </c>
      <c r="I1220" t="e" vm="24">
        <f>_xlfn.XLOOKUP(AllDataCorrected[[#This Row],[Site Name]],LocationsKey[Site Name],LocationsKey[Town])</f>
        <v>#VALUE!</v>
      </c>
      <c r="J1220" t="str">
        <f>_xlfn.XLOOKUP(AllDataCorrected[[#This Row],[Site Name]],LocationsKey[Site Name], LocationsKey[Waterway])</f>
        <v>Cam Brook</v>
      </c>
      <c r="K1220" t="s">
        <v>1474</v>
      </c>
      <c r="L1220">
        <f>_xlfn.XLOOKUP(AllDataCorrected[[#This Row],[Site Name]],Tables!$B$12:$B$78, Tables!C$12:C$78)</f>
        <v>52.052216999999999</v>
      </c>
      <c r="M1220">
        <f>_xlfn.XLOOKUP(AllDataCorrected[[#This Row],[Site Name]],Tables!$B$12:$B$78, Tables!D$12:D$78)</f>
        <v>-1.7616225000000001</v>
      </c>
      <c r="N1220" t="s">
        <v>29</v>
      </c>
      <c r="O1220">
        <v>759</v>
      </c>
      <c r="P1220">
        <v>17</v>
      </c>
      <c r="Q1220">
        <v>5</v>
      </c>
      <c r="R12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0">
        <v>0.37</v>
      </c>
      <c r="T12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0">
        <v>0.23</v>
      </c>
    </row>
    <row r="1221" spans="1:22" x14ac:dyDescent="0.25">
      <c r="A1221" t="s">
        <v>1675</v>
      </c>
      <c r="B1221" s="2">
        <v>45530</v>
      </c>
      <c r="C1221" t="str" cm="1">
        <f t="array" ref="C12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1">
        <f>YEAR(AllDataCorrected[[#This Row],[Date]])</f>
        <v>2024</v>
      </c>
      <c r="E1221" s="1">
        <v>0.50069444444444444</v>
      </c>
      <c r="F12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1" t="str">
        <f>_xlfn.XLOOKUP(AllDataCorrected[[#This Row],[Location Name]], Locations[Location Name],Locations[Group As])</f>
        <v>Fell Mill Footbridge</v>
      </c>
      <c r="H1221" t="e" vm="2">
        <f>_xlfn.XLOOKUP(AllDataCorrected[[#This Row],[Site Name]],LocationsKey[Site Name],LocationsKey[District])</f>
        <v>#VALUE!</v>
      </c>
      <c r="I1221" t="e" vm="10">
        <f>_xlfn.XLOOKUP(AllDataCorrected[[#This Row],[Site Name]],LocationsKey[Site Name],LocationsKey[Town])</f>
        <v>#VALUE!</v>
      </c>
      <c r="J1221" t="str">
        <f>_xlfn.XLOOKUP(AllDataCorrected[[#This Row],[Site Name]],LocationsKey[Site Name], LocationsKey[Waterway])</f>
        <v>Stour</v>
      </c>
      <c r="K1221" t="s">
        <v>1852</v>
      </c>
      <c r="L1221">
        <f>_xlfn.XLOOKUP(AllDataCorrected[[#This Row],[Site Name]],Tables!$B$12:$B$78, Tables!C$12:C$78)</f>
        <v>52.067966827586183</v>
      </c>
      <c r="M1221">
        <f>_xlfn.XLOOKUP(AllDataCorrected[[#This Row],[Site Name]],Tables!$B$12:$B$78, Tables!D$12:D$78)</f>
        <v>-1.6118101379310343</v>
      </c>
      <c r="N1221" t="s">
        <v>29</v>
      </c>
      <c r="O1221">
        <v>675</v>
      </c>
      <c r="P1221">
        <v>15.8</v>
      </c>
      <c r="Q1221">
        <v>5</v>
      </c>
      <c r="R12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1">
        <v>0.52</v>
      </c>
      <c r="T12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1">
        <v>1.2</v>
      </c>
      <c r="V1221" t="s">
        <v>1875</v>
      </c>
    </row>
    <row r="1222" spans="1:22" x14ac:dyDescent="0.25">
      <c r="A1222" t="s">
        <v>1677</v>
      </c>
      <c r="B1222" s="2">
        <v>45531</v>
      </c>
      <c r="C1222" t="str" cm="1">
        <f t="array" ref="C12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2">
        <f>YEAR(AllDataCorrected[[#This Row],[Date]])</f>
        <v>2024</v>
      </c>
      <c r="E1222" s="1">
        <v>0.43958333333333333</v>
      </c>
      <c r="F122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2" t="str">
        <f>_xlfn.XLOOKUP(AllDataCorrected[[#This Row],[Location Name]], Locations[Location Name],Locations[Group As])</f>
        <v>Carrant Back Lane Beckford</v>
      </c>
      <c r="H1222" t="e" vm="1">
        <f>_xlfn.XLOOKUP(AllDataCorrected[[#This Row],[Site Name]],LocationsKey[Site Name],LocationsKey[District])</f>
        <v>#VALUE!</v>
      </c>
      <c r="I1222" t="str">
        <f>_xlfn.XLOOKUP(AllDataCorrected[[#This Row],[Site Name]],LocationsKey[Site Name],LocationsKey[Town])</f>
        <v>Beckford</v>
      </c>
      <c r="J1222" t="str">
        <f>_xlfn.XLOOKUP(AllDataCorrected[[#This Row],[Site Name]],LocationsKey[Site Name], LocationsKey[Waterway])</f>
        <v>Carrant</v>
      </c>
      <c r="K1222" t="s">
        <v>1490</v>
      </c>
      <c r="L1222">
        <f>_xlfn.XLOOKUP(AllDataCorrected[[#This Row],[Site Name]],Tables!$B$12:$B$78, Tables!C$12:C$78)</f>
        <v>52.017659444444448</v>
      </c>
      <c r="M1222">
        <f>_xlfn.XLOOKUP(AllDataCorrected[[#This Row],[Site Name]],Tables!$B$12:$B$78, Tables!D$12:D$78)</f>
        <v>-2.0390003333333335</v>
      </c>
      <c r="N1222" t="s">
        <v>66</v>
      </c>
      <c r="O1222">
        <v>785</v>
      </c>
      <c r="P1222">
        <v>16.8</v>
      </c>
      <c r="Q1222">
        <v>7</v>
      </c>
      <c r="R12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2">
        <v>0.22</v>
      </c>
      <c r="T12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2">
        <v>0.2</v>
      </c>
      <c r="V1222" t="s">
        <v>1876</v>
      </c>
    </row>
    <row r="1223" spans="1:22" x14ac:dyDescent="0.25">
      <c r="A1223" t="s">
        <v>1740</v>
      </c>
      <c r="B1223" s="2">
        <v>45516</v>
      </c>
      <c r="C1223" t="str" cm="1">
        <f t="array" ref="C12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3">
        <f>YEAR(AllDataCorrected[[#This Row],[Date]])</f>
        <v>2024</v>
      </c>
      <c r="E1223" s="1">
        <v>0.3576388888888889</v>
      </c>
      <c r="F12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3" t="str">
        <f>_xlfn.XLOOKUP(AllDataCorrected[[#This Row],[Location Name]], Locations[Location Name],Locations[Group As])</f>
        <v>Chipping Campden Sewage Works</v>
      </c>
      <c r="H1223" t="e" vm="23">
        <f>_xlfn.XLOOKUP(AllDataCorrected[[#This Row],[Site Name]],LocationsKey[Site Name],LocationsKey[District])</f>
        <v>#VALUE!</v>
      </c>
      <c r="I1223" t="e" vm="24">
        <f>_xlfn.XLOOKUP(AllDataCorrected[[#This Row],[Site Name]],LocationsKey[Site Name],LocationsKey[Town])</f>
        <v>#VALUE!</v>
      </c>
      <c r="J1223" t="str">
        <f>_xlfn.XLOOKUP(AllDataCorrected[[#This Row],[Site Name]],LocationsKey[Site Name], LocationsKey[Waterway])</f>
        <v>Cam Brook</v>
      </c>
      <c r="K1223" t="s">
        <v>1474</v>
      </c>
      <c r="L1223">
        <f>_xlfn.XLOOKUP(AllDataCorrected[[#This Row],[Site Name]],Tables!$B$12:$B$78, Tables!C$12:C$78)</f>
        <v>52.052216999999999</v>
      </c>
      <c r="M1223">
        <f>_xlfn.XLOOKUP(AllDataCorrected[[#This Row],[Site Name]],Tables!$B$12:$B$78, Tables!D$12:D$78)</f>
        <v>-1.7616225000000001</v>
      </c>
      <c r="N1223" t="s">
        <v>29</v>
      </c>
      <c r="O1223">
        <v>757</v>
      </c>
      <c r="P1223">
        <v>18.600000000000001</v>
      </c>
      <c r="Q1223">
        <v>5</v>
      </c>
      <c r="R122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3">
        <v>0.32</v>
      </c>
      <c r="T12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3">
        <v>0.23</v>
      </c>
    </row>
    <row r="1224" spans="1:22" x14ac:dyDescent="0.25">
      <c r="A1224" t="s">
        <v>1674</v>
      </c>
      <c r="B1224" s="2">
        <v>45532</v>
      </c>
      <c r="C1224" t="str" cm="1">
        <f t="array" ref="C12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4">
        <f>YEAR(AllDataCorrected[[#This Row],[Date]])</f>
        <v>2024</v>
      </c>
      <c r="E1224" s="1">
        <v>0.42777777777777776</v>
      </c>
      <c r="F12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4" t="str">
        <f>_xlfn.XLOOKUP(AllDataCorrected[[#This Row],[Location Name]], Locations[Location Name],Locations[Group As])</f>
        <v>Bredon Marina</v>
      </c>
      <c r="H1224" t="e" vm="1">
        <f>_xlfn.XLOOKUP(AllDataCorrected[[#This Row],[Site Name]],LocationsKey[Site Name],LocationsKey[District])</f>
        <v>#VALUE!</v>
      </c>
      <c r="I1224" t="e" vm="25">
        <f>_xlfn.XLOOKUP(AllDataCorrected[[#This Row],[Site Name]],LocationsKey[Site Name],LocationsKey[Town])</f>
        <v>#VALUE!</v>
      </c>
      <c r="J1224" t="str">
        <f>_xlfn.XLOOKUP(AllDataCorrected[[#This Row],[Site Name]],LocationsKey[Site Name], LocationsKey[Waterway])</f>
        <v>Avon</v>
      </c>
      <c r="K1224" t="s">
        <v>1649</v>
      </c>
      <c r="L1224">
        <f>_xlfn.XLOOKUP(AllDataCorrected[[#This Row],[Site Name]],Tables!$B$12:$B$78, Tables!C$12:C$78)</f>
        <v>52.032660333333332</v>
      </c>
      <c r="M1224">
        <f>_xlfn.XLOOKUP(AllDataCorrected[[#This Row],[Site Name]],Tables!$B$12:$B$78, Tables!D$12:D$78)</f>
        <v>-2.1157033333333337</v>
      </c>
      <c r="N1224" t="s">
        <v>29</v>
      </c>
      <c r="O1224">
        <v>1020</v>
      </c>
      <c r="P1224">
        <v>19.100000000000001</v>
      </c>
      <c r="Q1224">
        <v>5</v>
      </c>
      <c r="R12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4">
        <v>1.05</v>
      </c>
      <c r="T12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4">
        <v>0</v>
      </c>
    </row>
    <row r="1225" spans="1:22" x14ac:dyDescent="0.25">
      <c r="A1225" t="s">
        <v>1670</v>
      </c>
      <c r="B1225" s="2">
        <v>45533</v>
      </c>
      <c r="C1225" t="str" cm="1">
        <f t="array" ref="C12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5">
        <f>YEAR(AllDataCorrected[[#This Row],[Date]])</f>
        <v>2024</v>
      </c>
      <c r="E1225" s="1">
        <v>0.46875</v>
      </c>
      <c r="F12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5" t="str">
        <f>_xlfn.XLOOKUP(AllDataCorrected[[#This Row],[Location Name]], Locations[Location Name],Locations[Group As])</f>
        <v>Stour Willington</v>
      </c>
      <c r="H1225" t="e" vm="2">
        <f>_xlfn.XLOOKUP(AllDataCorrected[[#This Row],[Site Name]],LocationsKey[Site Name],LocationsKey[District])</f>
        <v>#VALUE!</v>
      </c>
      <c r="I1225" t="str">
        <f>_xlfn.XLOOKUP(AllDataCorrected[[#This Row],[Site Name]],LocationsKey[Site Name],LocationsKey[Town])</f>
        <v>Willington</v>
      </c>
      <c r="J1225" t="str">
        <f>_xlfn.XLOOKUP(AllDataCorrected[[#This Row],[Site Name]],LocationsKey[Site Name], LocationsKey[Waterway])</f>
        <v>Stour</v>
      </c>
      <c r="K1225" t="s">
        <v>517</v>
      </c>
      <c r="L1225">
        <f>_xlfn.XLOOKUP(AllDataCorrected[[#This Row],[Site Name]],Tables!$B$12:$B$78, Tables!C$12:C$78)</f>
        <v>52.053154375000005</v>
      </c>
      <c r="M1225">
        <f>_xlfn.XLOOKUP(AllDataCorrected[[#This Row],[Site Name]],Tables!$B$12:$B$78, Tables!D$12:D$78)</f>
        <v>-1.6191991562500001</v>
      </c>
      <c r="N1225" t="s">
        <v>23</v>
      </c>
      <c r="O1225">
        <v>645</v>
      </c>
      <c r="P1225">
        <v>16.399999999999999</v>
      </c>
      <c r="Q1225">
        <v>2</v>
      </c>
      <c r="R1225" t="str">
        <f>IF(AllDataCorrected[[#This Row],[Nitrate (PPM)]]&gt;2, "4. Very high (&gt;2ppm)", IF(AllDataCorrected[[#This Row],[Nitrate (PPM)]]&gt;1, "3. High (1-2ppm)", IF(AllDataCorrected[[#This Row],[Nitrate (PPM)]]&gt;0.5, "2. Some evidence (0.5-1ppm)", IF(AllDataCorrected[[#This Row],[Nitrate (PPM)]]&gt;=0, "1. No evidence (&lt;0.5ppm)"))))</f>
        <v>3. High (1-2ppm)</v>
      </c>
      <c r="S1225">
        <v>0.41</v>
      </c>
      <c r="T12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5">
        <v>0.5</v>
      </c>
    </row>
    <row r="1226" spans="1:22" x14ac:dyDescent="0.25">
      <c r="A1226" t="s">
        <v>1673</v>
      </c>
      <c r="B1226" s="2">
        <v>45533</v>
      </c>
      <c r="C1226" t="str" cm="1">
        <f t="array" ref="C12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6">
        <f>YEAR(AllDataCorrected[[#This Row],[Date]])</f>
        <v>2024</v>
      </c>
      <c r="E1226" s="1">
        <v>0.6166666666666667</v>
      </c>
      <c r="F12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6" t="str">
        <f>_xlfn.XLOOKUP(AllDataCorrected[[#This Row],[Location Name]], Locations[Location Name],Locations[Group As])</f>
        <v>Alveston Weir</v>
      </c>
      <c r="H1226" t="e" vm="2">
        <f>_xlfn.XLOOKUP(AllDataCorrected[[#This Row],[Site Name]],LocationsKey[Site Name],LocationsKey[District])</f>
        <v>#VALUE!</v>
      </c>
      <c r="I1226" t="e" vm="13">
        <f>_xlfn.XLOOKUP(AllDataCorrected[[#This Row],[Site Name]],LocationsKey[Site Name],LocationsKey[Town])</f>
        <v>#VALUE!</v>
      </c>
      <c r="J1226" t="str">
        <f>_xlfn.XLOOKUP(AllDataCorrected[[#This Row],[Site Name]],LocationsKey[Site Name], LocationsKey[Waterway])</f>
        <v>Avon</v>
      </c>
      <c r="K1226" t="s">
        <v>286</v>
      </c>
      <c r="L1226">
        <f>_xlfn.XLOOKUP(AllDataCorrected[[#This Row],[Site Name]],Tables!$B$12:$B$78, Tables!C$12:C$78)</f>
        <v>52.212366690476216</v>
      </c>
      <c r="M1226">
        <f>_xlfn.XLOOKUP(AllDataCorrected[[#This Row],[Site Name]],Tables!$B$12:$B$78, Tables!D$12:D$78)</f>
        <v>-1.6602567619047619</v>
      </c>
      <c r="N1226" t="s">
        <v>29</v>
      </c>
      <c r="O1226">
        <v>713</v>
      </c>
      <c r="P1226">
        <v>19.3</v>
      </c>
      <c r="Q1226">
        <v>10</v>
      </c>
      <c r="R122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6">
        <v>0.34</v>
      </c>
      <c r="T12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6">
        <v>-0.8</v>
      </c>
      <c r="V1226" t="s">
        <v>1874</v>
      </c>
    </row>
    <row r="1227" spans="1:22" x14ac:dyDescent="0.25">
      <c r="A1227" t="s">
        <v>1671</v>
      </c>
      <c r="B1227" s="2">
        <v>45533</v>
      </c>
      <c r="C1227" t="str" cm="1">
        <f t="array" ref="C12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7">
        <f>YEAR(AllDataCorrected[[#This Row],[Date]])</f>
        <v>2024</v>
      </c>
      <c r="E1227" s="1">
        <v>0.66666666666666663</v>
      </c>
      <c r="F12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7" t="str">
        <f>_xlfn.XLOOKUP(AllDataCorrected[[#This Row],[Location Name]], Locations[Location Name],Locations[Group As])</f>
        <v>Swiffen Bank</v>
      </c>
      <c r="H1227" t="e" vm="2">
        <f>_xlfn.XLOOKUP(AllDataCorrected[[#This Row],[Site Name]],LocationsKey[Site Name],LocationsKey[District])</f>
        <v>#VALUE!</v>
      </c>
      <c r="I1227" t="e" vm="13">
        <f>_xlfn.XLOOKUP(AllDataCorrected[[#This Row],[Site Name]],LocationsKey[Site Name],LocationsKey[Town])</f>
        <v>#VALUE!</v>
      </c>
      <c r="J1227" t="str">
        <f>_xlfn.XLOOKUP(AllDataCorrected[[#This Row],[Site Name]],LocationsKey[Site Name], LocationsKey[Waterway])</f>
        <v>Avon</v>
      </c>
      <c r="K1227" t="s">
        <v>1249</v>
      </c>
      <c r="L1227">
        <f>_xlfn.XLOOKUP(AllDataCorrected[[#This Row],[Site Name]],Tables!$B$12:$B$78, Tables!C$12:C$78)</f>
        <v>52.206446825000015</v>
      </c>
      <c r="M1227">
        <f>_xlfn.XLOOKUP(AllDataCorrected[[#This Row],[Site Name]],Tables!$B$12:$B$78, Tables!D$12:D$78)</f>
        <v>-1.6541684000000003</v>
      </c>
      <c r="N1227" t="s">
        <v>29</v>
      </c>
      <c r="O1227">
        <v>698</v>
      </c>
      <c r="P1227">
        <v>19.600000000000001</v>
      </c>
      <c r="Q1227">
        <v>10</v>
      </c>
      <c r="R12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7">
        <v>0.39</v>
      </c>
      <c r="T12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7">
        <v>-1</v>
      </c>
      <c r="V1227" t="s">
        <v>1873</v>
      </c>
    </row>
    <row r="1228" spans="1:22" x14ac:dyDescent="0.25">
      <c r="A1228" t="s">
        <v>1672</v>
      </c>
      <c r="B1228" s="2">
        <v>45534</v>
      </c>
      <c r="C1228" t="str" cm="1">
        <f t="array" ref="C12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8">
        <f>YEAR(AllDataCorrected[[#This Row],[Date]])</f>
        <v>2024</v>
      </c>
      <c r="E1228" s="1">
        <v>0.41111111111111109</v>
      </c>
      <c r="F12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8" t="str">
        <f>_xlfn.XLOOKUP(AllDataCorrected[[#This Row],[Location Name]], Locations[Location Name],Locations[Group As])</f>
        <v>Carrant M5 Bridge</v>
      </c>
      <c r="H1228" t="e" vm="1">
        <f>_xlfn.XLOOKUP(AllDataCorrected[[#This Row],[Site Name]],LocationsKey[Site Name],LocationsKey[District])</f>
        <v>#VALUE!</v>
      </c>
      <c r="I1228" t="e" vm="1">
        <f>_xlfn.XLOOKUP(AllDataCorrected[[#This Row],[Site Name]],LocationsKey[Site Name],LocationsKey[Town])</f>
        <v>#VALUE!</v>
      </c>
      <c r="J1228" t="str">
        <f>_xlfn.XLOOKUP(AllDataCorrected[[#This Row],[Site Name]],LocationsKey[Site Name], LocationsKey[Waterway])</f>
        <v>Carrant</v>
      </c>
      <c r="K1228" t="s">
        <v>960</v>
      </c>
      <c r="L1228">
        <f>_xlfn.XLOOKUP(AllDataCorrected[[#This Row],[Site Name]],Tables!$B$12:$B$78, Tables!C$12:C$78)</f>
        <v>52.011600000000001</v>
      </c>
      <c r="M1228">
        <f>_xlfn.XLOOKUP(AllDataCorrected[[#This Row],[Site Name]],Tables!$B$12:$B$78, Tables!D$12:D$78)</f>
        <v>-2.1206</v>
      </c>
      <c r="N1228" t="s">
        <v>23</v>
      </c>
      <c r="O1228">
        <v>857</v>
      </c>
      <c r="P1228">
        <v>15.7</v>
      </c>
      <c r="Q1228">
        <v>5</v>
      </c>
      <c r="R12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8">
        <v>1.35</v>
      </c>
      <c r="T12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8">
        <v>0</v>
      </c>
    </row>
    <row r="1229" spans="1:22" x14ac:dyDescent="0.25">
      <c r="A1229" t="s">
        <v>1653</v>
      </c>
      <c r="B1229" s="2">
        <v>45535</v>
      </c>
      <c r="C1229" t="str" cm="1">
        <f t="array" ref="C12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9">
        <f>YEAR(AllDataCorrected[[#This Row],[Date]])</f>
        <v>2024</v>
      </c>
      <c r="E1229" s="1">
        <v>0.5</v>
      </c>
      <c r="F12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9" t="str">
        <f>_xlfn.XLOOKUP(AllDataCorrected[[#This Row],[Location Name]], Locations[Location Name],Locations[Group As])</f>
        <v>Carrant Bredon Rd</v>
      </c>
      <c r="H1229" t="e" vm="1">
        <f>_xlfn.XLOOKUP(AllDataCorrected[[#This Row],[Site Name]],LocationsKey[Site Name],LocationsKey[District])</f>
        <v>#VALUE!</v>
      </c>
      <c r="I1229" t="e" vm="1">
        <f>_xlfn.XLOOKUP(AllDataCorrected[[#This Row],[Site Name]],LocationsKey[Site Name],LocationsKey[Town])</f>
        <v>#VALUE!</v>
      </c>
      <c r="J1229" t="str">
        <f>_xlfn.XLOOKUP(AllDataCorrected[[#This Row],[Site Name]],LocationsKey[Site Name], LocationsKey[Waterway])</f>
        <v>Carrant</v>
      </c>
      <c r="K1229" t="s">
        <v>600</v>
      </c>
      <c r="L1229">
        <f>_xlfn.XLOOKUP(AllDataCorrected[[#This Row],[Site Name]],Tables!$B$12:$B$78, Tables!C$12:C$78)</f>
        <v>51.996416567567572</v>
      </c>
      <c r="M1229">
        <f>_xlfn.XLOOKUP(AllDataCorrected[[#This Row],[Site Name]],Tables!$B$12:$B$78, Tables!D$12:D$78)</f>
        <v>-2.1556626756756749</v>
      </c>
      <c r="N1229" t="s">
        <v>23</v>
      </c>
      <c r="O1229">
        <v>734</v>
      </c>
      <c r="P1229">
        <v>16.3</v>
      </c>
      <c r="Q1229">
        <v>5</v>
      </c>
      <c r="R12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9">
        <v>0.45</v>
      </c>
      <c r="T12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9">
        <v>0</v>
      </c>
    </row>
    <row r="1230" spans="1:22" x14ac:dyDescent="0.25">
      <c r="A1230" t="s">
        <v>1665</v>
      </c>
      <c r="B1230" s="2">
        <v>45535</v>
      </c>
      <c r="C1230" t="str" cm="1">
        <f t="array" ref="C12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0">
        <f>YEAR(AllDataCorrected[[#This Row],[Date]])</f>
        <v>2024</v>
      </c>
      <c r="E1230" s="1">
        <v>0.75208333333333333</v>
      </c>
      <c r="F123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0" t="str">
        <f>_xlfn.XLOOKUP(AllDataCorrected[[#This Row],[Location Name]], Locations[Location Name],Locations[Group As])</f>
        <v>Site 1  :  Middle Street</v>
      </c>
      <c r="H1230" t="e" vm="2">
        <f>_xlfn.XLOOKUP(AllDataCorrected[[#This Row],[Site Name]],LocationsKey[Site Name],LocationsKey[District])</f>
        <v>#VALUE!</v>
      </c>
      <c r="I1230" t="e" vm="11">
        <f>_xlfn.XLOOKUP(AllDataCorrected[[#This Row],[Site Name]],LocationsKey[Site Name],LocationsKey[Town])</f>
        <v>#VALUE!</v>
      </c>
      <c r="J1230" t="str">
        <f>_xlfn.XLOOKUP(AllDataCorrected[[#This Row],[Site Name]],LocationsKey[Site Name], LocationsKey[Waterway])</f>
        <v>Fosseway Brook</v>
      </c>
      <c r="K1230" t="s">
        <v>1850</v>
      </c>
      <c r="L1230">
        <f>_xlfn.XLOOKUP(AllDataCorrected[[#This Row],[Site Name]],Tables!$B$12:$B$78, Tables!C$12:C$78)</f>
        <v>52.090077380952394</v>
      </c>
      <c r="M1230">
        <f>_xlfn.XLOOKUP(AllDataCorrected[[#This Row],[Site Name]],Tables!$B$12:$B$78, Tables!D$12:D$78)</f>
        <v>-1.6926051666666673</v>
      </c>
      <c r="N1230" t="s">
        <v>66</v>
      </c>
      <c r="O1230">
        <v>629</v>
      </c>
      <c r="P1230">
        <v>17.399999999999999</v>
      </c>
      <c r="Q1230">
        <v>2</v>
      </c>
      <c r="R1230" t="str">
        <f>IF(AllDataCorrected[[#This Row],[Nitrate (PPM)]]&gt;2, "4. Very high (&gt;2ppm)", IF(AllDataCorrected[[#This Row],[Nitrate (PPM)]]&gt;1, "3. High (1-2ppm)", IF(AllDataCorrected[[#This Row],[Nitrate (PPM)]]&gt;0.5, "2. Some evidence (0.5-1ppm)", IF(AllDataCorrected[[#This Row],[Nitrate (PPM)]]&gt;=0, "1. No evidence (&lt;0.5ppm)"))))</f>
        <v>3. High (1-2ppm)</v>
      </c>
      <c r="S1230">
        <v>0.87</v>
      </c>
      <c r="T12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0">
        <v>0</v>
      </c>
      <c r="V1230" t="s">
        <v>1872</v>
      </c>
    </row>
    <row r="1231" spans="1:22" x14ac:dyDescent="0.25">
      <c r="A1231" t="s">
        <v>1664</v>
      </c>
      <c r="B1231" s="2">
        <v>45535</v>
      </c>
      <c r="C1231" t="str" cm="1">
        <f t="array" ref="C12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1">
        <f>YEAR(AllDataCorrected[[#This Row],[Date]])</f>
        <v>2024</v>
      </c>
      <c r="E1231" s="1">
        <v>0.76249999999999996</v>
      </c>
      <c r="F12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1" t="str">
        <f>_xlfn.XLOOKUP(AllDataCorrected[[#This Row],[Location Name]], Locations[Location Name],Locations[Group As])</f>
        <v>Site 2  :  Cross Leys culvert</v>
      </c>
      <c r="H1231" t="e" vm="2">
        <f>_xlfn.XLOOKUP(AllDataCorrected[[#This Row],[Site Name]],LocationsKey[Site Name],LocationsKey[District])</f>
        <v>#VALUE!</v>
      </c>
      <c r="I1231" t="e" vm="11">
        <f>_xlfn.XLOOKUP(AllDataCorrected[[#This Row],[Site Name]],LocationsKey[Site Name],LocationsKey[Town])</f>
        <v>#VALUE!</v>
      </c>
      <c r="J1231" t="str">
        <f>_xlfn.XLOOKUP(AllDataCorrected[[#This Row],[Site Name]],LocationsKey[Site Name], LocationsKey[Waterway])</f>
        <v>Fosseway Brook</v>
      </c>
      <c r="K1231" t="s">
        <v>1851</v>
      </c>
      <c r="L1231">
        <f>_xlfn.XLOOKUP(AllDataCorrected[[#This Row],[Site Name]],Tables!$B$12:$B$78, Tables!C$12:C$78)</f>
        <v>52.092990199999988</v>
      </c>
      <c r="M1231">
        <f>_xlfn.XLOOKUP(AllDataCorrected[[#This Row],[Site Name]],Tables!$B$12:$B$78, Tables!D$12:D$78)</f>
        <v>-1.6862810999999998</v>
      </c>
      <c r="N1231" t="s">
        <v>66</v>
      </c>
      <c r="O1231">
        <v>885</v>
      </c>
      <c r="P1231">
        <v>15.8</v>
      </c>
      <c r="Q1231">
        <v>0</v>
      </c>
      <c r="R123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31">
        <v>2.27</v>
      </c>
      <c r="T12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1">
        <v>0</v>
      </c>
      <c r="V1231" t="s">
        <v>1871</v>
      </c>
    </row>
    <row r="1232" spans="1:22" x14ac:dyDescent="0.25">
      <c r="A1232" t="s">
        <v>1663</v>
      </c>
      <c r="B1232" s="2">
        <v>45535</v>
      </c>
      <c r="C1232" t="str" cm="1">
        <f t="array" ref="C12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2">
        <f>YEAR(AllDataCorrected[[#This Row],[Date]])</f>
        <v>2024</v>
      </c>
      <c r="E1232" s="1">
        <v>0.76666666666666672</v>
      </c>
      <c r="F123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2" t="str">
        <f>_xlfn.XLOOKUP(AllDataCorrected[[#This Row],[Location Name]], Locations[Location Name],Locations[Group As])</f>
        <v>Site 3  :  Severn Trent Water processing plant outflow</v>
      </c>
      <c r="H1232" t="e" vm="2">
        <f>_xlfn.XLOOKUP(AllDataCorrected[[#This Row],[Site Name]],LocationsKey[Site Name],LocationsKey[District])</f>
        <v>#VALUE!</v>
      </c>
      <c r="I1232" t="e" vm="11">
        <f>_xlfn.XLOOKUP(AllDataCorrected[[#This Row],[Site Name]],LocationsKey[Site Name],LocationsKey[Town])</f>
        <v>#VALUE!</v>
      </c>
      <c r="J1232" t="str">
        <f>_xlfn.XLOOKUP(AllDataCorrected[[#This Row],[Site Name]],LocationsKey[Site Name], LocationsKey[Waterway])</f>
        <v>Fosseway Brook</v>
      </c>
      <c r="K1232" t="s">
        <v>1849</v>
      </c>
      <c r="L1232">
        <f>_xlfn.XLOOKUP(AllDataCorrected[[#This Row],[Site Name]],Tables!$B$12:$B$78, Tables!C$12:C$78)</f>
        <v>52.094341024390218</v>
      </c>
      <c r="M1232">
        <f>_xlfn.XLOOKUP(AllDataCorrected[[#This Row],[Site Name]],Tables!$B$12:$B$78, Tables!D$12:D$78)</f>
        <v>-1.6731015853658531</v>
      </c>
      <c r="N1232" t="s">
        <v>29</v>
      </c>
      <c r="O1232">
        <v>1002</v>
      </c>
      <c r="P1232">
        <v>17.5</v>
      </c>
      <c r="Q1232">
        <v>10</v>
      </c>
      <c r="R12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2">
        <v>2.5</v>
      </c>
      <c r="T12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2">
        <v>0.25</v>
      </c>
      <c r="V1232" t="s">
        <v>1869</v>
      </c>
    </row>
    <row r="1233" spans="1:22" x14ac:dyDescent="0.25">
      <c r="A1233" t="s">
        <v>1660</v>
      </c>
      <c r="B1233" s="2">
        <v>45535</v>
      </c>
      <c r="C1233" t="str" cm="1">
        <f t="array" ref="C12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3">
        <f>YEAR(AllDataCorrected[[#This Row],[Date]])</f>
        <v>2024</v>
      </c>
      <c r="E1233" s="1">
        <v>0.80486111111111114</v>
      </c>
      <c r="F123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3" t="str">
        <f>_xlfn.XLOOKUP(AllDataCorrected[[#This Row],[Location Name]], Locations[Location Name],Locations[Group As])</f>
        <v>Abbey Mill</v>
      </c>
      <c r="H1233" t="e" vm="1">
        <f>_xlfn.XLOOKUP(AllDataCorrected[[#This Row],[Site Name]],LocationsKey[Site Name],LocationsKey[District])</f>
        <v>#VALUE!</v>
      </c>
      <c r="I1233" t="e" vm="1">
        <f>_xlfn.XLOOKUP(AllDataCorrected[[#This Row],[Site Name]],LocationsKey[Site Name],LocationsKey[Town])</f>
        <v>#VALUE!</v>
      </c>
      <c r="J1233" t="str">
        <f>_xlfn.XLOOKUP(AllDataCorrected[[#This Row],[Site Name]],LocationsKey[Site Name], LocationsKey[Waterway])</f>
        <v>Avon</v>
      </c>
      <c r="K1233" t="s">
        <v>25</v>
      </c>
      <c r="L1233">
        <f>_xlfn.XLOOKUP(AllDataCorrected[[#This Row],[Site Name]],Tables!$B$12:$B$78, Tables!C$12:C$78)</f>
        <v>51.991389555555564</v>
      </c>
      <c r="M1233">
        <f>_xlfn.XLOOKUP(AllDataCorrected[[#This Row],[Site Name]],Tables!$B$12:$B$78, Tables!D$12:D$78)</f>
        <v>-2.1620794000000005</v>
      </c>
      <c r="N1233" t="s">
        <v>23</v>
      </c>
      <c r="O1233">
        <v>1060</v>
      </c>
      <c r="P1233">
        <v>18.399999999999999</v>
      </c>
      <c r="Q1233">
        <v>8</v>
      </c>
      <c r="R12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3">
        <v>0.81</v>
      </c>
      <c r="T12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3">
        <v>0.4</v>
      </c>
    </row>
    <row r="1234" spans="1:22" x14ac:dyDescent="0.25">
      <c r="A1234" t="s">
        <v>1659</v>
      </c>
      <c r="B1234" s="2">
        <v>45536</v>
      </c>
      <c r="C1234" t="str" cm="1">
        <f t="array" ref="C12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4">
        <f>YEAR(AllDataCorrected[[#This Row],[Date]])</f>
        <v>2024</v>
      </c>
      <c r="E1234" s="1">
        <v>0.42430555555555555</v>
      </c>
      <c r="F12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4" t="str">
        <f>_xlfn.XLOOKUP(AllDataCorrected[[#This Row],[Location Name]], Locations[Location Name],Locations[Group As])</f>
        <v>Lower Lode</v>
      </c>
      <c r="H1234" t="e" vm="1">
        <f>_xlfn.XLOOKUP(AllDataCorrected[[#This Row],[Site Name]],LocationsKey[Site Name],LocationsKey[District])</f>
        <v>#VALUE!</v>
      </c>
      <c r="I1234" t="e" vm="1">
        <f>_xlfn.XLOOKUP(AllDataCorrected[[#This Row],[Site Name]],LocationsKey[Site Name],LocationsKey[Town])</f>
        <v>#VALUE!</v>
      </c>
      <c r="J1234" t="str">
        <f>_xlfn.XLOOKUP(AllDataCorrected[[#This Row],[Site Name]],LocationsKey[Site Name], LocationsKey[Waterway])</f>
        <v>Avon</v>
      </c>
      <c r="K1234" t="s">
        <v>592</v>
      </c>
      <c r="L1234">
        <f>_xlfn.XLOOKUP(AllDataCorrected[[#This Row],[Site Name]],Tables!$B$12:$B$78, Tables!C$12:C$78)</f>
        <v>51.984954782608689</v>
      </c>
      <c r="M1234">
        <f>_xlfn.XLOOKUP(AllDataCorrected[[#This Row],[Site Name]],Tables!$B$12:$B$78, Tables!D$12:D$78)</f>
        <v>-2.1744283478260868</v>
      </c>
      <c r="N1234" t="s">
        <v>29</v>
      </c>
      <c r="O1234">
        <v>1020</v>
      </c>
      <c r="P1234">
        <v>19.5</v>
      </c>
      <c r="Q1234">
        <v>10</v>
      </c>
      <c r="R12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4">
        <v>1.04</v>
      </c>
      <c r="T12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4">
        <v>0</v>
      </c>
    </row>
    <row r="1235" spans="1:22" x14ac:dyDescent="0.25">
      <c r="A1235" t="s">
        <v>1719</v>
      </c>
      <c r="B1235" s="2">
        <v>45523</v>
      </c>
      <c r="C1235" t="str" cm="1">
        <f t="array" ref="C12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5">
        <f>YEAR(AllDataCorrected[[#This Row],[Date]])</f>
        <v>2024</v>
      </c>
      <c r="E1235" s="1">
        <v>0.33333333333333331</v>
      </c>
      <c r="F12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5" t="str">
        <f>_xlfn.XLOOKUP(AllDataCorrected[[#This Row],[Location Name]], Locations[Location Name],Locations[Group As])</f>
        <v>Chipping Campden Sewage Works</v>
      </c>
      <c r="H1235" t="e" vm="23">
        <f>_xlfn.XLOOKUP(AllDataCorrected[[#This Row],[Site Name]],LocationsKey[Site Name],LocationsKey[District])</f>
        <v>#VALUE!</v>
      </c>
      <c r="I1235" t="e" vm="24">
        <f>_xlfn.XLOOKUP(AllDataCorrected[[#This Row],[Site Name]],LocationsKey[Site Name],LocationsKey[Town])</f>
        <v>#VALUE!</v>
      </c>
      <c r="J1235" t="str">
        <f>_xlfn.XLOOKUP(AllDataCorrected[[#This Row],[Site Name]],LocationsKey[Site Name], LocationsKey[Waterway])</f>
        <v>Cam Brook</v>
      </c>
      <c r="K1235" t="s">
        <v>1474</v>
      </c>
      <c r="L1235">
        <f>_xlfn.XLOOKUP(AllDataCorrected[[#This Row],[Site Name]],Tables!$B$12:$B$78, Tables!C$12:C$78)</f>
        <v>52.052216999999999</v>
      </c>
      <c r="M1235">
        <f>_xlfn.XLOOKUP(AllDataCorrected[[#This Row],[Site Name]],Tables!$B$12:$B$78, Tables!D$12:D$78)</f>
        <v>-1.7616225000000001</v>
      </c>
      <c r="N1235" t="s">
        <v>29</v>
      </c>
      <c r="O1235">
        <v>745</v>
      </c>
      <c r="P1235">
        <v>14.2</v>
      </c>
      <c r="Q1235">
        <v>5</v>
      </c>
      <c r="R12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5">
        <v>0.24</v>
      </c>
      <c r="T12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5">
        <v>0.18</v>
      </c>
    </row>
    <row r="1236" spans="1:22" x14ac:dyDescent="0.25">
      <c r="A1236" t="s">
        <v>1681</v>
      </c>
      <c r="B1236" s="2">
        <v>45530</v>
      </c>
      <c r="C1236" t="str" cm="1">
        <f t="array" ref="C12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6">
        <f>YEAR(AllDataCorrected[[#This Row],[Date]])</f>
        <v>2024</v>
      </c>
      <c r="E1236" s="1">
        <v>0.36458333333333331</v>
      </c>
      <c r="F12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6" t="str">
        <f>_xlfn.XLOOKUP(AllDataCorrected[[#This Row],[Location Name]], Locations[Location Name],Locations[Group As])</f>
        <v>Chipping Campden Sewage Works</v>
      </c>
      <c r="H1236" t="e" vm="23">
        <f>_xlfn.XLOOKUP(AllDataCorrected[[#This Row],[Site Name]],LocationsKey[Site Name],LocationsKey[District])</f>
        <v>#VALUE!</v>
      </c>
      <c r="I1236" t="e" vm="24">
        <f>_xlfn.XLOOKUP(AllDataCorrected[[#This Row],[Site Name]],LocationsKey[Site Name],LocationsKey[Town])</f>
        <v>#VALUE!</v>
      </c>
      <c r="J1236" t="str">
        <f>_xlfn.XLOOKUP(AllDataCorrected[[#This Row],[Site Name]],LocationsKey[Site Name], LocationsKey[Waterway])</f>
        <v>Cam Brook</v>
      </c>
      <c r="K1236" t="s">
        <v>1474</v>
      </c>
      <c r="L1236">
        <f>_xlfn.XLOOKUP(AllDataCorrected[[#This Row],[Site Name]],Tables!$B$12:$B$78, Tables!C$12:C$78)</f>
        <v>52.052216999999999</v>
      </c>
      <c r="M1236">
        <f>_xlfn.XLOOKUP(AllDataCorrected[[#This Row],[Site Name]],Tables!$B$12:$B$78, Tables!D$12:D$78)</f>
        <v>-1.7616225000000001</v>
      </c>
      <c r="N1236" t="s">
        <v>29</v>
      </c>
      <c r="O1236">
        <v>727</v>
      </c>
      <c r="P1236">
        <v>15.8</v>
      </c>
      <c r="Q1236">
        <v>5</v>
      </c>
      <c r="R12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6">
        <v>0.26</v>
      </c>
      <c r="T12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6">
        <v>0.23</v>
      </c>
    </row>
    <row r="1237" spans="1:22" x14ac:dyDescent="0.25">
      <c r="A1237" t="s">
        <v>1655</v>
      </c>
      <c r="B1237" s="2">
        <v>45537</v>
      </c>
      <c r="C1237" t="str" cm="1">
        <f t="array" ref="C12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7">
        <f>YEAR(AllDataCorrected[[#This Row],[Date]])</f>
        <v>2024</v>
      </c>
      <c r="E1237" s="1">
        <v>0.34722222222222221</v>
      </c>
      <c r="F12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7" t="str">
        <f>_xlfn.XLOOKUP(AllDataCorrected[[#This Row],[Location Name]], Locations[Location Name],Locations[Group As])</f>
        <v>Chipping Campden Sewage Works</v>
      </c>
      <c r="H1237" t="e" vm="23">
        <f>_xlfn.XLOOKUP(AllDataCorrected[[#This Row],[Site Name]],LocationsKey[Site Name],LocationsKey[District])</f>
        <v>#VALUE!</v>
      </c>
      <c r="I1237" t="e" vm="24">
        <f>_xlfn.XLOOKUP(AllDataCorrected[[#This Row],[Site Name]],LocationsKey[Site Name],LocationsKey[Town])</f>
        <v>#VALUE!</v>
      </c>
      <c r="J1237" t="str">
        <f>_xlfn.XLOOKUP(AllDataCorrected[[#This Row],[Site Name]],LocationsKey[Site Name], LocationsKey[Waterway])</f>
        <v>Cam Brook</v>
      </c>
      <c r="K1237" t="s">
        <v>1474</v>
      </c>
      <c r="L1237">
        <f>_xlfn.XLOOKUP(AllDataCorrected[[#This Row],[Site Name]],Tables!$B$12:$B$78, Tables!C$12:C$78)</f>
        <v>52.052216999999999</v>
      </c>
      <c r="M1237">
        <f>_xlfn.XLOOKUP(AllDataCorrected[[#This Row],[Site Name]],Tables!$B$12:$B$78, Tables!D$12:D$78)</f>
        <v>-1.7616225000000001</v>
      </c>
      <c r="N1237" t="s">
        <v>29</v>
      </c>
      <c r="O1237">
        <v>792</v>
      </c>
      <c r="P1237">
        <v>17.2</v>
      </c>
      <c r="Q1237">
        <v>2</v>
      </c>
      <c r="R1237" t="str">
        <f>IF(AllDataCorrected[[#This Row],[Nitrate (PPM)]]&gt;2, "4. Very high (&gt;2ppm)", IF(AllDataCorrected[[#This Row],[Nitrate (PPM)]]&gt;1, "3. High (1-2ppm)", IF(AllDataCorrected[[#This Row],[Nitrate (PPM)]]&gt;0.5, "2. Some evidence (0.5-1ppm)", IF(AllDataCorrected[[#This Row],[Nitrate (PPM)]]&gt;=0, "1. No evidence (&lt;0.5ppm)"))))</f>
        <v>3. High (1-2ppm)</v>
      </c>
      <c r="S1237">
        <v>0.26</v>
      </c>
      <c r="T12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7">
        <v>0.23</v>
      </c>
      <c r="V1237" t="s">
        <v>1868</v>
      </c>
    </row>
    <row r="1238" spans="1:22" x14ac:dyDescent="0.25">
      <c r="A1238" t="s">
        <v>1654</v>
      </c>
      <c r="B1238" s="2">
        <v>45537</v>
      </c>
      <c r="C1238" t="str" cm="1">
        <f t="array" ref="C12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8">
        <f>YEAR(AllDataCorrected[[#This Row],[Date]])</f>
        <v>2024</v>
      </c>
      <c r="E1238" s="1">
        <v>0.70833333333333337</v>
      </c>
      <c r="F12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38" t="str">
        <f>_xlfn.XLOOKUP(AllDataCorrected[[#This Row],[Location Name]], Locations[Location Name],Locations[Group As])</f>
        <v>Fell Mill Footbridge</v>
      </c>
      <c r="H1238" t="e" vm="2">
        <f>_xlfn.XLOOKUP(AllDataCorrected[[#This Row],[Site Name]],LocationsKey[Site Name],LocationsKey[District])</f>
        <v>#VALUE!</v>
      </c>
      <c r="I1238" t="e" vm="10">
        <f>_xlfn.XLOOKUP(AllDataCorrected[[#This Row],[Site Name]],LocationsKey[Site Name],LocationsKey[Town])</f>
        <v>#VALUE!</v>
      </c>
      <c r="J1238" t="str">
        <f>_xlfn.XLOOKUP(AllDataCorrected[[#This Row],[Site Name]],LocationsKey[Site Name], LocationsKey[Waterway])</f>
        <v>Stour</v>
      </c>
      <c r="K1238" t="s">
        <v>1848</v>
      </c>
      <c r="L1238">
        <f>_xlfn.XLOOKUP(AllDataCorrected[[#This Row],[Site Name]],Tables!$B$12:$B$78, Tables!C$12:C$78)</f>
        <v>52.067966827586183</v>
      </c>
      <c r="M1238">
        <f>_xlfn.XLOOKUP(AllDataCorrected[[#This Row],[Site Name]],Tables!$B$12:$B$78, Tables!D$12:D$78)</f>
        <v>-1.6118101379310343</v>
      </c>
      <c r="N1238" t="s">
        <v>29</v>
      </c>
      <c r="O1238">
        <v>655</v>
      </c>
      <c r="P1238">
        <v>18.5</v>
      </c>
      <c r="Q1238">
        <v>5</v>
      </c>
      <c r="R12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8">
        <v>0.49</v>
      </c>
      <c r="T12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8">
        <v>0.9</v>
      </c>
      <c r="V1238" t="s">
        <v>1867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L S t a t e   x m l n s : x s d = " h t t p : / / w w w . w 3 . o r g / 2 0 0 1 / X M L S c h e m a "   x m l n s : x s i = " h t t p : / / w w w . w 3 . o r g / 2 0 0 1 / X M L S c h e m a - i n s t a n c e "   x m l n s = " h t t p : / / m i c r o s o f t . d a t a . v i s u a l i z a t i o n . C l i e n t . E x c e l . L S t a t e / 1 . 0 " > < c g > H 4 s I A A A A A A A E A N 1 b 3 V L j N h h 9 F U 9 m 9 g 4 S S b Y k e w f Y g b R s m d I d Z m F L b 0 0 s s A f H o r Z D l r 5 a L / p I f Y V + j v 8 t a J U E Z + I O F 0 w i O 9 + x j 8 / 3 K / / 9 5 1 9 H n 7 7 P Q + N Z x E k g o + M R H q O R I a K Z 9 I L o 4 X i 0 S O 8 P 7 d G n k 6 M z + H j p p p c y m r o z X x h w U p R 8 / J 5 4 x y M / T Z 8 + T i b L 5 X K 8 N M c y f p g Q h P D k t 1 8 u r + H I u T u q D g 7 + + + D D I E p S N 5 q J 0 c n R R Z K f W Z 0 1 D 2 a x T O R 9 O v b c 1 B 0 / B 8 n C D Y M / 3 B S g j x + E N L 1 J h h / O N B 6 P R 5 9 + X 4 j 4 5 f h K y K d Q p D K C 7 3 9 1 w 4 U w / N n x K I 0 X m Y n P Q n 4 V i Q w X 2 U 8 k n c 9 G m B 6 P K B l j i k 3 k O H x k h H C H D s k Y O c g y b Q Y 3 C g 6 4 k k + L 0 E 2 F d x W 6 K 9 j n M p 6 7 K X x x 6 n m x S J K T C s G B c S v j m U h S u N t + E I s D 4 1 s U w I H G z 3 B 3 P T k / m i j n H h U / c h 6 I 0 A O A S R r D s c b 3 J P g Y B W F x H c a k X K h t H U 3 y Q 6 u V t m l l + c f o I X Q j r / v 9 2 5 a 6 0 E t z k w 7 i S e s e n x y 1 P 8 M l T V a s w P + L N n E 3 Y v k o k r t F / L I h c 3 j s O M S i F j U r 5 j D l l D N k 6 1 J X Y z g w P o d y 0 S 9 5 t b U u D S c d 4 8 r 6 / t E 3 9 R f x z P 9 A 0 C W 4 E 3 9 D C j P x O c y i G W M r 8 Q G n j N i m g 4 F T P f X l O I w V i h 0 I s G l O Y W l w G p z 6 I v M 3 m 3 t P P G Y 2 4 y Z H 4 C 0 L 7 4 k t j D g z 1 y C w x L A L D d Z X r L A 3 P A 3 e v s Q C F H g V e F 6 Y h b s N 4 x + h F g S 8 m k F E k W M S R n U l m M E w c h A 7 U G D D m k L h 4 A R 4 J m a P 9 z L 2 W u T d u 2 G i n b 0 g 7 N i M O V a l P 2 T a G A N / u u y V E H a h v t K W Q t z w t H c N q R 0 k e v d Z 4 t Z i b 5 3 U k 5 i M l b r L X K l D C G K Q i O q F v i Y E E J 4 b L 4 P Z Y 1 + Z Z 9 O Y Q l / T t r K 4 f 7 n L V 9 f b T n T Y I a a F b P C Q Z d Z i Q 9 7 C u D Z 1 B Y I d u M v C k s L K 4 F z l F R R b k K h A v D t z H 2 S 6 u e Z s h 3 P a 4 I 5 b 3 I Y 0 V J u 7 A o i x g t G 7 7 l r W V B Y b o l c W 9 0 9 4 Z 0 H i u / O n z f N N K B g Y w p B y N q p 1 z K F a x 9 r 0 1 R h 2 o L 7 a m M L O 4 A R 4 K 8 L M a x 7 K 6 P D 0 e Z t + C 7 B H L I Y r 5 8 l t C 7 P s s 1 7 Y 6 + D o X Y E d e y q R w 9 L g a f h c O N I p + N J m 5 N 7 c p S J m w l 9 d x D M K g r S 4 d g V R Y u q d y 9 L Q 0 E m 8 C U K R K D n M O q k n p o g w q P P q u g G + c B A u Z P h F B A / + n Y x 9 K b P 0 9 r z b 9 K w A H B g 3 f i x n j 3 M Z g 1 v f g U t t m l N p b D V g l e U 9 j I h u d t t a y l u j / M N j E + o F S l E d D m 3 m Y E r 1 i / e z F Y A D 4 w v w 5 x v X c g 7 N a 5 H 2 0 L r O D S m U t O 0 q y / v H 2 K U L r X S x e d O a I k S h 5 V k 6 S z S m l s 1 s Z G o K r z B / Y F x D v / r B r / 9 3 G / a K Z N e d N e Q G F E b e + H r / i L r 1 g 5 m / l Y 9 E y I H 6 3 C p 7 K x i o M g n i S D u u V R B 6 D 2 y V J Y W v Z o R X F v e P t c w f 5 F W e c B e z r F r Q c I 7 Z h O y t O V N d N 6 5 + 9 j q V i 7 j 1 k 2 t F T Y t z R s q g i c c c m Y R S S z t 3 L a s 5 G R k r I L 0 / F 1 2 D y h M w s M f j 9 G 7 7 k R M o m u K 6 7 e b Y p g k T X 2 1 R n 9 7 t b N p U m l J Z G 1 q e M / W D p y c Y N Q F 7 U 9 C 0 J 9 o 5 z z o a h P E E Y Y y U K Q + I E I o N j i m 4 a b 0 C s s R i F E h 2 0 f n u 2 l Q Y H V 4 H / C w W X i d 1 X Y t G E 0 H e 0 x z e Y 9 N h t q n f y F n Z 3 w V 5 + Z X + D y j 7 K W + + Z S 5 0 M d s 0 h S V j g j F 3 o M S v O j j Q + y a U a 4 9 8 C x h G B q L 3 C N g 0 p l A 4 s O j 3 R S z v Z O g B f + + R y 2 B G H K g 9 a h Y t i z v Q B N D 1 o w W a r C G 4 m 2 S m a 3 D o d F 5 D U M x m G t U d 3 D g v R a B A V K e l j G Q t c f 2 I q A D p X Z W K x a F z e b N 8 i f L 8 5 n M s O t n N G h 0 d 2 H 1 I b E z A u 1 a N O W x Z k O B o N + Z y H M Y K B T T n q l 1 2 u w i U t T W F z u H l N 7 d B G G 6 1 O Y q M I b 2 B x j h q N B A Y h R Y r 1 0 5 V a w w H x j R I X w x 5 b / w g 4 j s I m + / e 7 6 l t K e S 1 T C u r + 9 d E m I b B f d b 5 y a o N a C H c Q U 9 z Y 9 e K Y V z F G G 2 U G x g E a l K I m 5 r l R g H G K K H 0 7 l z L y 6 8 s K p Q N L O + 5 y n Z U y 3 i L P W 4 Y Q 9 W f 6 a 7 c 4 8 0 p c z g G L 6 t H Y o k A u G u V 3 j 3 o s D S l k t a y r C z v n w y h 5 Z + r 8 P 0 m j T B U R D i r E Y u N N w w h 6 M g 6 + r v d c k i 9 S 7 C 4 d I W k g Q n v I p x v G Q K R g 5 F j c y g q S s Y c B J t t s g 3 D e s q r I P T O W W V p 6 K z d r g b 8 r 2 7 U W C s V x Z C t m J T U 2 9 w 4 R 7 D r T b 9 V 2 g b S O 4 F t c 0 N n 8 T q N 3 T T z n 4 e L p 6 3 3 3 D i E w S 6 b 2 m + C A E 0 K g 0 h d F b 4 C p n c 6 X 7 E 5 d E 5 P k 5 l M 0 w / k 3 Q I i w v A H L 7 B V 7 p W a G P q o W L v C y B H 1 z m V u Z u j 0 f Y s e I 7 l s j y 5 e 9 6 j / N p G s R p y X Q e Q l n a 0 E r / / c G 6 8 u E m Y x G F 1 V 5 M O 0 m k F n V l f U O R C j g N H 7 M 9 A 2 N / R n A b y T S I v m 3 b l M V m 9 s b P Y C D r J g h s x 4 o x H L Y U s r v J K q y 6 M C Z R e 9 H s W o Q u g w W j 6 T i + w l 1 c 4 L 0 C f / A O c Y P 6 4 7 P 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C u s t o m M a p L i s t   x m l n s : x s d = " h t t p : / / w w w . w 3 . o r g / 2 0 0 1 / X M L S c h e m a "   x m l n s : x s i = " h t t p : / / w w w . w 3 . o r g / 2 0 0 1 / X M L S c h e m a - i n s t a n c e "   x m l n s = " h t t p : / / m i c r o s o f t . d a t a . v i s u a l i z a t i o n . C l i e n t . E x c e l . C u s t o m M a p L i s t / 1 . 0 " > < m l > H 4 s I A A A A A A A E A L V S w U 7 D M A z 9 l S j 3 r i 3 b E K C 2 C G 2 a m D Q Y Y i C 2 o 5 e 6 X U S b l C a l 4 9 s 4 8 E n 8 A m 4 7 t i E O n D g l 9 n v x e 7 b z + f 4 R X G 7 z j L 1 i a a R W I f d 7 H m e o h I 6 l S k N e 2 c Q 5 4 5 d R M K q M 1 f k N F G Y m j W X 0 R p m L r Y l D v r G 2 u H D d u q 5 7 d b + n y 9 Q 9 8 T z f X d 7 M F m K D O f A 9 W f 5 N d q Q y F p R A f i x 5 d G e P S r 5 U u L c z J Q e e N + j j 0 O s 7 Y u 1 7 z i B Z o 3 P u g X B A n C b x c C h O c D D g 7 B Z y D H n 3 k F E j z O d s m k O K Y 2 m K D N 4 6 / F Y r 3 O W f Z G w 3 c 5 r M N c p 0 Y 2 k 2 B J g H z A t d Q v k W 8 g Q y c z C 6 K E D g G J M o m J p F D c U S V L y K W k 7 g H q c I H 0 E m 1 y V Y n K u J L I 2 N b F l h w / o F E H m m x T P G h 0 q 7 O L j a S r N k C w E Z 3 o n O X h v M k 8 S g b V O 0 y 6 m 5 q q y m u q L K S J D G 1 d l u A C o w y W R R H L J R W / U e V I p s U u o 8 5 I 5 / R l U e N L X f X N w o c F v h j r n 6 f / 3 z n X x z f q u v y E W 3 y c P U d w n a 7 B 5 s v u u P o P m 7 0 R d + D 2 h J 9 Q I A A A A A A A A A A A A A A A A A A A A A A A A A A A A A A A A A A A A A A A A A A A A A A A A A A A A A A A A A A A A A A A A A A A A A A A A A A A A A A A A A A A A A A A A A A A A A A A A A A A A A A A A A A A A A A A A A A A A A A A A A A A A A A A A A A A A A A A A A A A A A A A A A A A A = < / m l > < / C u s t o m M a p L i s t > 
</file>

<file path=customXml/item3.xml>��< ? x m l   v e r s i o n = " 1 . 0 "   e n c o d i n g = " u t f - 1 6 " ? > < T o u r   x m l n s : x s d = " h t t p : / / w w w . w 3 . o r g / 2 0 0 1 / X M L S c h e m a "   x m l n s : x s i = " h t t p : / / w w w . w 3 . o r g / 2 0 0 1 / X M L S c h e m a - i n s t a n c e "   N a m e = " S a f e   A v o n   S t a t i c "   D e s c r i p t i o n = " S o m e   d e s c r i p t i o n   f o r   t h e   t o u r   g o e s   h e r e "   x m l n s = " h t t p : / / m i c r o s o f t . d a t a . v i s u a l i z a t i o n . e n g i n e . t o u r s / 1 . 0 " > < S c e n e s > < S c e n e   C u s t o m M a p G u i d = " 0 0 0 0 0 0 0 0 - 0 0 0 0 - 0 0 0 0 - 0 0 0 0 - 0 0 0 0 0 0 0 0 0 0 0 0 "   C u s t o m M a p I d = " 0 0 0 0 0 0 0 0 - 0 0 0 0 - 0 0 0 0 - 0 0 0 0 - 0 0 0 0 0 0 0 0 0 0 0 0 "   S c e n e I d = " c 1 a 7 1 d f 8 - e b 3 1 - 4 b 2 c - 9 6 2 5 - 9 8 1 2 e 1 a 5 e 3 8 6 " > < T r a n s i t i o n > M o v e T o < / T r a n s i t i o n > < E f f e c t > S t a t i o n < / E f f e c t > < T h e m e > B i n g R o a d < / T h e m e > < T h e m e W i t h L a b e l > f a l s e < / T h e m e W i t h L a b e l > < F l a t M o d e E n a b l e d > f a l s e < / F l a t M o d e E n a b l e d > < D u r a t i o n > 1 0 0 0 0 0 0 0 0 < / D u r a t i o n > < T r a n s i t i o n D u r a t i o n > 3 0 0 0 0 0 0 0 < / T r a n s i t i o n D u r a t i o n > < S p e e d > 0 . 5 < / S p e e d > < F r a m e > < C a m e r a > < L a t i t u d e > 0 < / L a t i t u d e > < L o n g i t u d e > 0 < / L o n g i t u d e > < R o t a t i o n > 0 < / R o t a t i o n > < P i v o t A n g l e > 0 < / P i v o t A n g l e > < D i s t a n c e > 1 . 8 < / D i s t a n c e > < / C a m e r a > < I m a g e > i V B O R w 0 K G g o A A A A N S U h E U g A A A N Q A A A B 1 C A Y A A A A 2 n s 9 T A A A A A X N S R 0 I A r s 4 c 6 Q A A A A R n Q U 1 B A A C x j w v 8 Y Q U A A A A J c E h Z c w A A A m I A A A J i A W y J d J c A A D V G S U R B V H h e 7 X 1 n e x t H l u 4 B Q B B g z k k k J Y o S l S M l 2 7 J s K 1 i S F Z z t 8 X j C z m y c n b t 7 / 8 T + j f v t 3 n 3 u 3 m d 3 x x 5 H Z U u i Z G W J y p G k S A X m n E k Q g f e 8 p 7 q A B g g w S b L Y J F + y U K G B R q O r 3 j 6 n T p 2 q s v 3 w 8 5 V R m s d z I T l / M 3 k 8 o + T 3 + y k Q C N D o 6 G h Y 0 D C n g c i 8 G R m J A T 4 X U W L 8 K K 3 O 9 x q l 4 R g e H q b m 5 h b K z s 6 m 5 O Q k K e v s 7 K S U l B S K j 4 + n w c F B a m x s o i V L S s l u t 8 v x x 4 + f U F J S E u X k Z F N c X B x 1 d 3 d T Y k I C x b v i 6 c z t O h r x + u R 9 8 5 g e b D + e n S f U d B D n S i J n 6 k o a G Q l E J R J g J s x 4 5 B k P u 5 c N G 6 m x w H d e v X q N F h Y X U V / / A L W 0 t F B G R h q T q J n 2 7 N k l 7 + n r 7 S N n v J P c b r e Q p 7 O z i 0 p L F w v B b D Y b + X w + a m 1 t p b S 0 d E p P T y M H k + x a 1 T N q 7 e q R z 8 9 j a p g n 1 D T g z t 7 M R P K P I R L w P C S K 9 f 7 x S P X w 4 U N a s K C Q y d L D c Q F L H Y e U 3 7 h + g 1 J S U 2 m A p V R m R j o V F R V J O X D i Z A U t K S 1 h A q X T s 2 f 1 t H 7 9 O i E X Q k 9 P L z n 5 H F k 5 O V R x / S E N D n u M T 8 1 j M p g n 1 C S B x u b O 3 s S q n S I S G r 8 m E z A V I k 1 0 3 A x 3 3 C i 9 X R q 7 U e N c h w 8 f p f g l H 9 P 6 Q h / l J P u l / K e H L r n m V a w u N t V c F b X O y 9 J o 1 e q V 1 M u k y c z M l O M a f X 1 9 l M o E R J m W X j h 3 A q u H h y / c k t 8 6 j 4 n B h L o 6 T 6 g J k J y / i Y a G Q q p d N C J N R J J Y x 9 M S A r S 5 y B P W u C M x N D Q k / a W a 6 k c U 5 4 y j x 8 N F l J J Z a B w N w c X k 8 w V s t K O M z 2 e U C b E 4 z h m t p r U r i u l R T S 2 V l S 2 V / t W j R 7 W 0 d u 0 a e R + + / 6 e f T l J Z O a u K t j h a n O U X Y o F o a W l p 3 M d K o E M X b s p 7 5 x E b t o P n 5 g k V C 6 7 k X A o 4 i 8 n L H X W z e g d M h k g T k U w w G q B 3 y 4 a p v 7 9 f i J O X l 2 c c C A f O d K P B S R 3 9 y r g Q D b k p A W r t U 8 c d z K K d y 5 R k q 2 m L o / o e B / l Y e P W 1 1 l D i 4 A N 6 7 b V N Y d K o t a 2 N V T 0 m q 7 e M / K M O K d u 6 e I Q u P H b R u o I h K s h w k c / r o Z Y + L z 1 8 2 i D n n c d Y z B M q B h J y N r F U G N t P m o h I k y K R C Z u K R y j d 7 a d j R 4 / T 3 n 3 v G a V j 8 V O V 2 0 i x x H Q F m B w 2 G v a F S z X 0 t U C A g Z H w 8 t w U P 5 P C S 1 7 + z O l H L L H 4 G r c u 7 B Z D B U i M a 4 b l D y S 6 + j S O u o c U o Q D E C H t W j L C q 2 E 3 J K a l M b j v 9 f O e R H J 9 H O O Y J F Y G 0 5 C Q a d K 6 g k R F v m H r 3 o o k E L E j 1 S x / H 4 / F I Q B 8 m G g J 8 6 t M 1 T C h u 4 / 5 x u j J Q + T w R J D N j 2 x I P n W F C O V i I 4 X q 9 t Q d p 7 9 7 d d K 8 5 n l o H 7 J R o H 6 K S p D Z K y c i n 8 3 X x 8 h k z s e w c t p X 2 U U J C o p T d e 9 Z G T e 1 d k p 6 H A h O q c p 5 Q B l I K y m l g g J / + 3 H n X Z A L M h I r E d I h k B q T K y V M V 9 O 7 O H U Z J O O 4 1 O 6 m x V 1 n u p g M Q F u e I 5 1 M s y v R S d Z v T O K K w N M d H J R m + o A Q E c X B N I C 6 I p 4 H y k 1 U u l k 4 2 y k 7 y 0 9 r 8 Y b r X k U 4 Z a f F U W 3 P N e N c 8 b A f P z x M K c G e V i w V P k 8 l M o m i k e V 4 i R Q K C 4 N 2 l w 3 S i O q T a a U B G J L t G W a L 5 K D 8 1 Q E 5 H 9 O 8 + d v w E E 3 O 7 D N h 2 D d q p s l 5 J G W A n n / s U p F w U g E C X n s R T e s I o P e t 2 8 P m J d i w d a 1 n U 0 u p 8 n Y s G P a P 0 d k m v S C u 7 K 5 U q r s 0 b L A D b o X l C k T O j n F U 8 n 5 B J E y k W m V 4 0 k T T Q V H d J w 3 Z R H B P G x r K g v q m D d q 9 P E 2 + J y a C t r Y 2 y s r L E 0 N D W b 6 e b j S F C T Y T M p A B 1 s t p n B o i m S Q T 0 e W y U a n A S 5 Q j 3 7 j 8 g t 8 t N 3 v T 1 1 N Z 0 k 9 X T u d 2 c + A 7 i h s 3 N 4 E x I J U c a J J M 3 T M 2 L J J X G y y I T J A L I B L y x y E O b i k a o v M h L 7 y z 1 k 2 M 0 9 q B u J O A 1 o d H S P z U 1 M Z J M A K R l d V v o P C k s J c 3 3 B v d q 5 Y r l L B H t t D K 7 j + w p 6 y k 9 B S 5 Q 0 e / 3 X A j 2 K G V z I j j i k 8 j v X M K S a S R M z Q M i i a M b 0 I t G Z m K A 1 i 8 Y o e 1 L o p M G q h u u b 7 K A R R L S C V i e 4 6 X 4 u O l d c 6 o 7 I I T G T 3 7 c G U f H H 7 o k 6 H 7 W Z V Y P + w c 9 w X t W U F h M V V X V l D F w i X p t y 8 g 2 6 o 9 6 z + d C G P t Y m g P I L V l H o + 4 y 8 n q 9 Q a 8 H T Z h I 4 r w M I g H 5 K X 5 u t C O U k x z d b N f Q 0 E D V 1 Y / o x x 8 P G S U T 4 4 M P D t C R I 8 e k o U P q v V H Y S 6 u S 6 4 S 0 G / m 7 J o v e Y T t d q w 8 3 X g C 4 F 5 X P n E x U o k v P k m X Q F 2 b 3 p o Z 6 q n l U S 0 l p W V S e 0 8 S M L K c t y 4 q N T 8 0 t 2 A 5 f u P Z y W s w M R U 7 J W m r v c E x I J k m 9 J D I B 6 J 9 E A 6 7 h + v W b t G 7 d G p F Q 0 8 G p U 6 d p 2 b I y S k x M o I y M D K M 0 B P O Y l k Y e E 3 x N g Z c a e x x 0 v y W c T B g k 9 p t v B f p P i A c a a P f G L O l L t b a 2 U V 5 e r n i 7 5 + T k U k V t E m 0 p 7 K J L V c / k I 3 M F c 6 o P 5 Y h P j k o m H T Q k b c q / a J S x O h Y N A w M D d A L u P 2 V L p k 0 m 4 P X X N 4 u U w h S O a A C Z N x S O k B 2 3 x c C K X J / c p c I 0 v x x f y + S y B Z S l L 4 x M g H G / 7 E n 5 d P b c e U l j O g g c a + E j e P 3 6 d d q 5 Z I A u 1 q d S S g L I G 1 4 P s z n M m T 6 U M y G F A q 6 l U c l k R m T + Z S D Z s N r h O u 7 c u U s n T 5 y i g w c P S / 9 n 9 5 5 d M p / p e Z C Y m E g 1 N Y / E + y E W s p O U y x P I g z 5 T x 2 C 4 9 g + J t d B R L c c 3 M v m i w T 9 q p 4 7 2 D h m U P n T o q M z J w v 1 b t 2 6 t / D a Y 6 j e V F V J a M p M q S p 3 M x m A 7 f P H 6 y 2 9 B M w D 2 l A 3 S w f + l y Z T C j b W P + y Q A J A I a M f D 0 6 V N y u V w x f f e e F 5 j 7 h P M n J C Q Y J V N H T 0 + P k F s b O s w Y 9 M J N y U W O 5 l P 0 1 l t v U n / / A F 2 / d o O 2 b X 9 b V E A Y e i A h H Q 6 H S M s z d x 8 b n 5 z d E K k / 2 0 N c 2 g a R T N o q 9 T L J B J X J Y V f n S n S O C p n i u D 3 u 4 K e 1 J h N w 7 v y l l 0 Y m A F I K D r f P A 3 i Z o z 8 W D f h t 2 5 Y M U 3 n 5 B r p 0 6 Q q 5 3 S 4 h E + 4 x P O O h s i J G H g R 7 Y / n C q H U z 2 8 K s 7 0 M 5 M y C Z x n q L m / G i y A Q 0 c K f e H 8 B 3 E 7 m 5 0 Z V k + o R M I J U Z k B 6 1 t X U v 9 L v N w H l 7 e / u M 3 P Q B r 3 T c t 2 j A p U M C D j F x 8 H 0 n W H W F N M N v g 2 E F E k r f 8 3 i H j b Y s w y T H s X U 0 m 4 L t y K U b L 6 d G Z w C S c t d T X 5 8 / T D o B 5 k Z s T r 9 o l O X 4 a F G G I j P M y 4 j 9 f v U E H + T 8 o o X F d P r 0 z 2 L R y 8 3 N N T 7 1 Y o C 1 J N D Y M z L S j Z L p A + t Q l J Q s M n L h w L S Q I p b K W h K Z 1 c O a m h o q K y u T B w f m Y E E N 7 O r q p g d t A 8 Y 7 Z h / G K s e z B K 6 k d F Z 5 l K M r S P N L k + m t x R 4 h E / D w Y Z U 8 r Z O T k 2 X d h v z 8 P F q 6 p J S c T i f t 3 L l d Y h g l Y H J + U c B 0 + L N n z x m 5 5 8 O z + n o j N R Y g E 6 a M n K x J F E K Z 7 + n S p U v p y Z O n V F C Q T 6 c q n w r Z 4 F G f k j B 5 l y i r Y d Y S y m t f N K 4 H x M s k E 5 D A 6 p 4 G Z s b q D j o a l f k p 3 t f X L + V 7 9 + 6 R B V J + / O G g S L M X g Z 0 7 d 8 g s X B g X n g c b N 6 y X e x k L b 5 Y o 8 3 q F 4 X x r v r c L W Q p D U u a 4 + + l E l Z t / u 4 2 W 5 T + / 1 J y p 4 J 8 3 + / 5 c m e u 5 3 x T b C P G S u R T 0 y 9 M A U W J D L T + G T n w a P 7 3 f / + A A d X R 0 0 M 0 b N 8 O u e T q A G X v 3 7 n d l I u G l S 5 e N 0 q k D 5 v c G V i H H A 8 z r P u 5 q n W d p F Q n 8 D v j 8 b S z o o 8 v P m F Q s y V b l p Z h q b P b 8 z b p x q P j k L H 7 C h 8 + y H Y u X x y g 0 L F w K A E k D 1 6 G d O 7 Y Z J W M B d c 8 M q E 1 Y o W j 1 m t V 0 5 s x Z J t f z q Y H o P 9 6 6 d U c k x a N H j + i b b 7 6 X c S O Y 1 W H B u 3 X z 9 o T E x T V V V 1 c b u d j A u N P g i I 1 a + h x R z 5 m R H E c D H h t 5 / A 6 x C q a 5 H W F 1 N x u C 7 e j l m y + v d b 0 C 2 J L X c Y O J P d 4 0 U e N 5 H p R m + S R o X L l S K V a y 8 Q D v C I R Y R g n 4 y x 0 9 e p z 2 7 d s b X M x y M s A D p a 7 u M b W z t N t U v j H M 8 6 K 9 v Y O P + 6 U / A + n V 3 N x M X d 0 9 t G L 5 M i F P N D Q 0 N E q / L N Z x j E v B l A 6 3 J V g 6 8 W A B z O / X a S w c s 6 G g n 9 x 2 D 9 1 u n F 3 r / 8 2 q P l R C 9 j p + I o d P E P y l y L Q o f Y S D R w a P h 4 a w 6 M o A t b W 2 G k d j A 4 1 s v O v C w O r n n 3 9 K b W 2 t L G H q j N L x 0 d b W T o c O H a G C g g J 6 4 / X X x r g x Z W d n y W q z z + r V Y i v 5 + f m i k t X X 1 1 P V w y o p i w T 8 9 L D 2 X y x g u T N g Z Z 5 y q 4 K / I E q i 3 X + M x 1 X W u + n C E z e V Z Y 3 1 K 7 Q y H H / 8 0 7 / + m 1 k H t P L f C O W G W f X G a 6 g v E v i e l t p r l B i n 3 J p 8 P j + r c n G y B P J E P n n 4 b H N L K 2 V n Z R k l Y w H S w c l 1 e H i I b t y 4 T T k 5 W W N U R Q C / / d D B I 1 R S s l A W r 4 z 2 H g 2 c c 5 h V U o w Z 6 W v E Q G 5 m V i b d v H V b 8 r B K a s C Q 8 v P Z s 2 T j X v f D h 9 X i M g U J O D g w K A 8 R j y + O 3 P H K 4 J K d 6 K W G X i f V d c S J x D Z L K Q C G i d G h N m o b T q S 8 5 A D 1 D I 2 Y a t H i f 8 e u 3 P p l W t 1 L R l z a W h o c V A 0 6 W v / p Z Z I L 6 h M 3 U X p v x e S n S G i g j 4 P G u X H j B q N k f G D 8 q p Y l V X V 1 D X 3 0 0 f t i I c R v g 2 p Y U f E z 7 d / / 3 r h E i s R X f / k r / e q L z 4 x c C C D n q Z M V 9 N r r m 2 W F W e A k 9 7 k w x T 4 S + H 6 8 H 1 K 5 q a m J O j o 7 q a u z m x J X f E 6 p 7 l F 6 f W H 4 u o N I o 5 6 O X u + l X N t j y s w p o F Z P 9 M F j q 8 H x h 3 / + l 3 8 z 0 p a G 1 5 b z S s g E 2 G x q b T t z / 2 m y w B P 9 6 d N 6 K i o a u 3 B l N I A s u b k 5 r F Y O i n q G s S b 8 u t T U F N q w Y Z 0 Q b C r A G N n K l S u M X A i 4 L k h Y A I 6 v s P T B m F F Y u E D K z M B v x / c m J L h Z e u b Q o o U L a T n 3 x z A 5 E U u d 6 f s S K a k W 5 c T J M t G X n 7 o p y R V 9 O o v V M C v 6 U I 5 U 5 d 0 M M r 0 q m F c I m i p g c Z s q y s s 3 0 r b t 7 1 B x c R F t Y P U u 2 r y n y c A t 0 y t i A 0 Y L S E L M r d q 0 a a N R O j l o 3 8 X I + V U A C A v z O R 5 2 5 f n d 1 N L 9 f B 7 2 M w W z Y h w K O 2 C 8 C k O E G c / D 5 b b 2 d i M 1 N e C J P z j 4 f I P A k x 1 E R v + q f Z r X C a v f w 1 Z n W F 2 g v n D 9 6 L + h r w b P E n O d W v X P 8 u N Q j r Q 1 r 1 w 6 A d j P a T p A o 3 L F m A g 4 G Y w / a D w x 4 J U + G U C l a 2 w Y f 3 A 3 G u B F g Z V u s T w Z F u w 0 A 7 8 d Q Y w U n G / s s P 6 8 K c u r f B 7 u z L 4 M 6 Z Q 0 y a W 7 N E Z b L 9 O 5 c x f o 8 J F j 4 u k w F Y J D b e v t 7 T V y k w f 6 N K W L S 4 z c 1 I E N A + z 2 y f e 5 s P X N V I H 7 G G 9 X f a i T 1 e 4 x d a J J 9 e D B Q 0 p x T 7 + + Z g q Y U F F o Z p E Q n / H y p F P k + u D j w T k 6 Q K t X r Z C J d v v 2 7 p H r u X v 3 n h x D / w h q F Q Z v 4 f X w 5 M k T i U E 6 j B f B K x z j V j B f T w T 8 V l j z 4 L H d 2 N h I F y 5 e l s H W 6 Q D X e P D g E d q 5 M 7 Y X R y T W r F 1 t p C Y P E K j + + v d c W 4 o s H Q M O + R 0 g E e o Q 0 z y w s A w 8 O U q z / N Q g K 9 u G 1 7 O V g u 3 4 1 T u W f S w E E l b L U x q N A + F F S a e p A k t u Z S a q f Z k 0 s K w W P M s r K 6 + T n 6 / t 7 b e 3 S i c c V j r 9 V N Y B i D R 1 4 / o x Q f A i k w b 7 O f U P D j B 5 F t B r m z e x + q W s i n C 4 R Z g O 1 P Q O 9 6 S N G X D w x Y z c z z 7 / R A w K U w E e K m n p 6 Y a E I i q N u y / 3 B 1 b J x q Y m W r l i J b W 2 t l B S U j K d r i J a m B 9 + L 6 0 E 2 0 + V 1 i S U M z G b B r z Z Y 2 b i a v x S h C p I 9 c f c A x f j O F v e f E O 8 r a c C N M A b N 2 7 R i h X L Z C V Y d N y / / f Z 7 + u S T j 4 I E N A O / F f d g s i Z z j B k d P 3 6 C 9 u / f a 5 S M D 5 w f 0 0 v e f 3 9 / 1 O + f C J j o C L M + F s 5 E t Q z 0 t N M n r 6 f I N Y N Q W Z m Z N D z s k Q 3 h T l f Z K I v v a U q S J Z u l d f t Q P n t e V C I B v x S Z g K Z e B z 1 p 7 p f 9 l X 4 8 e I j V s a 7 g 1 H O M x a D x T h b Y I x f L K Z 9 k I m 7 f / o 6 4 B G m J t m P H N v r h + x + l 4 Z l x / v x F + v 6 7 H + n 2 n T v 0 3 b c / S F 8 M f a N h l t w a 8 N z A 5 1 A O g L D t b R 2 S n g z w G 0 b 5 X k + H T A A 8 P G C N 3 F W G p Z 2 J 0 j O z p Y 5 w v v y 8 P I m x l e k l 8 a y y U X v 3 q z U w P Q 8 c f / z z / / w 3 s w 5 o l e C z Z U t F g 1 T A L 0 m i M P i H a b i x U g Z I 3 9 y y h S 5 f v i q D n z L / i R s J f O o w c D p R Y 4 S k v c D k y M v P k z G m S L U K U g 6 b T 9 f X N 8 i O 7 W 7 u c 6 F v 9 u T p U 9 q 3 7 z 0 h H w i M f h X K u z o 7 6 d a t 2 / K 9 2 G 8 X 5 w O p I J n y 8 n J E 3 b p w 4 a J 4 t k + k w q H P 8 z y z f 0 + f + Z m a m p v E W X j j k l R q 9 a T T Y r g k 8 b F A A A 9 E p b L X d G D K v J / J 6 6 e M V F x T e J 1 b I b D K d 9 d y s j U l f x W 1 t 6 v F / a N J q V + S X G 7 b I O U E a q S P k Z S c T M l J S W K A a G l u k c b R x + k P 3 j 8 g / m 5 V 1 T V U V F g o q p w Z a L A w U L i Y K B P 1 a S D 9 / u M / / l M 8 F 2 A d 3 L L l 9 Z g G D T g K + 3 x e G Z y N R u i v v / q G y e m i D z 8 8 Y J R E R z P / l g Y m 8 q b N 5 U b J 1 H D w x 8 O 0 b / 9 7 o p L i t 9 Y 3 d 1 H d U K H s 8 I E 8 J O j P N T Y a G P L x N X O Z b 4 T i y E + L i p 5 v S O B V A P 1 k v t n W C t C o N I l e J Z m A Q X 8 8 1 f q W 0 9 q t B 2 j d x t d p 4 c I i K i 0 t o S 9 + / T l 9 + Z t f 0 6 8 + / 1 S I j 6 f 7 l j d e o 7 t 3 7 7 K k C H e z u X H j J q t 2 c T H J p K U w S I n P w r 3 n i y 8 + p 6 b G 5 n G N E j g n J E s s 6 b j / w F 4 m Z a F I r v G A K f t p 6 W l i A J o s M M F T w + F 0 B P t 3 i L P T E 2 R 7 U k A k a I O T h n 0 s k e Q y 1 b V 6 x R I Y q n P L h B P X r C e h f K 5 V U r l 4 u r 1 q Q m k k x f u p 9 u p B + m T / W + M u M A k T M d Q t q G j o 0 4 B s x 4 6 d o M 8 / / 4 Q r h G u E g b E s z 1 C I d E 6 x 5 j n F u / t 3 v / t S J A 4 M F d U 1 j y g v N y f m z o f j A V I U E w y 3 b t 0 i / b S J F t e E G o n 3 H z i w z y i J D U z r x x w u S D 7 M T Y P k b R 1 K p O L 0 k P X u D K u B t g X b m E h O r k c l S f 0 c s I + v z z v C a Q 8 t X z z x U M J M g / F Y s F b Q R J p J G B j h J + + q / W F k k m k N E U / 1 b d v e p t u 3 7 t C h g 4 e F O C d P n p b f g n U f Q C 5 5 U H D 8 0 c c f 0 C e f f i Q B Y 0 U w W E C C 4 Q m v p 1 t g Y u B 0 7 w P M 1 l g g B h I O 8 6 D G A 4 i P v h d u P 9 R I w N x / j U R K S j J t 3 K j W o Y B B A i q p m U w A r n t k P H v N 6 N h 6 t 0 I Y v z c 6 A x G X t j L Y b 4 r E q y a Z I 8 4 Z 3 I G w s v I a X b 9 + g y 5 f v h L m / I o G n J K W S u / t 3 U O f f v o x f f D B f p F O P 5 8 5 R z 9 y X w P j Q 6 2 t r W G / B W o b D A f 7 9 u 2 R a R s A + l J e V q u m I 5 3 Q 0 O H h j g U q 7 9 y 9 x 2 T u C 1 o A I 4 H r u H j h E u 3 a t Z P 2 7 9 t L P / 9 8 V s q O H j s e t j N I M x M e v x M D z w g g / 9 l z F + j C h e h r W U B C D z 8 6 R K x f S B 7 N 0 b z 9 D l J V j 5 5 v o c 5 X A c v 1 o b y s m u v G h t j c 8 G Y C c D n f H L 0 s l r 4 3 3 n i d t m x 5 g y o q z g S v E 9 I F B g t I L 9 x 8 5 E G W D z 9 6 n z 5 m q b R 4 c Q k t K 1 N b 7 W h A F V y 2 f B l L p z h Z s x z n Q m N + g / t k s f p H 4 w G m e Z j l s e o r Z u 7 C s B H p 0 w c V D + + 7 d u 0 6 b e T 3 Q f L q 7 w I h d + 7 Y L q Z 8 j I / 9 9 a / f U S q r j H C 9 w o Y B x 1 m F z c z M o P f 2 7 J K 1 I 6 I B F s l 0 J h 3 W W I d j L B Y D f X M R 5 p P h O 4 z v C c C 0 H q p 7 K w T L S S j b a P S x p 5 m E / G V b 5 Q k M Q E X r 4 i f 3 V 1 / 9 V d y N I A m w p g M I F Q n d Y F e s X C 5 9 H A B 7 N W G / 3 M R M + P v 1 S H 8 K v z 2 F J d N 4 f b V Y g P S A + R r r U 2 D i Y G 5 O N p 1 n I k Q C i 7 f g 2 t e u X R N m L I H 6 h k V f Q E B I x 4 8 / / p A + + + x j y W P g F / O 6 4 E 0 B T E R 2 G G n W F X g o 3 q F V x / A 6 n c F V H B O W 6 k P Z b X b y e G c 2 m Y A B b 5 w s W g K A O N j i 5 a O P P h D n U v R X M M 6 k Z 8 F G A r / t x M k K m S 4 B d A 3 Z y c v t b c R n F 2 k G y x 0 Q N 8 H Y U S y g j w b p p P t h I E U h k w C L b O L a s E r s D z 8 c Z O m R L t c d a U W E v 2 J R 0 Q I 6 x i o f r n U 8 0 u B c 4 9 U V C A u p B o u g f l e S K 9 Q v w 2 f V x 8 P b w U w O l p J Q a x Y X x q y g 8 S r u V e D S Y x f 1 D n p l Y H f / v v e k D I 0 W 0 y 2 w / 1 M s o G 9 U t j S 0 P 9 S C V L / a 5 Z A l M z D i U Z L N N g V C w X v i 3 L m L o s Z h 6 e f I f p c 4 7 H Z 2 i 6 U v J z d H J A 1 U s l j A J g e v v b Z Z v E P G A 6 Q h L J r j Q e 3 c 0 U s d 7 e 1 S h 7 a I a n z W Y K 1 + l K X 6 U J k p r O d b Q O U D s E n Z + c d u W r j p U 3 n K Q 1 X a w f 2 O i + c v 0 U A M A w A A z / M l S 0 K E c z p G Z b G T k r w E e v C w S v o 8 W J y / Z 4 i o o d t B n R H 7 O k U C r l D w 3 l i / f o 2 s I v v O O 2 q 7 G Q 1 4 r s N b o m x p q U j F J F b d J v K c A L Q a C O t j L E B d h B Q C k a N B 1 2 F G R q a Q G b 8 L O 8 1 z 7 Q Y l V n e v c l e y S r C U h O o a H O U n g J F h z H R S x c U 5 q d v j C i 5 R j I b 6 2 9 9 9 S S 1 N z b L O X T T A A x x 7 R 5 m B N R n s r l T q T d p I / S k b 6 P y z d E p d t o / u t z r p W n 1 8 0 L I Y C Z j i 7 9 1 / S O + + u 0 N m x X 7 4 4 f u y H o U G 7 h / G i x Y t W m i U T A 1 5 u b l i K R x v w B e D 0 F d M u 9 N H Q h 6 O H O N e J b i N 3 4 E C D q j e w J j t E 2 c 2 m F B o o d Y I i X E + c r B O M N O J F A k s U Y x 1 6 l r 6 1 D J b i 0 s X y 5 Q O M 7 C Y S c e A X Y w Q d + / d D / 7 G 2 0 3 x 8 t n L T 1 0 U n 5 j B x E r n J 6 F d L H 4 a e O s l P h 4 J j N e t W F 4 W U + J A U m F X j V j j S T C D 4 x y R w P t h h c R G A O + 8 8 x Y d P n T U O B I d 5 R v X j 5 F S + H X B e u Q Y b l n I K n r p o F + j t 4 e Z G G y n b j x Q 1 2 w B b F 1 e S A + r a u j G Y w 8 l F 6 w J V Q j D K i T D P l F l y f X k d M b T / e 4 c 8 v p R E e H w j n j I G T 9 1 L 4 H t S 4 a Z a C A S 9 9 d Y F f z u x 5 / o H 3 + 9 X d S u W M D i l X B O j X R 7 g v 8 e + n N w s M U Y F C Q c y I W x p X b u O 2 G l W y y O i b 4 c L J J Q F + E R g X o w r + c H i O P v x c u 0 j c m n g f e B m D g n f P n g K Q F z / I k H d o 5 H x F s C X h N + D p v W K 4 u p F W A 7 d d M a h M L T N D M w w J 3 m b O n 4 X a x P 4 y d / q D F a h V A A C A O F G 6 R 6 2 U h P C M g e u b F W Z c J 9 + / r r b 8 X 0 j X s M X 0 G 4 I n 3 7 7 Q / 0 q 1 9 9 K s c x 2 A y T P 9 R U j D 2 h T x h J U h y D R R M L u a x Z s 1 r c o / B Z n A 8 u U s X c T 7 t 4 8 Z L a Z Y Q / C z U R 3 / f k 6 T O Z d e w z H H l B K D j H K k I h D N O m D f n y X i v A V m E R Q s F k n u c c k X G O w a F B u v 6 g h f p c Z X L M S m T 6 J e F 2 w o B j o 9 x k P y 3 P j e 3 n A 2 v c 1 c p r l J O d L V I D k u n B w 2 r 6 h 7 / / o / G O q e E v / / 0 1 x T E p M b M Y k w c h x e A z i F o 6 c v g Y l Z e v p 7 r H T 0 Q i Y Q Y y Y k w u f N I e o I f N o 0 w i S C s m E z 9 4 I K U 2 b y h g t V W d e 6 b D M n 2 o 1 E S X r A 0 H j A Z G q W z J 9 B c n m S s Y 9 t r J w 3 2 z 2 m Z l N M C D B + p X Z J 8 J F r a 1 L F X g 1 g T L H D w 8 z M a L q W L 3 n n f p k 0 8 + F C P I W 2 9 v l U F k 4 H F H n K x s i + / b v K m c P M M e u S Z 5 I H K o a Y 9 T a V B P x x z 6 + + E o H L 1 d z L R g q 7 j 1 E F c 9 4 1 G Y m U r O k T 5 x b Y G u n p V b S G c e K Z V p X k K N j 7 7 G 2 x R o v y N k y s 7 J F g k 0 0 D 8 g x g o 7 q 1 + y Q E p p i f S F S k t L R b 2 D W h Z r 8 H k i o I 7 u P B 2 k t 9 a q v k / Q K 8 T h I q d d z f w F q e G g C w s j J N Q I q 3 w V V Y 6 Q d D K p f I X 5 i a y Z Z K p z z H B Y R J B y v 0 N c / P 1 U W 1 s r n V 6 X y Z F y H u N j z 5 b F 9 D F L j F 2 7 d 8 r q r 1 i b Y u 2 6 1 b T 5 t U 2 0 2 y j D z F m M c Q E d n V 3 c B 5 r a O h h m 1 D X 1 0 I b S V G r u d c h 2 o S A Q S B P v U H U W 4 A c g H o I g t J Z Q Z x 6 5 j H R o n D G U l o 9 Z A p Z Z O X Z k c F B U v j 1 7 d t P w 4 I s Z P T d v 2 z m b 4 L C H f l f A 7 6 e L 5 y / Q m Z / P U W 3 d 4 6 A J H Z I I x o A L F y 6 J k Q H 7 4 G o P i n t 3 7 4 s W M B 3 A P B 4 g J y U l J V J + q p / K C 0 f o 6 p V K 8 Z j X g M o O o k B y I b 7 X r F Q 9 C S Z 1 T 5 e h y N w W Z v K f Z S R U a f E C c k B N Z W A Q E E + 8 5 8 W Q 4 W 8 3 2 + A 3 W T 9 d 8 Q 7 a t f M d 2 T U D e 0 V p H 0 F I e X h J w I U o E l g w R R r y N I C p / B u X 5 6 n 0 g J 1 u N z s p K y 9 y o z Z F F K i g i J v 7 I K n M k k k T S c U 9 v d b Z N d 4 y S z H 7 R 2 2 U Y H h X Z 2 b n S A V t W T T 5 K d l z F W i X s S z O M I 9 X V 4 V v s I Y G j K X L Y g 0 G T 4 S T N 7 u D 5 L n Z E E 9 d g z Z q 9 I T G k Y Q o R g y n 2 N p 2 J i + M J J w 3 k w h l K m + s t m S 0 g 5 k e L C O h e o c 8 1 D S g C I U b j E 4 z v A v e K c V 4 h h T P I w r e W B j 7 o Y N d C f 2 G + g V A 6 l e c O k 2 r V o 3 d 3 m a y y H U 0 0 L / / + 3 / Q 4 c N H 6 d 7 5 b 6 i q 8 g j F d V Y G v w M Q w n D A f K u 6 T m 6 C R j 4 k p c L j l O T o r l U z E f x r I i g 2 g 8 O i T D 9 h / Q E N T E 6 D c e L 1 h V P f 6 G y 2 I Z a R 5 n r j 2 K 1 k 4 P U O i x 7 6 M O Y V a 7 G A D D Z Y S 0 1 N o 7 t N Y z 8 3 E S B x V q 1 a K Y O 3 e 9 5 7 j 1 Z t / Z R e f 3 u v G D 2 + + + 6 H o J o O k s A I k r m o 3 C C O C v w S l E y h w H n 5 V P Q 2 M d O C + J p a I e D G I j b 7 s G m k u A L E a n / Q i j R b j Q 3 j A e N N 0 e D x 2 c l n u D f B z Q f r B 2 I q x 5 E j R + n / / O / / K w 8 o S H x Z y 8 I f k L 4 V J L 7 Z C 2 W y w G A t j B H f f P M d t Q 8 4 q C D F L + e B Q e K D D w 7 Q j w c P i + e E X o u v 3 Z f J F Q s C 6 W A i k c 7 z e 9 F I c T W W C G f u V F u i 9 a U k u G h 1 Y W b Q s x k 3 G 0 t R w a K F t C 5 r b q y n g s J i c S i d h w I I A j 8 / C v i k s W O y I 1 R m P c A L K x 8 a e l N T s 0 z B n y 6 w 5 D J m F V d X P 5 I F Y M x A 3 e D 7 8 P 0 g V 1 W L j e r a Y Y X 0 C a n 1 y k c Y e / I b Y 1 F w 0 c I 4 1 G v l J Z S c M n 0 z / i 8 J y / S h B o a N i X W m D l P P s I 2 6 O k O b g A 0 O 9 F N m l h r h 1 9 v 6 R 6 K E 1 c a 5 B j x v L j 1 x U U N L l 0 x V R 8 P G B E Y Q C Q H A Y C / W H 3 8 e w N S e n p 4 h 6 0 n E A i Y u Y s 5 X Y w 9 2 L w x Q Q A e o e o a 6 F 8 x D S n G c m D T f h 3 r h g S V / G J m A j A T c b K g o q r y n u 4 t c e k 4 N A 5 t 9 R e J x Z 2 z P 6 9 k M D B H c r i f a + e 6 7 0 i e B / x 4 8 I u 7 f f y D G A U x X h 3 X v e Q C v i x 8 O H R f 3 p U h o C V V W t p R O n z 4 r S 4 i h T I K h A q q 0 J l Y o V h b H 8 P Y w U 4 N l + l A S m D h m c y 5 4 1 N k e m o Y d O X c n M c 5 P 6 w t H q C z n + c e s Z g P c G c V 0 u s p O p 0 + d k Q 0 J 1 K p G N 2 T R m M 2 b N x n v m j 4 8 X q J 1 r + 8 e Y 3 L X Z N I E y l 6 5 W x H G R J o Q q U L l W m q N a Q c z O F h q S 1 B U B m C W V A U L i o x U K K 3 f 1 9 f X Q z l J A V q U M U 8 o D Q z a 4 l 7 C E l d S U i J L l 2 G S I V Z j 0 i s t T R d J b g c 9 b h 1 7 D k 0 m x A g u h y K W I p O J S M Z x H U Z H s a A p 9 / N M b W C m B 8 v 0 o Q C Y X T s j N 0 4 2 k U s 7 Y X Z 2 q P f A o 8 L D n W 1 0 d u 2 + P i m b 6 w j Y n N T U 1 i N b c G I O E 6 Q T 5 j B h V 8 W z Z 8 9 J Q 5 4 u Q I 6 0 + H A 1 W x E m X E K 1 9 4 d I p o i k y C V l U o 4 Y u 3 C o v J V g m T 4 U A l S 6 x K T Q g o x a U u l G k G h 4 U s C C 1 d H W I v 0 r r k o h 1 v q F U x 9 X m Y 3 A 6 r Y L t / y R N m x Y T 0 u W l I p 0 K i 4 u l p 0 8 0 P c x r w 8 B q x + I h 7 U p J i O 9 o O r V t / Q F V W 9 N J O 0 M K 2 k O y S 4 l e X R e 0 i C R D v I Z d U x t J T q 2 L c z U Y K k + V O 2 z R k p I V C u Y m t W + 7 s 7 w z c N G P M O U l a P 8 y b B c M X z G P I G 5 a Y y I B R h 5 I o E B 3 W d P n 0 k a B M C y y y A a 7 l + 0 x T C j 4 Y N 3 l l J 3 7 w C d q 1 P T 4 S U Y x N G h r Y 9 p w n G Q P E g b c T A w K b E d U H F x T t S 2 M F O D p f p Q v b Y E q S A A F j 2 N 5 N T U M I K 5 3 A k 0 N D R A D c + e U A o 3 E n g D J D q i b 9 s 5 V 3 G n e a z E x k T A b p Z G X 3 / 9 j b g O Y c 0 8 r E 6 L a R 0 e f j C N B 9 Q L F m s 5 d + Y 0 f X e w g j b k d s l C N E I W P o b B X E i q 4 A Z r h g S K J B X 6 T W r T N e T 9 t H z l o q h t Y a Y G 2 9 l 7 j 6 I 8 q 2 Y u S p I C M t Y E t U I / A Q G Q J 6 + g U N K d Q / G U k x x S O 3 p 7 u + l O Z / 6 s 9 S 6 f D u C 5 v 7 M s + l h d N P z l v 7 + i L 3 7 9 K y M 3 F l 9 9 d 5 w + + 3 C X q H 3 o 6 2 I t Q H e C W 9 a S g P c E 6 g v B x 6 G i K o 7 T P t l l R M X c x x 3 1 0 p B H D e x i 0 z V M f 8 c C L e 9 / s M X 4 B m v A U n 0 o h J T U d H m a m S U S k J G Z z b p + p / S f N J m A 1 u Z G r t C U e T J F 4 O 3 S 2 E 6 z k c B D K S F i M 4 F I u F k D A J n w X t T N a 6 9 t o q q H V X S t w S X 1 p Q M k j 3 3 g s S G N V B 7 S y u P T 7 1 H S S W 8 N G q 0 N z O R g K S s f M D g 0 H J R K 5 r 4 U 3 F Q y M 8 e u g 5 C d m 0 + 3 m s d v D H M R N 6 M 4 z c Y C 7 j H 2 C U Z f K h a w y A r q x R z g l T H K T U y T q a + / n 2 p r 6 6 g g N z N Y J s Y I x H 5 F I g n Q P j i O i 1 N 1 a y X Y z t 2 v t Z T K B 6 z K T Z J + E S o N r k d p 6 Z l i G o c 1 D 2 V m I H + i 2 h p + Y L 8 0 Y r l n R c O N G 7 d k V V v M n y r f p F Y q w l o U + n 7 D / J 6 V l S l 5 E A X q H c z y 3 1 X c p 6 L U Y T E O Y R M 2 z A r + u T Z e f P h Q Z x I z U f 1 + Q 9 0 b w T o S U P m G 6 c D 7 W 9 S 4 m Y V g O Q k F Y I t + V B r g d i d K h c A p M x p 8 A U v + x B m H p U t L x c y + e s 1 q 8 f / D v s B Y 1 x z O r t i M w G 6 3 y V h W U P J w c C c k 0 q 6 3 N 9 L u X e / S e + / t U j 5 + L H Q g f X A c k g n E Q 7 o 4 d c T 4 H C Q U d k f 0 W Y 5 M g O X 6 U A h Y e B 8 V g a e h O y F B 9 k z K 5 D 5 U N J x + Z L 1 9 W n 8 J p L u n N m C K a R 1 w q G 1 q a q H s 7 C x Z I g z T 6 f f s 2 U X n L 1 y S l W a b m 5 s M U g T o 8 O F j I t H y M p z B M r H 6 i W p n E I e D 7 i 9 l J k J a K T J J 3 X J Z t L q f 6 c G S j + 8 R 1 j K g z 6 N i z M Y J V E h H W 6 u R U 5 C B t n m E o T D N T w s i 9 r w d D 5 j a g T G p / / r P v w T 3 4 8 V 9 x 4 M N R N u x / R 2 Z s o G N A W A W B y E 2 l q 8 X z 5 U n j 5 8 Y 5 N F E M h N K x a v y h s n j V Z N H V f / J R 8 V F 0 1 8 X 8 F X C d v 5 B n e X 6 U E B J i p 3 c X K F 6 H y X o 9 K h k W J p g j o X n M 3 C r M Z 5 a + + f V P j O 2 L c G u g Z O v d r g m y d J t f L / 1 A 0 x 1 n U I G C N x / x C D f 1 a u V 1 N L a x p 9 J E b V t U / k G M Z f 7 f X 4 x X p x 9 5 D B M 5 l 5 y 2 U Z o W d Y g X X 3 M x G U C e r n v 5 O f w + R e 7 5 H u s B k u q f A h Y 3 x y 6 O 5 5 y q F w Q a 3 h I 7 b u k y Y Q n 5 b o F 8 9 P j z U h L C E y J T E A r k w P 9 J r M 2 I I O z h r T R 6 v e p i t P U x u T D S k r v 7 t w h 9 Q G n W 7 O q d 6 4 2 T t Q 8 q H Q u u 4 9 W 5 A 4 L 2 U a Y b N J 3 k n N Z U 9 1 D s O y j u 2 l w l O L 5 i d n X B 1 I p 9 c X l U n O h d M V j T G o e 4 c h k Q k 0 V z S 2 t I v k 1 t F T S h I J 0 q q 6 u J l / a W n r Q W 0 Q 9 Q 2 q z a S z D j L X / N J m a e v h z 8 h n V d 1 r F Z I L U q n x q F z I p l c 9 H b 7 6 5 3 v g m 6 8 G y h B r y j c r k u P h 4 F z 2 u q 5 E K w 3 a b 8 4 g N P G a w e d t U o b c h B T S Z Q q Q a l Z 0 R i 4 s X s j b g p e 6 7 X 1 N f R 6 O U f / / d j 7 R o 4 U I h 0 K A n Q F W t G J O C J M I C m I M i m S Q w q S D l l I T y U W G x d b a v i Y S l t g S N D J j P A 9 N t Y V H J m A 2 9 t J T y e u d V P g 2 s v 2 H c l i k B Q x J 4 Y E W S C Z L p f / 2 / o 7 J + B M z m s P o d O L B P b V X D e W x 9 4 2 c C n a m J o y t P H U I k C V w G A i H 0 D k I d V E R C S E l G P 2 1 s X V s m X H j 4 x J J G C Y 1 C l 4 + w M z r 6 U O j o m l 1 k U O n 1 T + v o 4 f B K m Q Q w 1 1 G U 5 q O y b I 9 M x 0 j l x h 9 n U o n N R I l U l f F + r J Y E z 3 O Q A J s I 4 I F 1 / N R 5 2 r 1 j q 5 I 6 T D g c g 2 U P E k e M Q 5 w / U 6 O I J D 5 7 B m l G / V 5 a m z 8 o l t r L d a Q G c o 3 B 3 C 9 / e 0 A a p l V h e U I l D L Z S Z k a m e E 6 A W G g Q e u E R p F G Z Q / 4 4 W b R + L g P 3 I q n r P G V n p l J B Q Q G d O l U h y 3 v B m x z W U j y I M G 4 E A 4 Q z 3 k l J s n W Q T X b S w A Y N m Z n q H m N x T M y N S k x O o 4 V F + U I k R S b V N 7 p 5 8 z a t X L V C y H T 1 i Y P 6 h 5 U E U o S C p c 9 L u Y k e D k M s n X x 0 p w H 7 Q X n E d W z U 7 6 H f / P 5 D d c E W h e U J B e T a B 6 U v B b V D m 3 Y h s d C I e r o 7 q d + W Q / d b 5 i c Y r s 7 3 U k H q x O N P 8 i B i k n z 7 z f e y Y w d 8 8 r D + R F Z W t h A D 2 9 B g s R U h E g h l k A m k u n T p M p W X b 6 Q L d Q 7 y j H A Z p J c m F E z l H N Y X D I h 0 u v I Y 0 o k l G k s m k O r L 3 + 4 P M 3 5 Y E Z b u Q + n Q 3 t 4 p q / j U 1 V S J u g G g U Q D w T s e 4 x j y I 7 k a Z A x U N e C C h Y R c v L J L N 0 Z D O z s F A q / I k f / a 0 X i S X S C W W O k I m J t a w Z 5 h W r F g u h g Y M 1 I o q i O O Q T E a 8 c c G g W P b 6 h p i M Q j D 4 8 U E N 9 L G q a Q + r V y s G y 4 5 D m c N o V r H 8 G G 9 A D f A i o G P c 1 P h M p F Z x z r x 0 0 r h e P / G 9 w M M I f S E 4 v w b V O Z A C 0 o j D t u 1 v 0 8 k T p x R h T M e v V V 4 X D Q E P N U g t k U 4 g m 0 E m G u W 6 4 d j H 5 L n f R I p M R v j 9 3 3 7 C 3 z y 2 b q 0 W r C 1 f T b D b H W K 6 R W X p 2 b w 5 u Q X 0 0 0 M 3 3 Z 7 C V I X Z j o 7 B 8 c f m Q B C E 7 u 5 u 8 Q x X e U U c J W n U Q H p + f p 5 s h y N k 4 u O P a u t o Y / k G I V F d B 3 Y o V C S S E F D G i G V Z Q / K w 6 x n g 8 x i S C d 4 S F J g 9 s 6 l n D a G 6 H K l i Q r 9 5 4 5 Z M g e / h B n H 8 g V M q u E X 2 H 5 q 3 8 w H w b Y w 2 2 V L 3 m 3 Q M 4 4 S y 1 C m C h Q I k l Z / W r F 1 N F y 9 e p m P H f 6 J D h 4 5 S c V G h H I c 0 6 u h T x i B F Q J B G S a k 4 m + p D P W i G F 4 u S T A E O f / N 3 n x t X Y X 1 Y a k 2 J i U J G Z i a V L F 4 k 6 l 6 8 2 2 1 U m n o 6 y m N 1 H r I 4 y 8 U n 4 R Z P k E g T C a G y 8 p p 4 l A c J J I R Q Z E E Y H h q m + v o G G X / a u W M 7 F R U t C D s + O I I 0 i I R 7 D 2 K p O o A f X + V T r F 6 F t c t V / y k x k a 8 l S l 1 a N f A D a / b 8 9 c V n k I N V P z Q I n 9 d H d t b Z g x Y m q B 3 c O H T j m Z P A 7 + b g 8 4 f G n D S J Q A T E / f 0 D s m E A 1 D 0 h i T 4 u k i l A f X 3 9 1 D / Q T w s W L J D 7 i c 8 1 N j W r 4 5 y + V O e Q + y 0 q n 5 T h / s M b g s n 0 B H v t 6 n 7 T C N f N C P 3 q y / d N N W j 9 v 1 m j 8 m k M J G T L K j 2 o u N e L + o 0 K 1 U 9 K V c m y l g G H u Q U m k P G a l a Q e L C E y q R g B 1 l K M T y k i q X s m x z k e G h w S t T o l O V m R R I 7 5 q Z Q J 2 D U Q o P O 1 c T Q C 6 5 6 U Q w I Z D z P R E j S R Q u F 3 f / h Y X d o s w q w j F J C Z n U t e l l B Q M V K c H q l Q q U S D W O L t b D y h 5 w z 0 T + W 4 v T + 0 z o M K e N A o K X X l y l V 5 q y Y S 1 o F A O b z G 8 R A q K l L e E j p g 3 K k 1 U E R 3 G k K S S d 3 n U I A 0 E s k U J N U I O R 2 2 4 A D 8 b M K s 6 k P p 4 E v L o 8 b G R l H 7 i l I G V K V K x S p S a W L p h j Q b i a U f G O G B y Q P p H C S Q I p E m E / J Z 3 H f q 7 u q S 9 I k T p 6 i 3 p 5 c q K k 6 L d w Q s q X i f l k y X m U w w k z c 2 t b B E w / 0 1 7 r P c a x U r I i G P N S N U C D C h f v 9 3 n 0 W t O 6 s H 2 + W a + l n 7 m L Z 1 P C W H 0 0 V X G 5 I I O x 9 i n h Q a h Q R J Y y D R C O h N c q y B + y O D W x Y E y M M v o t 5 p y S Q 5 g 1 j M K N q x Z E j S w Y U n O c b A L A i U k J j A Z L l C W 7 d u Y Q L y c R C O g 9 k j A i R s a W 0 l h z u N 7 j T F q Q e U E E 1 J J Q x f K G k E A w T H 8 I i Q M E x / 9 4 9 f z N q p N b N S 5 d O w M W G G h 1 h l M S o 2 2 h M 0 K K m M O L w x G q 3 R M j A I o + g j a S 2 V R B L j 9 3 G w k 5 Z K m i D q t 7 e 3 t a n P c 3 g T Z B I S q e M 6 a O k E w m S k p 9 O d R k 2 m 0 L 0 1 k 0 m C S C a Q y U M Z G W m z e p 7 a r C Z U I K O I h o Z 9 l O W v C 6 9 g q X i k Q 4 0 g S C q k o R a h X e E k 0 k B n N o L E C U o b k E c F I U X w t y m C e D n 2 e J W a h x W k t O q H p c J S 0 1 J F e p u J J C T y + e n J k 6 d 0 4 / p N 7 p v i 3 v n p f G 1 o Y m D w P i I 2 3 W t I J 2 z v C T I 5 u L V 9 9 s V + 4 6 p n J 2 y X H 8 1 e l U / j W d U T a u x z 8 Z P R q V Q 9 q H 9 B t c 9 Q / Q z 1 L 6 Q G K h U Q M b 8 Y e Z z t 1 a i B S v J I y o g V p B i E Q r n E R j 4 s B C L K F M k y B i q l b 4 R + U 1 1 t H W 3 b 9 j Z / G L t F h s i o V b 3 z 5 y / Q p k 3 l d P v 2 X f E m v / g Y k k l J e J A u S C x 5 S G k 1 z y D T i I f P 6 q d / + P N v c X W z G r Y r j x r C a 2 i W 4 u K V p z R q i z P 6 U h H 9 K Q 4 g 1 F h i g U w G u f g c 0 s d C k e R Q E H w x J Y 1 j L x A g g Z E C L y S W V 2 T k H y 8 h w k i J O R 9 M Q / I a a S Z K a d Y I F a R g c R W Q J 2 R G 1 y q i B F E L A z I 7 G l v f o K 9 5 s Q 5 r k z O J R P K B Q E Y s 0 k j F K q 3 I h F W M / v Q v v 5 d r n u 2 Y M 4 Q C z l 1 8 z A 2 C y R Q H C Q V y g U h m Y h m E 4 m D X R A o S C z T i P 8 R G H k B Z i E O S C y F 2 x g R 9 + y O P o + E b S S G M l J h i v B p 5 v N H I h x P I H J S U g p G B W 7 i U u e M w F d 1 j 6 m M h N o 1 P g T B I G 6 R q 6 i G q b Y O / H 0 u l o B o J C W W Q K E g q g 1 B M J o w / / d O f f 8 c P s F n d u w j C d q V 2 7 h A K b e n c h V p F K q 3 + g U g m a R U k k 0 E k U f s M C 6 D k 0 f B N p B I a B M v l a 1 R a w 5 S M i j F 3 n x u / i q K k O S H / e O F X X S 4 k U X H o W G Q w S S e k j f 7 W 1 p I h S Q t x p N w g k 0 E i S T N 5 b j x z y L o Q I p V A K D O Z d H / U k E 6 6 z w T z + J / + 5 W / m D J k A J l S j V M t c w d D Q C F 2 p f M o k c Z j 6 V J p M i K H u c T q S S E G C g S 4 g j 5 H m I B Q S 4 i j 2 q D I D p r S p N I i w m 8 + N X S J T G j m V N M f G + x B z w J / E p q D L g 2 V M D J U 2 E Y v L 3 j Q T y h S 0 p 4 T P F 6 D L T w x L n k G m E J G Q N s j E e S W Z l J q H 8 t / + 4 T N K T U u R a 5 0 r m H O E A g Y H Q a o 6 J o k h q U C k S C k l B A K p F J G U 1 G J K I B Y C G W R C j J N K j L x k k D U Q T C j o b N S 7 r g q 5 r Z v S x h t B g G D M K f z L M Y M c E W n J B 9 P h J N J l K S 4 f r c o d M f W Z R q l 3 K E C d A 0 T P u t Q u g 4 p E H G t C B Y k E U m k y q V h J p h F Z M + I 3 f / M Z p a X P L T I B t q t z k F A A G l X F m Q f E H S p l q O D Y J q R S E k o T C 6 T C J E U l q R S 5 g k T S a U 0 g 5 D V j J G 1 A D k 4 C a O h G E m m J h D l G K h g j o f K h t G Q k N g e U g T C I Q S I 9 U I u 0 j Q K 0 k g n V 2 G 2 j N r 2 R t J A I s U E k k 1 R C H D R A I A T J p A L U P H z u n / / 1 D 3 I f 5 y J s V + v m J q E A P J F P V d x j 4 k B C K V J B U o 1 V / T g N g g j B Q B 4 V g y i S B 3 W M t A L S K j b + D Y R S Y 8 E N X U X 6 x U g a a Y l B C s m p v P z j R e X N J F J p k 2 Q K p k E W R T J N r C C J O K 1 I h D I m D 4 d R S C I T o Z Q 1 b y y h Q C Z s M P 1 P 3 G f C V P a 5 C i Z U k 1 T R X M Z P P 9 3 k O 8 H k M Z E q S C i J t X R S 5 F K k Q j A R i 8 + j 0 8 B Y c g H B R B S o a u A 2 b w D E w L 9 R A D L o 2 H i T i l V e B 3 4 x 5 U E S U 5 q J p M p U 2 m y E U G R S j s N B y a R J Z K R D J A o N 4 K r x J o + s Y f 4 n l k x z H f O E M n D 8 + H V u m k w e J p W S U C A X C K T I F U 4 s g 0 x Q B U E S y a u g C G Q Q B 2 U q J W m J 5 D U c Y R U g G V X C z T + Y Z 0 5 E x D i G d 5 j S U Y N h L h f S q H w 4 o U A Y x F o y K a u e S K i g V F J k C l P 1 Q C R I J + 4 z u d 0 u + o c / / w 4 X N u d h q 5 w n V B A X L t y j 7 t 5 h J g r I B D U Q Z N J S K k L 9 0 8 T i v C I O y p g u c s w g j x G D R s G k I J J W o S r g N m 9 A J U A C I 6 F K J O a U k A N B C o 0 0 A g h j P q 7 y Q h i d B 3 E 4 N h N J p Q 0 C I W 8 m k + F J r q W S V v P w / s K i B f T x Z 3 t x E f N g 2 C o f z x P K D D S m I 0 c q + c 6 A U G Y p Z R D L I J W Z U B I L Y 1 Q c S u O M / C L / k p G 0 8 R I F I E I w J a R Q a Z T L q 4 p 1 O W I j L 3 + S N w i k A 4 j C c a j P p M q i S S e z e h d T M g m Z R s j B v / t P / 4 r + 0 u x 1 d J 0 O m F D N q n b m E Y b D h y 6 S f 5 R p o K W V m V i G u g d y c Y L L w B g Q i M t B F s k i p c o B R T I z j D y i Y A 2 E q g I N X 0 O l O c g / X g y y q I M q L W G s z 5 7 E Q i A j b 5 A n J K E U q U J E Q l r 5 6 C l C Q S I Z k o k J B T c i 7 B X 1 t / / 0 J b 5 9 H h G Y J 9 Q 4 w K z f I 4 c v 8 V 2 C d F I h S C w h F Q d N p K B p H Q x B G g F n U W m B E Z t f w 6 G q Q h F F v W j S q A g x i K H K 5 E + I w g V G H C R R k E w 6 r Q n E M f J C H M Q g k U E k Q z K Z T e M h N c 9 H z j g H / f 2 f f k v x r t k 3 0 / Z F w X Z t n l A T 4 t j R i z Q 4 5 C N m E x N J k w u S C Q T S x F J k 0 o F f V B r E Q Z 4 R J J a m l M 4 a A C 8 U Q l U i Z F G J I L m E K M j p t B F C e Y N M Q i I j b y K S J l N g V E m h S D U v q O I Z h I I 5 H K s g f f n 7 2 b c G x I u G 7 d q T e U J N F t / + t Y I b o S a Q J h X H I E 4 Y q V T M L y p m q B h 5 y e E l G I U h W B t M B B W p N A i D l C a O L h P i R A Y Q C s R R a Z F E m l R G k H I Q B v k g m U A i x E o i 8 Q d k w Z Z / / B / z F r z J g g n V o m p q H p P G X / / y E w W w H I e J W F p S i S o o Z F J x k F j 4 o M T I y 2 k Y K q G z 4 R U B s u D f K B W i S I J j l O K g k Q 4 L i j j m d J B A i C V v E A h p I Z P u M y m p B C K 5 3 W 4 Z p J 3 H 1 D B P q O f A V / 9 1 l J u 1 M k y I G i g E U s S K l F K K S D r G p x W N 8 B Y F J F R V M B d C A D G C 5 Q a J z G m Q R m I d Q B p d b i K R l J t J Z A R I K S M P I i m J N D f m L r 1 4 E P 1 / E t C 0 9 Z e 9 c L M 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 G u i d = " 7 3 7 4 b c d 6 - 9 6 e 0 - 4 6 f 4 - a 5 9 1 - d f 7 5 5 8 a 8 7 8 e 5 "   R e v = " 1 "   R e v G u i d = " f f e 9 2 5 3 9 - 7 9 8 b - 4 c 1 f - a c e 4 - 6 1 6 4 0 3 8 c a 5 d b " 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T o u r   x m l n s : x s d = " h t t p : / / w w w . w 3 . o r g / 2 0 0 1 / X M L S c h e m a "   x m l n s : x s i = " h t t p : / / w w w . w 3 . o r g / 2 0 0 1 / X M L S c h e m a - i n s t a n c e "   N a m e = " S a f e   A v o n   0 2 - 0 9 - 2 0 2 4 "   D e s c r i p t i o n = " S o m e   d e s c r i p t i o n   f o r   t h e   t o u r   g o e s   h e r e "   x m l n s = " h t t p : / / m i c r o s o f t . d a t a . v i s u a l i z a t i o n . e n g i n e . t o u r s / 1 . 0 " > < S c e n e s > < S c e n e   N a m e = " T o t a l   S a m p l e s "   C u s t o m M a p G u i d = " 0 0 0 0 0 0 0 0 - 0 0 0 0 - 0 0 0 0 - 0 0 0 0 - 0 0 0 0 0 0 0 0 0 0 0 0 "   C u s t o m M a p I d = " 0 0 0 0 0 0 0 0 - 0 0 0 0 - 0 0 0 0 - 0 0 0 0 - 0 0 0 0 0 0 0 0 0 0 0 0 "   S c e n e I d = " 4 2 3 1 1 8 4 4 - a b 8 8 - 4 5 1 f - 8 f 4 2 - 6 1 1 9 4 5 4 4 2 8 d 6 " > < T r a n s i t i o n > M o v e T o < / T r a n s i t i o n > < E f f e c t > F l y O v e r < / 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V X S U R B V H h e t X 0 H g C R V t f b X O Y f p n p x n c 2 R Z c k Y l S Q Z B F B V R w Y S o P J / 6 9 D 0 D m B U F B B U R R S T n t O Q M u 7 C B z T n M T s 6 h c 4 7 / O b e q p q t 7 u m d n 0 f + D 3 u m u r q 6 6 d e / J 9 9 x z N V 0 j 6 / M g N H m W Q a c z A v x J I w 7 J 0 N B L H I R W o 0 U u l 6 e / d I w P M 6 S v p L + E T A 7 Q a 6 X 3 E q Q T + N 9 c P g W d h u 4 h H + X P W v r M P 8 / S e z X 4 v F w + T e f J F x b 3 N 0 z d V k H h W 0 Y e 2 Q y g 1 S v 3 o 7 b k Y n R t M 3 T U q D y o c a D G 0 f E 8 f 5 n X Q K P L Q 0 P P w + e L d o y s R m c + j k b z U v q a z p X b q 0 Z g v w b O e R l o t T r x m a + r y W c Q T w 3 j w K s 6 e D 8 6 Q f d M o t V x P P J 5 + i 4 9 g X j U h W w q h x Q 9 p s W p R X L U C l 1 r B A 5 D G m n o Y c z F k c o 4 E O r W U b u j i N X q 0 V a V p Q d w 0 D W y 1 E b p X r 7 d O X i W a O G P d C K c 1 a D V N V c c 1 9 C 9 B z K D 8 B j a Y T F 4 o M m G 4 D v g h n t u h P o t g 2 g 2 g V B m D I 1 a E 3 L m + d S m Q W x 7 K 4 L q + R 7 o 6 y J o G H 0 F 2 T l f F 9 f K J C a g N 9 e I 9 9 G U B j Y j 9 w 6 Q p u Y Y c 2 P I G 2 r F 5 3 w + j 5 G u L j S 0 1 1 D f 5 Z D X u a g D E 9 D k w v I 5 1 L f 0 X H n q G + p p e q 4 k 9 Q v 1 l t a I 4 F 4 D q h f S 2 O v 1 1 P Z e 5 P W N N D Q G W H r v R r z t y 9 B k g h j Z p U G y o w / t J j t y h n q i q w x C / n E E d D W o s W t h D g / A E n w G r 9 b + l q 4 j m n Q I y O N / C J S j 4 R y 1 m + m f H o W J i p 5 G i x p t E v M z + 5 A 3 N i I T T y H u j 0 H 3 7 e 9 + + U b + S T p q g s l k Q j K Z E i c L x i G C S S S S o u N 0 W j 2 y 2 R w y m Q z S 6 b Q g w n Q 6 Q 8 e y 0 O u l w W Y U e I 0 b r 6 H G 5 e g d v + e W c N O Y O O j 6 x C z K Z y 0 R C 7 / 4 v Y L C e x 4 K + o + J P q + l N j G j 0 P X o s 9 Q G I k c a l D S 1 S 6 f T U f t S x C x 8 L r E i c V e O i D V P A o I Z i K / D 7 U 8 k E j A Y D X K 7 q I u 1 / I 2 M 4 H 6 Y b E f T 9 W m E Z C J G j v o k P U R M Q 4 S V S 8 J c Y 0 J 4 M I 5 A d w L 2 e p P 0 W z r f o H d j c P c k F q 5 Y j F j G R + d q k O i t g s Y 6 D r P d D q P D D I v L A K M u C H O 1 A S Y D E V Q 2 D K 3 O g e h o G I G Y D / r 6 I a Q s N W h 1 h g B i D H F p Z m x C O p a B p Z b 6 Q J O D l Z r m N p h I 8 l j 4 D P T H O 1 F r X o S x i B U u k 4 4 I 0 g d z r Q m p Y B T + f g t c V V G Y d E 4 a R y M R r x 3 b X 0 p g 0 W k e V D f S P b I 6 G O s / A s P o 6 8 h a W h B M u 4 g p 8 1 i z Z h 0 W z W 8 n W i B B k C G q y A 1 D a 6 y n o Q x S p 5 n p v n n Y r V k E B v M w e 7 i t 1 B P E F N Q o e p H k E M K I 2 q 6 1 o C e 6 C Y G U n 5 7 Z B S u N i c 0 b R X w y i E C / C V F n E q b 4 O E Z j O z H h a I N T T w K B 6 M P W Y E f q Y B V q M / f C m N i E S G 4 O U u Y W u A z U T x o T M g Y r h o a O h a / a L W i B x a I m l 6 Z 2 x p A n w a G G J h u D R r R t a q S n w M P K h 5 V v i B w E W B g y + N p a W c n w I S 0 T I c F G N G r I 2 e i 7 L A l F I 6 w u M 6 Y 0 V K N n K f S s o V T Q Z p P U N 9 x x d I d s X D Q 4 Q w 3 V z S A O + G L a b J S k l Z X e s d w i y S X Y u g D W N C z V W f I e H o z i Y R V G y u W y x C D E k P S A z E A M H b 1 n Z k m l 0 o L Z + b j F b C E N R Z K f C Y N U h M K E / D I Y q J P 5 t 9 T h o D Y n k z E k E 3 F x r S L k E t R w 7 o s C + N q + 3 W l Y G 2 k g S d O F + h M w V W n Q t b 0 X K 8 5 a j l C X D u 7 5 W Y x G h p A k y a 3 V B e g 3 G d F H r Z Z l J O l s 0 o U I o 9 u D s C w M I J G Z g 1 q b 3 C 8 Z Y i q 9 U 3 p P y C Q z G O k Z g a M t T U T l J e I h Y W e o w X h 0 G M l M D C 1 W 0 h B E T B F N m 6 x V m C C k w f f 3 + 5 A O G F G z z I Y t z / X g q I s 7 q D 0 6 H D z Y L f q m s a E R 9 9 1 / P z 1 m C P 3 D A R h M B u p L H T 7 6 0 Y / i 2 O O P R z i y B 2 7 7 f H G t A q i d 1 I Z M 2 I d U u g o 2 p 5 + Y t Y 5 u y Y R L I E F E V E w v o h c e a 9 J Q G q H B g s i Z 2 u k E i X J 7 f T 2 o H e t E P P 9 R e B a T M E h 2 E 7 M 0 0 / 0 N G N 2 W Q N 1 y u h 6 1 J Z z o h Y M Y i s c r Q 9 o + 0 k s C q i G O f p s k e N T Q p g L Q R g 7 Q H Y j Y q 4 6 l P i e h T e 3 R R f a J 5 q R J + E B n I B q h P 8 T / T A J E V t O Q S U W Q D h m E 1 c P 3 t F S b i e Z C i J D Q c e u G s c B q l 8 + U o B k 5 + E w + Z m t A U 9 V i f O + 3 9 2 P t K A 3 y 1 J X J t N H E 8 N p t X x b E 2 N 3 d j Z a W F p j 0 Z I q R h J A 6 h I i J O k l h 6 5 x W I h L x i V U 9 d W L Q H 4 D d X U t S I 4 / J S R 9 q q + s x P D y M a C y K 9 o 4 2 B O j 7 K g 8 R Q x k o 5 0 t g 1 S t J C 2 q O Y E o e L 6 2 Q i E x A d F c 2 H U k z Z U H S g j / S P X k s m W i k F p a C L k R S D b J E q 8 h Q s w E N W C y S Q a R H i 9 o j z M Q c I Z i J I S Y T X T B q z P C n + l F n O h I T c Q u a X J L 0 e 3 2 / C R + b n 0 S o U w v r H B I Z O u m 4 A k 1 q i N p m J U J 1 0 6 B z W x M Y 2 5 Z C 3 V F u + p b 6 P u 2 j / g + S A H M i S / f S p c c x E G 9 G i 6 W P z i d B Y 2 q k P s u g y 7 c F N o s F 4 2 9 U 4 4 j z q + B L x u E x U 5 / L 2 g 9 k l s J Q T c R M h J g J Y F 9 s H u b V K F a F P J 4 y N H Q P Z u R S j G w L o X 5 F Q Q B I K P 2 1 D H q O H P V J h g S Z e / / v E V v y E 3 G Y T d W h X X E S 2 g 4 S d j Y a Q y 1 i x L B 8 H Y v D g z Q x v M V R D c e c B H a N G L G 0 P o W t a T I b 6 b 8 U E Y V Z Z y O r S A M D m / L i i g Q h 0 O m T Y n G o w K 3 T R 7 u I y U j 4 p r J k D j d Q X z M P E L 0 Q E + d Z C I d p X B x 5 J E N p m B y k C E j D a o g r q z R p 2 C M 7 4 H T O k y 5 G 0 F 3 3 v / 9 1 I 9 / Y b q 3 D y + s O Y F v Q j V j e N P X S E f F + + d w j c O t t t w m m e v b Z Z z F 3 3 m K s 3 7 A R 4 x M T e P C h h 2 G y O t H Z 1 Q c 7 P T B L 7 V Q m g V g s g U 2 b t 5 D k y u G v f / 8 n W t q a s f b 9 9 f j L n / + K i 8 4 / C 9 / 5 7 + 9 h w Y I F + O M f b 8 f C x Q t E h 7 z w w o v w + X x 4 7 L H H M W f u X L y 3 e h 2 s F i v S p F X e X 7 s W L 7 3 0 M s K h A D H h H G J U + g V 1 m s R M D K n 7 N C S h B S O R N m O p o 9 X R e Y L p J M L J Z d n 8 o / N Y A L D W I W 0 p R J a M b J Y 0 G 5 m F x e B u Z 0 j 3 U I M J g J k x S w 5 G 9 6 Y D G N r n g 8 t j h 4 3 M Q g O Z u R o i T i u Z W X y P S M Z P g z 2 J B q c i I M h s o K + M 1 M b d E x n U 2 9 L Q G U s G n c z B S G I A I z E / H E Y H d F k f D W w 1 L D U a 9 A W 7 y D x L w m k n T q Q 2 a t j E o u d x 6 S b J B G y D W z 9 J j O b A U H Q H q i w N i H W a 4 J l v g D 0 / Q S Z o I z H G i L i + I D i d J G k 1 + R A R V R M 8 N p L G X X 9 C p u q 4 6 U 9 N R M u a S d 1 v j G Q 0 B Z f / n 8 h 5 j p G P M K j / 0 6 N T 1 5 8 C / Z b H S U 8 + V p R M w g h d y k x C g / v S U W s l f 4 Q Y n J r m b a V r 1 k z C X k f G u 9 d K J q + B T C s f o k E S 9 m T e h k e D G P X W k Y F p R J a e n f Q f C X U 9 f d b R i 3 w w I v 4 k j U T h v a 7 o x e c l S J D E y S 9 L G O u Q p L Y o 5 y f I F A 4 k 6 B 0 N E n n 7 S J M 1 E 8 / x d 3 r 6 C 4 w P D 6 F 3 + 1 7 U N n l g I L N P Q + M s q E w h F 3 7 4 S g i F Q l i x 4 g j 8 8 A c / w F / v u g v b t m 3 D + v U b 6 B s N / v K X O 7 F 9 + w 7 c / 8 A D + P Y N N + B n N / 0 S 9 9 5 7 L 9 a u X Y f f / u 7 3 d I Y W O 7 f v I b M h I l 2 M 7 H 6 d 3 o C T j z t C a K k / 3 n Y H 7 r 7 7 7 9 i 1 a x d C A T o n p 8 O P / v c n W L Z s G W 6 + + f e 4 8 6 9 3 Y S 4 x m G T W S f 5 R J B Z B i k y g J D F b T v a 3 N L k o / d R B L z u p a P p M 5 h 8 z a o H p J A b T k h b I E Q 3 l Y V I 9 + 0 x g 5 i O / M T 1 J P 5 L u x d C k y E E n z b D p h S 2 Y G J r E v K O 8 W H p a O 6 q I C D T J f j q B T F t y z t l Z N 9 K g W X R u M u d W 0 O + I w A g D A S 1 G Q h o M R 9 f h y P k B R P r 0 x H B E q C W w G 2 v R Q m a N n p g 3 b 6 g j w S a d 0 2 Z 1 o M 1 O z j / 1 R y g z T m b I C M b i d n S F n G i 2 j p B Z 1 Y Y E C b R s e i U 6 X 5 6 A z e N A T b U J N t + D 9 C w T 5 E w 3 i O u w W B q L 7 Z b e y w E H x h r D d 2 D v / h V p L / K Z S q H 4 K F l p T A O 9 Y d i q j U j P / Z r 4 r P d v h 6 2 X x j 5 J Z i C 1 W Q g v F S J 0 T f b L b I N 3 w V h z K g m B g m a b 2 B d h C 4 + Y y I C e 8 K g w D z O 6 K v G d I T t C 1 h H 5 v 1 Y L H B 1 x e k 9 m L / n 2 w r o l B t D m e a z 5 A / D Q L b 9 G J i 0 F u / g Z Z 4 t c h u g j y 4 K Y f F X S 6 u z q r H 3 p O Y w P s t b P I x Y n D U p 2 Y n 1 t N b Z t 3 U Z C k e i N h Q x B + F B 8 q 2 b v U f j 2 z Q / i x f 5 i 0 6 t a F 8 b 6 P 3 4 W / 7 z 3 n + S k v k e E P U e Y Y Y M D A 7 j 0 E 5 / A x o 0 b 4 X K 5 s H P n T n z j G 9 f h I d J Y Y 6 O j + P F P f o z b b 7 8 D o W A Q S 5 Y u R X t 7 O 9 5 9 9 1 3 E Y z E 8 + u i j + N z n r k J H R w e M Z j 1 d a x g n n H C C Y N K q q i o y u 5 J 0 j 0 n 8 9 c 4 7 8 b W v f x 1 G I z l 8 V i t a W 1 t g s 9 l x 9 e c / R y 3 T I k u q R i M 7 i z o y L T P k 7 r L U k 7 q O D E L S R h o d M 5 U M O R A i t J L o d I 7 8 0 e G c r L X o W m n S r o d l 8 h G D b X 6 6 C 8 s u q s d 7 u 2 2 k 5 c N C M 9 I V Y T F p c d N n 2 U T l C B h L a J J i J J E 5 g p U n c y d P j H J g Y y 9 Z W 1 r E M x O o b q q F 3 q h F 0 D e A b K g Z i 8 + u g d 4 g a w G 6 j y b D D J 3 H 6 D 4 7 a p e T O c R M Q W Z e O D U C q 6 F B + B y M P a M G L K 4 j p i O i 1 e R C 6 N l L n g R 1 Q s f y F n p G I p S M F H m D w S E Y P 2 8 i v 0 R A F i / C X 7 Q I 0 0 l P J r O t 8 5 e I z v s / 6 T s 1 u N P o F Q v S + U T M 1 m o O k E y H L t o H y / A D i M z 7 X / E 5 S c 9 v o n Z b e v 6 G c N O X 6 R m 1 G I 1 t R 7 2 h E W P 7 b P A u J s s o 5 0 d C U 0 3 n y W 1 i U 1 5 Q K o F M j i T d T / l u b c Z L 8 i 6 L b W v f w u j Q M D x e D 3 p 2 7 S B z M o d E N E R W R w Y L j z o e + z a v x 6 K j T y D m e B a n X f J J v P P 0 o z j q I 2 f D 6 f F g b K A f T r c b + 7 Z s I g u j B n W t z Z g Y G U L z 3 I X 0 2 Y v X H n 2 A f H M j P v + 9 n 5 N g k n i k R h N H f b a X B F 4 N A j 0 x R O N k f g d 8 Y 6 J V d k f V j A y l h k S K E v j H p X q N i Y k 1 Q y V k S Q J w G L s U O W I J S Q t J 3 + l K b F 4 O u e q Y Y w T Y l m W G y E K b T S G j I a 1 H P 5 v W F n a C d e R P i U C J J E U k F F r O G k 5 D W i y X y S M 4 H E O a n G a L u z h K V A n d W 7 p R N 6 c O E X 8 U N z 2 r R 3 W V g S R Y F v V e A / b 3 J f D X G 6 q w + + 2 9 p J W q R d S U m T q S H E P H M c 1 w e u 2 I Z g 2 o 0 o 8 h k P M g 1 R 1 F 9 U K n Z I 4 S k r E k u j 7 o J 4 K V G N x C Z l h e Z 4 S J t H A q G y Z n 2 U Z M G U D z Y r q 2 3 g q 7 1 0 Y C i p i K B Q c L D X p m N s 9 2 v j C G Z e d 5 q Q 0 j C C A N Q 9 6 C 2 s j D i F T f I K 4 7 B e F L S k z J Y M H P f c r Q x o e g D + 5 G q v 5 M + o K D V W R e i i 6 k t p K 6 H 9 4 W R M N K r 3 S y g j T d n 0 0 F n d y X 5 G O a 9 / y Z f k q + Z t N n E S W / l p 4 A 4 b w R f v K N b F E y n c h s c t T S T b X k g 1 J z + H E Y w v r g s + l 2 k a Q W T j N T I R 0 n A b g u 5 y K B Y c b E 4 A h W r 3 o c o 3 3 d M J G r U N P U g k g w g A U r j s L B H V u R I M 2 S T q b g b W h A Y 8 d c r H n + K Z x 7 1 b X Y / c F a Q X e 1 T a 3 o 2 r U N b Q u X 0 3 l R E k S 7 0 b p g I e L R K P Z v 3 Q R n l Q d X f e 9 n s H v Y f y W G 0 i a x I L 0 P A W J w P W l s K 0 c n A 5 P D L M Y F Q 6 1 6 e w M G g 4 K / p q C n A f j K p a f J n w o o x 0 i V I b F g l g i W o d O X + 6 V y X 1 a w l R l y + h w B Q 2 G u D P 1 b b N f n y E L T a s l c 4 4 g Y M 6 q I P h Z a r x Y O j G S M f J Q 0 + Y H R N C b 3 R 0 j q k o 0 d y M B g 1 6 G q n Y h 9 i q G B o Q N j G N w 9 h G P P c R M T W I X G G d u W Q O 0 K M z W U P F k 9 O Q E y w s k Q T K S F j D b y d 0 T E i z Q E M U U + H S K a M 5 L v k k F g c B H G y I + a V 8 c + X P H z M z P k O W Q t Y 2 x b h O 5 T 8 E v 6 g g f R 6 p p D h J D B 9 l c 2 k / R u F H N y R v a 7 d A Y E g j 2 o m W M j L U X E Y H D D 2 P M E g r V n w m I h U 4 s I g g M 8 v s g W u K 0 r i Y l I q 6 a G k G N T T Y H s L z l 6 f 4 X d r 6 2 D 9 2 P f g 3 X O q e I Y Y 3 h T A I 0 r a B y I q H R 6 P f V 7 F g f + e i E W 1 e i Q P f k n y F c v I 6 1 C z J M Y R N v 4 f Y i 1 / 7 d g s D x P D X A 0 k B g p 0 m u A o a E P s U w j H G Z 2 / d N I 5 r Q Y D P e h z U L f a U j g k u b M 6 7 2 w 7 P 6 9 C N T s a z g a g 9 a z 5 F Z w r 2 l J L t B I k 9 Z T I O b I i k a 5 g B y Z x B z 4 0 J A b I C t c c i N i e P W h e 1 D b 3 I o T z 7 2 E f s 9 m P v c R 0 S b 1 q V Y v m f 3 V 2 g z m a S W T t y f 0 H h y G V m g 6 B 9 f k q y 0 L B E P t 3 7 0 Z w 3 1 d 9 H W B 4 M w W G 0 7 8 6 P n i P Y P n Q 5 m m i o d b g m A J + o c Z Q o D f M 8 X S G 5 0 Y j / I P x W B f i O f B I u R n s X 1 q N B r o L 8 9 9 Z c W L 5 4 / M Z j P i J G U 4 T M 6 f 7 X a 7 Y J R 4 k j U e O a J 0 D b v d R u c k i F A s i J J k 4 d A 4 h 9 J T 6 b T 4 f T K Z E C a Z l W x w / l v 8 H H n 6 P j 6 j y T e y P S D 8 M A 4 w 2 F 0 a 1 L a 3 k Z T k c D E R a j Y G 3 0 E N q u a T Y 5 u O w W w k s y w T E N / 1 h 7 r Q 4 u T g g Q K p c 3 L k L w r F R U d 8 u 9 L w L i 1 o C A X s 1 A s / R A X B A O T 2 e J d Q n 9 I o 5 9 J h j C X D q L e R D 0 T S X Z v s J t + j Q z 5 b Q j A 5 i H 0 v D p E G c G P x y f N h 7 n 8 Y i Z Y r h Z D i u R Q m m R Q 5 3 U Y d t 4 Y u y / 1 T M t D r / / h J N J J G n X v x t 5 F q u l S c 4 C e T s m o R k R s x I U 9 y 6 s l 5 / 7 8 f 3 Y h r m j a I u U q O l P H 0 x I F 5 3 8 V 7 7 6 / G t + t e E W M 6 e e Y D m E c u R F / f A J w O N 9 a T p t h O Z n 8 w F M a v f v Y j 8 n / 8 i O V r 4 D R E y S S e J B O a T V P y u 7 p + j e i c H 4 j 2 h V J 9 2 K V b I d r G V o Y C 9 q v Y 3 J 8 N m G E 4 r M 4 X Z C t F z P u R m V 7 8 e 2 J J 1 p I i i i 1 1 C m s o Z q g 0 m 8 b k L g i + K J h 8 b r x x 5 z d w c v w p c b K C / k w 9 F v 5 g u x Q 2 7 + l G T U 0 t P X x B 8 v K P 8 9 w I 0 j p 8 G y b 0 I P l N X m + J + i c w g X P H s k 9 U i g y J U y Z + n l D m e z G x R W N x w T T s U z G D 8 f V 5 7 o Q f K J d J i W g O a 6 v R 4 W H 4 g 2 H M n z 8 f 4 V A I D q e T r q W j A W H 1 p A O 9 F Q M b C A R Q X V 1 N / U Y M y D P 4 Z U z A 2 Y b N 9 7 x M 1 2 r h c K 0 e h q o Y E m M m 3 P H k H 6 Q J Y 2 r / e e e d K 0 y M l U c d h X f e e R s 2 e o 7 R k V G c f P K J O H D g I N x u E m D 7 9 t N z p 9 F P 9 v t F F 1 y E n g P d c F a 7 c R L 5 k 9 Q V U 1 C H q e P k N 1 k M 1 f Q u T 5 o z g e g o M e E 8 6 h v y I Z l x o y k t b P q Y Y C r p i a a D z Z v t L 3 V S y 1 3 Q O c O Y e 3 Q r D K Q B 1 O j x 6 c n X S W F h D V N J 4 S r v 3 3 w B m t x a t H 3 5 O R I g C f K P + j H Y X Y P 6 F a S l 5 X Z y m H 5 i 1 1 t I r L 0 d 6 b a z Y e h 7 H Z b m o 1 B 3 3 k 3 i 3 n 1 3 X y i u t e i s M x F t + z Z C f T m 4 2 p i I S b / Q e D E N a W i M N K T R S 8 P z 9 r 7 f I 9 J K 2 o 2 f j C e Y 9 S 7 s z 0 r h d w O N p z Q J L r W X t U 8 m n o b R y R P o H N E l D S P P J W p Y K 1 I 7 p f n S A j L k P s Q z M d g M P G G r R 3 g i g h T H y c j 6 q b L 7 o K 9 q l k x Y u o W N z M 3 x t T u p D 7 y k E A K w 1 2 m h + 8 H 3 / 1 t k S h h N V n R v f A G t m T 3 i w g p C O T u q T / k 6 f n f z z U T U r E H C + N G P f o w z z j w T a 1 a / R 2 f k 8 e L L L 2 E B E f O 1 X / 4 y / H 6 S 1 t Q Z A w M D Y g I 1 m U h i 9 Z o 1 9 F s 9 f v 6 L X 8 J b 7 U V L s + Q E v / X 2 W 4 K 5 E q R R 3 n j r d Z J W 8 4 V 2 Y g 3 0 8 i u v 4 q Y b b 8 Q l F 1 8 s z g 2 H I 9 i / d w 9 8 E 6 N C 0 7 z x 1 j t o a W o i A j b h x z / 5 K T p a 6 v G b 3 / 0 B R x 2 1 k h g 3 g j f f f A u b N 2 / B 7 t 0 7 U U X O 5 o Y P P i A N a I R B b x D X v v e + h 9 D e U g O P m O N i N S p J o / J h 8 2 K k 4 i k M H + z D v O O 0 s D Z U w W w 3 w 1 5 v g M f e g H P O O w M r V i x D a 1 U t t T k D X c a M F U c v w s J 5 7 T A 5 a l B b U 4 e x s W E R w W x e m I e H j l 1 w / g V C m P C x 0 Q E / O u Y 1 C s K b g o r x D V M E Q K x s 0 i E + Z o C 1 j g S U T C h C u 7 B 5 R u Y k h 3 G Z w U o j 8 W y 2 1 s / 3 o n a + D S 2 5 x 5 C t P g 6 9 u 4 f R s 9 4 P / 8 g k X H V W e J 1 a m E l a G e i 3 2 s y o M E k 1 u Q S y e 5 7 h C 8 B 9 9 J X 0 h R 5 j + 2 1 i s p g z G z i Q w e F 0 D f k T W / 9 1 A x w m D U b 6 D t J f o O G K O 8 W 9 N 9 9 9 L a w I I Z b W w B v u x W j 8 J C Q j G t h r U 6 Q d T R I j k b Q P E b 2 b t W Q S 0 n O x q D b 3 3 Q 9 N f B S J p q v 4 C c S 1 + J l 5 2 s J L N O M C m c C k U T z Z C X j 4 r 4 Z 8 J T 0 J m / w E 9 K M J N J B v 6 9 H m x H H x 0 m b p v D y q E I e X T D f l e L U u i 6 4 B n v 8 0 I B r K I h I 3 o M G t w Q n J O + F u + S i q 6 B q a g X G k 9 w / D 7 d R g T 9 9 e n H r h U W h c U o N X 3 3 u d G O o H 3 7 + R O 8 h o s l R k K C 8 x V L X H i 7 / + 9 a 8 I B o J i r q i t r V V E 7 Y 5 c e S R W r V q F 4 Z E R 9 P b 2 E j G t g M v l F C H z 5 5 5 7 j g j 7 T X z h 6 q t x 9 9 / / Q d q t h g h a j x d e f J H u Z 8 S G D R / g i S e e x J t v v Y k q c v g O d n X h 5 Z d f J j P T j M c f f w I O 0 o S 1 N d W 4 k + 6 7 a / t m b N u 5 h 0 y G t X j / / X U i G v j G G 2 / g l J N P x u u v v 4 5 P X / l Z v P 7 q y 9 i 6 b Q f e e + 9 9 0 l Q R 0 l Q 2 w a D 3 / P O f u P a a a 4 i h f 4 G 9 e / f i j I 9 9 V D D b U U c u I 4 b i M H F B t R + K o Q b 2 D K J n y z B W n r + E C I y I S G e h v x F M 7 N Z g z g o X r I Y k u W l 5 2 J x e N D T X w O U l 0 3 M k j s i A A U 3 z 7 D C S J m 9 r b Y H R o I e d z L i E p R f h T D 8 N G g s T I g R i / h z 5 W 5 r 8 G L W K 7 H o N p z a R D 8 g M k v V T C 6 i t S g o N j V t 0 P A x b j R k R M r c 0 4 O w G W b W J s D a N K x E A n 1 c J 5 u G n k a 4 5 A + 5 a B + o X u l D V 6 i H m 1 m L X W 3 s x v G s E 7 j Y d D O Y a u n e M t E U V / B s f g q l m P h y L z x G / 1 + q D 0 J l N w m T k e 3 J f c M p R a s e j 4 r Y p 6 k q r g U z C o 6 8 g j T O K 7 r f u g 5 O 0 4 V i E L B H i f U v H 1 a h Z r s f w z h Q x o g 9 m m 4 X 6 g / x F c J p S P T 0 B m X j 7 f 4 l 4 x 3 X Q e Z c K N y B P v p R B b x b v t a R J 9 P k g D C Y v / Y 1 Q E 7 z i e C J r I J N b h 7 T W C U e V G a k Q u Q w O 6 T d F L x K w p c f C a S u c V h 3 s Z h 0 W N w C t X g 1 M 2 j H k H H R / o l + 7 x w Z v a x W d q 8 O u 3 X v w 0 k u v Y o T o v 7 a 2 D l q e k B S o 1 O d C 9 U a w a + c m t L c 2 Y G J 8 C D a L E U H f K K q I Y D l s z v Y w a w 2 + A Z t n H O L e v X u 3 C H 2 z 5 G X z j 8 3 A t e + / j / q G B n z 3 v / 8 b 7 W 3 t + I C 0 B u f V s Z r 3 e q u F t u L v 5 s 6 Z C 5 v N h i u u + K T Q b t 1 d B / C 5 q 7 + E n p 4 e j A y P i P v U 1 t b S g H H C p W R K / v Z 3 v 4 P T L e W A c R p N X 3 8 v h o a G M T 4 + I c K d H N p n h M N h 3 H X X 3 4 R Z 1 t 8 / R E c K z H Q o T P R N I D Z O Z t x 5 S 6 h f 0 k R g H m Q S Z E p 2 e 1 C 9 z E g D b U S A C N 9 q q M V I T B J M n a N a O J v s 8 C z W I n h Q M n V J w Q l M J P Y J 8 6 j J c g x 1 v 9 S O 6 E A C O b M V Y z E 7 O b o c H o 5 h P L 5 T m H N 5 Q w O G k n v Z K J h C n u P h B D v 5 L g a R J l Y C N o F 4 D i 3 Z j x w J C z l g O I V Y z o z + 6 P v y J w K P t 1 a D Z R 9 b j K a P r c D B N 8 i 0 J n 8 k n P N i 8 4 5 e c e u G i 3 8 n n U v Q W p y S 3 8 E R R Q a b n v S H E w J 0 Z j e 8 N m o f M z l p T W 5 / D U n 1 F J l V V g 4 S k h b O g s 2 x C B p W V J F m b M T Y r i z 5 I x a 4 8 w Z o E w e R j w 0 h X v 8 p 8 R x m i 1 2 8 7 D b P 1 H t + m R x t M J k d 9 L c Z J v m Y 1 2 U j P 9 q K K v p r J c H s r v P Q O b a p 7 8 X v z I X 3 6 t e K V r I q 6 H X s H C P q P W Q B k G z K N 3 + 2 6 B y + j t F s x K U f X 4 5 v f + t r O H n R a T j p u G O h + c c / / p E / 5 e R T i d D r 8 N 4 9 N + C 0 F N n G K i g + V D l k 5 Y H V i U x x y e 5 l z i z 2 T c q h Y G K V g i / J J M K B D c 4 J z L F d X M T t h d 9 y 0 L A 4 Y C j 9 m p N i R e 6 W r u j L q W s L y J G l U l T y o R K R B H a 8 2 k 3 M N B + B r j T 0 t h R J b 5 6 M L L k H 3 W Q 4 r C d b n K S v I Y s a O 9 + 1 g N B A F I l J H R q O J k L k 2 e V 0 g N o S I 6 E V R t r Y I S J s o U E 9 i D Z E l o m Z H F + N n k w p F h 5 p 8 l k i B 2 E K v C N y 0 S K e I x D e Z y V m l h i J E 4 5 1 6 U k i X N K 6 w p c o j 2 h q m H y E W h i G X 0 C 6 4 X x M J j v h N S + U v 2 V I P b W 5 3 4 C j 6 / r w w a o I F p z l w p Y H r k M 1 O e b L v n o v 3 a N O m g c z e D G 2 I 4 R a M v u U S O D W + 6 6 H M 9 6 L k G U e X P F O t H z 2 H 9 D b a 7 H v + Z u h 7 X + D G C o P E w 0 c Z 2 / X n P 0 W H B 3 k 8 6 n 6 0 b + P N P U c 0 l J 5 C 0 y j z y P Z c i U 4 m 9 5 e s 5 S + L e 7 v Y q j p q j D a P C Z C S d M b j v r q l L k t Q r n o n / K t c i c O R m Q 1 0 h y n + v 6 J e A S Z S B f y x i Y x I c + h c 8 2 u H V v y r a 1 t i J L Y T E 3 2 I O n v E x q H p b / I q t U Z M f c 4 y Y m s B G 4 A N 1 q e P i G 1 T 9 K K D k i M V W h A O f B v l T M 4 c s W Z 5 F o i D L b D s / R Z V x I G V 6 D + H Y O T c D m 9 i O e U O D O C Q / T l w / M y S P J L I f R i l G M o l q R b n + 1 G 0 5 x 6 6 D r 8 8 D q a B E O S X K Z 2 T o / K H Q p s V v z r 3 g e F S T o Z 8 A s f j 7 V z M B i m P t e g r 6 8 P i x Y s w M j Y G J m u Y V x 5 5 e X Y t 7 8 T S x c v I 8 3 s o f Y d J J O 5 H R M 7 0 0 I z K t n o a g g T j f 0 a c t o r w d H z M 4 T b p R w 6 B f l 0 D J n 7 z 4 D + s k c B V + t U H 4 9 1 j 2 H n P Z 8 h s 9 2 I e V 9 / h P w g K T F X y v r I Y X S v G 7 V H S B O 7 L 9 9 4 B t p I s k 8 m 9 G h 0 k S n 8 1 V X i + B o O a N D n 7 v E E 2 q r 1 W E C m 6 l j H 3 Y h 1 k B a 3 x u A w N I t M c R 6 X v u 2 9 2 L j 3 D X z i i i 9 N T R k 4 X F 4 e D K K R P H 5 H F g l b M d / 8 5 j f F t S c m J v D d 7 3 4 X T e R X / / S n P 0 U 8 H s M P f v B D 4 W b c S L 7 4 b 3 7 z G 7 x H 1 g 7 T 6 b n n n T v 1 u 2 I w V T G m 0 4 2 W t C h n 4 K j B l l E u w 7 R S O F / 3 q 1 / + / E a e U X d 7 G r B 7 y w R 6 9 5 o x O e b C x J g T 4 6 M O + C Y t m L 9 S C i J U m h / i I x L 3 S l q L n W F J + t M H k s I i O 4 C 0 G L / E 2 U Q A z H Q i h Y R M H v p C / k u O N s / S y 4 y o 5 N + p o T A S T z o q D M z g 2 S v + l 3 / F 7 z j 7 g Y l T g a Q 7 V W A i L E O I p T 5 U I p z A p m f 2 Y s 6 S + R i v y R K h y N F L j Q 7 R y C i R F Z k a 5 X m + I r i v 5 s z r I I 1 D p q 7 D i + O O P h 5 9 w 3 0 4 8 s j F S M X j O P 0 j H y F T q Y E c 8 i S O P f Z 4 J M g R O b p + A N l U l M w Y 8 g u N t f S U a c Q m D L D V l U Q c C D r / Z u g D u 5 B 1 L S M t M i b 3 p w Q 2 I T n 7 3 W k i J g 6 s Q 8 p 9 i v y N h K 6 3 / o 7 I 5 B D c J 1 x D 3 a M T 0 T 6 3 J Q d b l Q 2 Z / Y 8 j G a M 7 W 0 / A p H k u P B Y a W 7 J M W D P Z q W / C k w G E e g y k + R 7 H B J n 7 H o e R B I U Z A 8 Y j k U i m o N 3 / N N E U M S C Z f D Y S d o P + B N x k W u 3 q y 8 J u 8 p C f / U + 8 v 2 4 z w p E Y F h y x B O m s D g 8 8 8 D D s 7 i b 8 4 Z b b 8 P G P f 1 w I t y 7 y t a + 6 6 i r h R 1 9 6 6 a V C A V x + + W U i c P U + u R X s y 3 M 6 H P 9 9 + + 2 3 h b B a Q 8 z E g o p / u 5 C E 1 c c + 9 j H 5 i d V g C u E X U 4 t M T y Q 4 t R w R 1 p L w V Y h c R o 6 e I 5 m Y I A F Z y B A p y p S 4 7 Y Y H M f l y i U S r D u O X 7 3 8 W v X 2 9 w t 9 h / 4 S D B a V g f 4 l 9 J b 4 Y E 7 s 0 + S o 1 i v 0 n / o 2 y j m Q K Z N v n a N D Y k t Y R I T O R T u W I l U G W J a 6 4 J j + b n I h Y B i K V i D U d + V r i M 7 2 K u 4 L A J h + b K C V M p d Z Q 2 9 / a T U 6 9 g T R I A + q W W x F I k u C x V J E f o o X L T I Q k p G l J 0 q c K E X K u j R o b j J y A W g H c z j x J 4 M g g X S 7 T A o 1 h k J j K B P d c B z z B O 5 B K N t P w G t B d 1 Y x m u 5 x 0 S o J p d E c Q 1 Y s 8 U j I t R + A 4 K 4 G I L W 9 k 0 0 v S m v a D N y E y 9 6 f i v W S e V Y s J Y E a r q w O O v l + h s + Z C V J u W k K k p / W b L H Z e S p s i g / c u r M B H V o 9 5 Z E C 7 7 7 7 w Q 8 7 7 0 M F k e F u x + e Q I d p 9 j R F X M T M + S p P 7 K o s u Y x s X c 1 g u / 8 D q Y j r k L 8 g / v h P u Y 7 a D j 1 T P z p / 7 6 I j z e P k Q Z k 0 Z d F M t A D R 9 1 c z L / s a q S 8 l w u t w 8 + l Z U F M U n / y g A m e h e z P 0 R g J 0 9 9 E f r p b R G p 5 V u U H P / g f 8 o / H c M 8 9 / 5 R b R 7 4 p C a P j j z 8 e l 1 1 2 G W 4 k L c X B r + u v / w Z p r B t J U 1 U L P / q z n / 0 c 7 r r z L p x z r h R U q Q T 2 6 z i 4 k i / j F i g Q J l 9 0 m P r V g 0 g y T / 2 g e M I z Q i L g U Z I s d 9 z x J z F 5 + v w L L w g m 4 Q f g v y y N / u 9 H P 4 L P N y H m X l 5 + c R V J 1 R Q 2 b t q E d 1 e / S 9 L l D / j 7 P + 4 W I X c O C j D z 8 f K N F 1 5 6 B f 7 R A a R j M Z H K P x M z c T u U L I W y D K J C P k 8 P J j N T s W a S A z A M 7 i g 5 y b Q U U Z L q k Z Q W S f J 1 W p c 0 o o 4 z E k g Y M D M l s x q 4 S G I L R p y B m R i p T F D M j c y E / l A 3 B o i B n X M a 4 V 6 Q h b M + B 5 O x D q G D W o R r / w v J 5 k 8 g 3 X Q + E Z E 8 V C S E M r E I T C 6 j x E w M d v i N L u R J 6 y j M x I j M / Q m s u 3 4 J + 9 7 / g 3 3 w T j g m b s O i o Y e n V v l m 8 n b U W V Z M M R P D o s u I i d 6 h U D E z 9 a z + h 5 i X C t P 9 e S n M 8 g v q h F O e 2 b A H s c 3 b S a O S R U A d v e e 5 m 5 m v 0 b 3 m A T G c T a e f h Q F / H o v 1 g y J j q T + S o b H J w F J N g o I c G m P i A M b C P E Y k A P v f h n 3 k z 9 C G d y M e m o A 2 2 U V U 2 4 c 4 W y 9 5 L f T U T P 5 N Q V F I b / i 3 j O 9 8 5 z t C 6 H / r W 9 8 S N L J 1 6 1 b S X j n U 1 9 f h v P P O p / M 0 4 v u T T z 1 Z B F I q Q Z k C m I m Z F I h M D w I L F f b z d D / 4 n + / J 8 1 A W r H t 5 B + K d J Z E i a w p n X H M E P U Q e O 3 f t w q b N m 4 Q t u m f v X q x 6 / n k 8 8 v D D 6 O n p w k D / g A h p h 6 N x r F r 1 H P b s 2 Y P X X n u d 6 J B M o 2 h M T A i z N G F G e u S R R 0 T I + 4 t f u B q / u f k 2 Y r r 3 c d L J J 5 M 0 T 1 L X M O O U s 6 G 4 2 / h b D k Q Y h W m p N v k Y / B 1 L f I b C f I z C O 0 V + 8 J n U v X k a 4 Z J O Y 5 P P F 7 a i e e g m j I c / h k b V + p 5 Q Q j u 1 H F y B J j l E D S q v g S z 6 a j G I a v S F N 5 A G 4 A i l x A z B 9 D 6 k y a S o Y j O Y r q P V 0 l M 6 4 8 g G r U j Z u 2 H m A a N z 3 c S Y Q 9 H d i O w 2 I h U j U 3 G e l E 8 2 M z R I 1 5 6 G V P U Z Z N q d j h S Z a u m a 0 + g h W Z D k Y Z p 8 D x l b B 4 w D r 8 E S X A V T f g v 6 1 q + j r 5 J Y 4 d k v 7 s s L H P P 0 d 8 s j N 8 J u 1 K L l 5 G u k S x O Y s R p I S 9 b O r c G u F y d R O 9 8 K 3 w c P k h D R i H M Z t 7 9 4 E F d c c i 7 8 m / 6 J Q H A C D V 4 r o i R U Y 3 H y / z 7 y L V i b j y Q B 6 4 P d a s K z a / p Q v / R y Z D S N 2 L z 3 A 8 x v 1 M P S / Q A s Z M K a U + + T t X S m Y C b 2 t d 9 4 / U 3 E S B B f f P H F 9 J Q 5 3 H f f A 7 j t t t v w 6 i s v o a W 1 D Q 8 + + C A u O P 9 8 E Y X u 7 e 0 T 5 / 3 t b v L X Y l F 8 9 S t f J n l I v + L o Z C k R E S Q T b 3 r E l O + r H k 9 e H c 4 p V h L o u N Z G / j 8 R Y H 9 A T y p X P l 4 J w j T S w G q 1 w V 3 l w c U X X S g y z j k T o K a m D i 5 y r J c v X 4 7 h w X 6 R e n L E E U d g z p w 5 w n Z l 7 c Z z V s 3 N z V i z e r V I L 5 L C 6 d U 4 / / z z M E b O t 8 1 K N q r e D h 1 J B / b V G K V N 4 g C F n t r B x 8 v F G 8 Q h 0 k 7 q H / K x 6 Y 8 m / Z h 9 O C m 4 w N I 6 Q 0 z K K 3 x z a B 3 4 J X r 0 X 0 f a z m H 1 A u w m i V n V 4 A V 8 h 4 N W x 3 H E N A W N 0 O o 4 E X P d x 4 u I F y N P g z I + R t I 8 E y U z q h 1 h X g Y i j p v Q 6 F g J e x V p z K X T s 1 C K w T 3 I / x W 3 1 5 / o R C j Z Q x 1 J q o M E S T x r R B i N S L V / A p G 2 7 y N c d T 1 a r t + A J f / 1 H q I r f o 1 0 3 U e R M 9 O 9 6 H w n m T O 6 T A j W g z d D k + G o X D G W n O v B j l X D s N J 5 l s U X E O H n M O 4 P i T n I 7 9 / w d d h J m 2 n 1 5 E / 1 D y I d m Y D H n s X d L + 3 B H / + 5 A S 0 b / g f + 1 2 + G b 2 I Y R n 0 O f 7 j 9 D z D a D c h a G x F d / H 2 M z f 0 K I v X f I k 2 q E 4 J I J y w L H r U 8 L r n k E v y W h P L v f / 9 7 k Q l z x I q V u O a a L 4 m l Q A s W L i R h v V p M v z D e f / 8 9 n H L K q f Q r i Z Y 5 t U h k 5 r D Z T W q V e U B D w o Y j y 3 z 1 U p 4 o F Y 6 l Y A 2 l G R 7 b m 7 f o P c K H + v V 1 d 2 P 4 V d m M k K H 1 x H H 7 x n I R E Q Y P m C L 1 C 0 j T Y f a h Z r 4 9 t 1 Y j F i 4 u W b I E Z 5 3 9 M b q S r J k 4 M M H S U W W + T I E u y g 8 6 / a 4 y q E O y O T K H x E / 5 H n J D 1 J 0 j P v M B k l B 5 u h c Z 5 X m h F T V 4 5 r 0 Y 3 t k S x F E L r H h x b R B 3 f 7 e a v s 4 R Y e v g M K l M R h W 0 i S 4 i P H W e 3 s z I s d l G g 2 h U s r A J O W J m i a k 0 G N 7 q R 9 6 r Q W 2 j E 7 / 4 1 a 9 x 2 a W f I C G l I / / B g s c f e 4 I k f Q B n n n E m l i 5 Z Q E K q l Z 4 i K w I p G Z K s s c w k m a s R 2 A 1 m 0 h I t d M 3 i 8 V T D d u D n i M 7 / M Z l y W p i I k P 1 x H Z m p e d Q 5 p g u O 3 X + 6 E O 4 l Z 6 H x Y 9 8 S n 8 0 j T 0 O f P I C 0 p l 4 2 f b X Y + N p z S A 8 P I W L 0 o M 7 k x 8 K v P 0 V m W w C r b 7 k U D c 4 8 e v w e d H h 4 9 a 0 0 J i M X b E L + i X P Q 4 k i g / d K b R M Y G T 3 c M b 5 t E 4 5 H E y K S O N C l y L k X + H P k o X l 4 Z y 2 M g P R N 7 Y 5 / 8 5 G W 4 9 o t X 4 + z z O K O G m Y L M f R X h s f b K k L m s D L / y H S 9 f 4 U l w E Q t T G U T a b J g Y y i H R m H x u + Y R s y Y d K p w p u g y b Z V x y U m B Y 0 m B H 8 M 1 X L y 0 D d K A b L z A K X l 2 f G A k i 9 c u h X O Y f D 6 N R Z n K 8 Y D E k a z k w O a i K Z F H 9 T K b b N d S I T g T M J e J U v f 0 6 n S S 0 T Q / D 5 J q M J I T I 3 b H Y H 0 p w k K z 8 D R 4 H Y p O X B f G 6 1 H 2 9 v D s B C J k v v a A q / / E o N + Q c F u z 1 B T r X Z I L q s A A 6 p k o n A u V / / N u j S E w e C y L r T e J S Y 5 9 Q T T 4 T L 6 c b a D S T J W 5 v Q 3 z u I Y C Q A p 8 N J f s E 5 + N O f 7 8 R P f v R D 8 v t G k c + 6 S B M U T J U 0 O f M z + X A 6 / 0 7 E n e 0 w E M E O + b V o 8 p Q 8 F 6 E / u g 7 1 m i X Y f 8 9 n s f Q b z y L U v x O e j V K g g x w h Z M 6 9 W 3 p P l s W 7 v 7 s I N T Y t h o I Z M m H p 6 1 P / h C U n e L H x z 5 + H 0 6 x B K k E m a O g g b N W t m H / l H 4 G q B d h + + 4 X 0 n R Z z P 3 E j M d R K j G 2 P w z s / T k q R p z S I X n h 5 v 9 a K J A m h 6 u o F 4 p i a 7 t i n F + P H W o u 4 o / w c K N M d j 2 9 5 e l M S a T k 0 z r / n s 6 X f K P 8 W o K b p a Q z F 2 S p q h r r l t f u x I d s r v l R g S + v x z 4 v / V 5 h p 7 I R y I I L X K X G y J 6 t J U V K M E I 2 G Y T C Y x M M p K G U o h m S G q B b 9 f Q j w M n c R x i w D s V y j j F A W w 8 D i i A a G 3 i A N M x G S 0 s E 5 Y l a e m C Z G T M v Z 5 q Q x D o 5 l M b e G z + e J 1 R m Y n 7 M E W J s y Q 8 1 0 3 i w x u i O C u u U k 9 U U k k n p K 1 t T h g Q Q c z Q W G 4 R J f O p 0 f Z p 0 b 8 Y w P o c w Q 6 s z L p O 8 y 4 7 D p p 9 d 9 K E A i z E B M C 2 f w b W g b p i / R U d C 3 c R W C a / + G 5 d 9 c h b W / v w C N d q m E m n 3 J e a g 6 5 R v y W c A u 0 m I a N g 2 o j 0 3 V c z D 3 U 3 9 E P O D H / j u v Q I Y I l p k 9 5 u + C 2 d W K x T e 8 g N V v v 4 r 6 v T e T E L S h 7 d p n x D U 4 o X k 4 Q c K D T G F B z s n h K b P a 4 e I A w K E o h 3 5 D z F X O B 5 J Q E O R S D 9 D w k V Y 2 a G N y J n k 5 F A t / T i 7 i H M c B / 0 a 4 t K q M / t Q 4 M 9 Q o X Z e c S G K o L z 1 4 E + 5 z 7 5 S / l d A c t q D v M w / g u 9 / / H k 4 4 / g R s 2 r R R L I / g x F V O A e K o 3 f Y d O 9 D d 3 S X m A d h m 5 h A 7 z w 3 M m T s P b p d L r N r l F K L z z j 0 X P b 0 9 6 O v r J 5 P l D P k O 5 X A o 7 a V 0 h Q T 1 J 1 6 l W y l D g v 9 y Z 0 j B M e U e P H 3 M 7 7 Q k Q b O Y T A z D p r F i L E w m l 4 O M K f p S l y e G m U H S T 0 d x + 9 S I p i f g S 3 e i x X q C f G Q 6 g r 0 x j K W H q Z + T 2 L l r N 2 p r a 0 R K F 6 d b c b Z 8 b 0 8 P I t E Y z v 3 4 O a S x + V 4 S + m P r 6 b r H y 5 + A 4 f h W M r 2 W Y T y 1 d 4 r R 1 E h m N G L V a 5 x k h m f g H s Q 7 v i R / U w L 2 L 9 K c I p b B 2 t u u h D v Z C 1 t t B 1 q u e Y r k h 6 S V E 8 F R d N 5 / L f L N p 0 A 3 s A a N 1 9 w B t 6 U d b / 3 2 Q t T Z N d S f O T T Z k 4 h F j D A 6 d I h c + D K S j 5 6 N J q c G H V 9 5 l r p L C + P E u 4 j Z T 4 L e r E d f + H 3 y L 0 8 i o c z Z H 7 x c v x 5 R M s / d Z r K k F H N B D R Z q p W O U I X O e / L Z S + M i P r D K 2 k / Y r V J X K k p + i U 6 2 h K g v V P f w x c g E M C V i H b y U t 5 U X G N B f m + B p o / J O j Z E h l Y H f W E E P 9 r C J D 3 X f / f e T U r R V m I c 8 + c + i b l 1 b w G q Z r r 7 1 G F F j h y B p P n n F w g h N m j z y S I z i T I v 7 P y 9 0 5 8 t f f 3 w + P p 0 q E N l t b W u W 7 f A j k y Z R T z U W x 3 8 b 9 U W x W S q T N K B 0 C M b H M 2 d F T 3 3 B p s i z 6 J 8 f J 6 S W T x S Z N 1 r G r p R X L C H j J x G E i N U H c O / 1 3 Y u a f y 4 A J Q p H q O m S S K e j J d G U M 7 Q i i c X n l D I d A T x T u d m l g g 6 l + u M h X k p 6 0 8 J Q Z I j 6 9 x o x A q g 9 u Y 0 k / s 3 k k N G q B g I Z D O s y b / A O i H d I q 3 g Q x m 5 l T d F h L i i C K d O 3 e u y 9 C f L w b l p o O a Q m H j D d + d x l q L S m M E O M 0 O r V Y e r 2 U H b H 2 5 g v g o o F J c / W p 4 C D 0 9 g Y s v W E V 0 Y o W O + + 4 U O T 0 1 V 3 x K I b 3 T 2 D e 8 a 0 i S J A h w W a 0 F s z n W G Q 7 r P Y j i N 4 c S J H l Y J x F O L s Y R B N c D k B D w l P r h D Y X Q k 7 v J U H K l F I w 6 r J p E q B c b I X e c 2 T a Z D K I N D Y 7 + c 6 C r t i k p H 7 j w j d c x i C R z C G d L z b z t V z I M i v m O A q D U Q q + 2 L H H H i s K t b C U X L x 4 s a h Y x B O 5 v F z j z 3 / + i 8 h A 5 8 / M c K t X r x Y T u Z / 8 5 O U 4 c O A A l i 5 d i l d f f X V q L R R 3 z L 8 N Z q Z c g j o l O 8 V M o r C G / B x s j j L 4 E 5 u e a v B H 9 p c k 8 B n S T A Y T U W e f e Y q Z G C w M S 4 s m q p E h G z o a 9 B F D J J A m U 5 G L g m T T 8 v y N 0 U s E 3 Y v B 2 E a k O A u b I c L 6 3 F h e r V p Y N K g w U y 4 V R O 1 c 6 n G 5 / R L y C G e G 5 f e Y Y i a G n k w b v v Z I v D j f k p m J M Y 2 Z G M R Q 0 X S x X d z g z A p m M o 2 / L N p I r C h 9 I Y h X 6 t N 4 a I T 6 k i w A G u M 8 2 9 Y q n P H 9 J 4 V J 6 L Y Q U R L R M / J k p R z r 6 s c 8 a y 9 4 u V U 2 S 3 6 t k H o a 7 H z 6 t + J Y 7 R n f g 6 3 K i r o V c / D e H g 1 e 2 U L d x s z E 2 i D t o 7 8 x w U w M D S / / 1 1 t I D t A o c 8 R v l i 8 h d U 1 e E l 6 1 Z J W b k a N x Y b + A 8 y b J y 6 a v E + I 8 n g Y w G Z l G T S I L w 2 q 1 w + Z w 0 + / o f B K M a U O 9 G F N u B 0 w 1 J N C L + 4 B R 5 E P N Z P K V 4 r + + 8 x 1 c d 9 3 X M X 9 e a f F D N S E o C U F q y A T 1 n w B L W p n Y x V 3 p H 7 4 6 g + / M M + r s J r G J w A Q 6 1 T K O q C n L H F R I k 2 T M a Z L T c v k E S s N B / y b Y / 5 m a 0 x J a o F j q B n t i c L V L f m J v d I 3 4 6 z E s h 8 M o a a 7 R / W O I 1 v a j 1 t Y s l o F M J g / A a y o d i 5 k h q j Y R k S l Q o l m a p I + k M F G 7 n i Q x J 9 v q 3 e g N 9 a L 3 X 9 9 D o y l K f a u F o / 1 k 1 H 7 s O p J k U j U i B d t J 6 3 R c / H M i u m Z s f v Q G u L W T a L Q m M J m x I 0 a m J W e A 1 5 / x I L Y 9 c Y n I 8 5 v / N U m T q d G / f Y y 0 Q Q 7 N K 4 i A O e I r + 0 M i l 6 8 I C i 0 x Y b O A K E 9 b U y t y Z 8 R 0 S j 0 U p o I S K l O w a G L 3 r Y 3 v I + W P o j 5 k K r w i J l x 9 / E X T b v X x c 8 6 B V 8 l r K w K f q b y k f w t N 5 X f T H 5 g j d b x E n a U f + 1 4 c l W P z k Y / x Z / Y f + D M f 5 w o 2 W f r L V W e 1 q r A z E w O X S m Y 1 z k Q h / S V J x i q G w H / 5 p U W c p F F 5 j c P V Q f n 6 / k h 2 e n 6 e M I 9 4 w K T r / b s o W v S n C m 2 z G c i 3 s N g i i B J f s 0 Z 3 6 6 o R z I y Q S V V g m G z A j I b G J v K D n M I P C q U H B G P 1 R t 8 j r S Q t F S 8 H k Q M p 1 x I s 9 T k 4 g C R Y n L S A f e B O p F z k 5 3 E C M T 2 7 R e P E 0 J r 7 o Q / 1 w W S r Q t P l t 4 q J a B Z O s Y c v g + X A o 0 h t f w Q t b h 0 x + t d R h 0 e w b 8 t W N F X p k d G Y E K c x Z I G 0 9 L q n k L X p k N v + I F 1 b C + 8 x V 4 p 7 q + G q s 8 F Z T w w 4 t A s 9 2 y P w t k p 0 Z j J L A u b Z Z 5 / B D d / + N m L k y 7 P l 8 9 p r r 2 H H j p 3 4 6 U 9 + S u 3 P 4 6 W X X i R 3 Y 6 W Y 3 F 2 5 c i X 9 Q o u H H 3 5 Y W E 7 s e j z + + O O C F v 7 + 9 7 8 L l 4 W z e 5 5 6 5 l k 8 8 v A j e O r p p 5 D J p E W 1 4 d W r 3 8 V N N 9 0 k s o F 4 P t X r 8 c B D V p j o Q + q r q Y l d l T C U q J s l J O H 2 a 3 + E z d f d W / R 6 + 1 t 3 / 1 s k V M z 3 p V d i A g X M 9 F B c / 8 x E x M M v I 5 m G b F Y o n 3 n S l x c m G o h T j A b p e 7 3 e K J i I r 8 8 v y Z / U y H 9 p r M o 1 m r V M k S l V A B c 3 U c x F p 7 n 8 O V y O + n C g i e 6 S 3 x 0 K U j 8 w 2 F d L Z L m a U S 3 8 n W H p I B F 1 m + 1 k y S e T Y a m X f m M z S n 9 5 c 4 W h G B G w 9 T j 6 N P 3 h N c k R 8 Z c 1 t s h T q 4 B Q Q v p t p L W k I h K h w c X z O a z 7 u a i J b B a T M J i I Z n F g K I 3 B Y B b d k 1 m 4 5 x A D t X 4 J Z g N b B p y C R a b n M Z f i i G 9 J 2 m j D b R e R L 6 N F x + f u E Z / L I R f v x Z j T j / k n t o g i o g f W c a 0 T C R d f f A k u v O g i s c j 1 s k 9 c j O u / c b 3 w y / n Y W W e e B Q f 5 9 q + 8 8 r L I i p C Q R 3 t 7 m 3 B P r B a j i F h v 2 L A B T q c L m z d v x K O P P Q a 7 z S r m + j g u E A g E x T J 8 r v P P b s q i h Q v F b 7 3 V k j / M U z e V o B U d f d h O 3 q H B 2 o R R G N o C 0 R Q w Q 8 v K Q j 6 f z Q B C J p 0 U Y X x + e N 4 s I J 6 M C q d W C s 3 L E P a 8 / J k k J G c i l C K d z M J g k r Q E L x m v C N k 3 m B U y I e R t v H 5 H e j 8 z C v c 8 0 N m N o H 8 c 6 z d s g r 5 O J 6 T w p C + I V 1 9 / S 9 j x A n Q 9 j Y X s J w J L y n B 6 h L R T P f T R N q x 5 d y N p b g O 2 b N 2 J P 9 x 6 O / Y d 6 M b u v Q e Q M 0 k V k 3 g 8 Z s r u c K m E i W P g F v k d h 4 l 5 W Y w c + J F P C R 2 k 6 x H h 8 8 c c a U l h D Z A 2 0 0 9 u w p b H f i G 0 M H / H 1 Y 6 a T p J 2 9 l C S Y L k d G n 2 x u a i G V u 9 E u / 0 U 9 M Q 3 Q U e M O f / 4 N n E 8 k y i M 7 f J l y / H K q 2 + Q V n k a S 5 d I f f 3 s c 8 / h 6 G O O E Q t c O Y / v Y G f n l N X D q 7 P / d d + D q K u t F S l w r I k 4 y 0 d J 9 u a l H 7 / 7 7 e / g 9 X p E / R R 2 E 6 6 6 6 n N i d f m i R Y u w c e M H 4 r y Z M O V D 6 X k n C N k 8 E g 4 x v c 2 k R m A w N p A m k J x / Y 8 U 4 f Q H h e E 6 Y I E Y O 1 C v g u R 9 V u k 0 5 8 A K 7 P J 9 T c f 6 A C D 8 r 1 a w 2 T z 6 P h P c C + a g E T Y J r c 1 v I 9 r c i P s r R G A 2 M D g 3 s w e e Q q J P q U k h m G 0 H V n q F 9 E 2 h c S I R K / h g Z e m Q 2 c p U l O a h w u M g G x X V 6 U / v F R 6 e h W Y R n B Z g Z 2 d a W w 7 Q M s S O I I E L p c z D B W e w 8 H N J x H o f h / e S D U P u K g x Q S I s M h W J w R s e 5 L R A 1 Z M N J 9 U j k 9 E b N 8 P i 9 g N E h 5 f 1 I 2 h m p c O A m 0 J B t F z B 3 m I q I f x P d 5 A 2 l L F / a u + j 0 M g + / Q t W N w N h 0 L 1 / E 3 i Z 1 H t j / 0 H T g i n R g K k s / j 1 m L B W e c i 2 f 5 1 v P n r 8 z H H K 9 0 r m I h i x b e k h Y V J M h n 7 H 7 o e J k 8 r P E f f i q o F F Y R 5 c p R s P C l o w 5 E 2 j U 4 v + 1 A c b e N d Y E h T s F k + Q y Z I Z X D f y J 1 e B m J c W F L N A A 5 j 8 Z q r v t E Y v A 4 5 o Y D / V x j K Y r X T I L J K p 4 c m w j B r 7 f T t 4 T n h S r S t G C x R W K z x J O U s N S G Z Z l n o y 5 t t B F 2 0 h + x w m V A V 5 B M i p G r O x B H R W A R B m n V m k U q j S 1 G n 6 3 L Q m 6 X G 6 Z O d i O n n I z Y W h b W W l 1 d w G 6 W b p Z K s 8 S T p P 1 v 0 + b V o r S p I T k a S / B T e P q Y c e s P v w z V y H N z z i / s 3 N k b X y G n I n N N i 5 8 7 d 1 C T 2 + X R I p h K I x m I 4 9 e T C H F M q l I D R a c J Q O I 5 G B / k W a T 9 1 f h m J n y M z V U w P l M f B V 2 7 H w u h b y H z i a f m I z F R T f c 9 t y u K d m y + F O 9 U P a 0 0 r 6 i 5 4 F M 5 m K 8 a i I 9 h 5 + 1 X o 8 J g x G u G U J S 0 W X v I t p G r P l B c T a o W / 4 V h x G e p O v F p c 7 b V f n V 8 U V j 8 c T A 9 K s N A n S m G i Y 8 F 0 C H C m O f t M y n Z M D K 6 O V b p A k 2 W J w q d s 7 Y h t l O h 0 / o W a F d m k Z C u J L 8 V m N J d A 0 L L 2 6 Q u v F a t I u W A F + y Y 2 U w 2 p W a n + + O G 8 j N S 4 6 c d N 0 l + D r e T 4 D C + 6 N / t J 5 b 7 T 0 k v j 7 B D v W a N J x 6 n t B g c s J E l z F i 8 s J h d s Z h d 1 N P t m J p h o A E 1 2 o 3 h G T g / K W x a C p 1 i 8 L S 4 6 l 5 + b v p O v z / X Q i z A L v 4 m Z i S d J B T i o Q C j P T E J 2 w d K z D P 3 O 6 f X C r b V a h N 2 7 a M D y a D E v x P K l i 9 B a 2 4 S j V i 4 v Y i b G p p 0 7 R a S y w S r t 2 8 X L C N I 5 o g J e i S z f R 2 A G Z m J M 7 H 4 L 3 T 4 2 Z e X f k D 9 d L J z J X 6 I + q C N t L 7 Y P S u Q F M z G c 1 M / s V 3 F u I k / e a s n H Y 2 b a / v R v x f d E i U h w b q D M T A y P l Z + u g G C n / G Y a p L P 6 w + v E 3 z w v V E 2 r f T / p e z 3 b l U T R X P s v y 3 U H K o A f y S K n Z R k M 0 j Z G n I 5 W d r W z S u m x S F P 6 Q 2 k 3 / + U X p 6 s d n N A J 6 4 G z L H i O S s v z G J z x z H M Z v K M g I x a N 4 v r r r 8 f l l 1 2 G d e v W i m P l o O 5 3 N p M K u Y D K r W d G d 1 e X q K R 0 O O B 7 s t b 5 n / / 5 H 1 x / 3 d e E 1 M m Q B O f P V 1 3 1 e Q z 2 k 5 m q z e O 2 W / 8 g V n X 2 9 3 H R f u 4 h j V i z N e m b E K 1 j B / T Q o D N V q z F n w l Q N 7 g o T w J L F J v W Y 0 W L D k p r y 5 y k Z D e 5 5 U l / a P R b 4 9 x c 0 Z q B H I q o T T z o G S d 8 Q P Z q J N C R J W T q m 1 x J B i W X 9 6 p E p I M n V b E t Q Z c 4 I j c S / U f x p r o 3 O 1 g Y / f 4 7 G l T d o 0 6 S l 6 K n O x K Z o V t S h 8 E 1 s F X c a j j B R 5 e A 4 9 q s 4 M K H H 3 F M + R Y w j t b / U U u W l H e 2 X / k r + R D 4 b 5 7 u q z g l 0 b 4 T + 1 W 9 A t / F 2 8 b n F I W W U r L / l E i R e / T 6 S L 3 y D 6 D O E W G h M + s u v S I D M r w i S 5 E P 7 x 8 f F a + o 7 + R U V r z C 6 D n Y i O N G L a C Q k 5 k j H R k f g m 5 w U n 9 X n T 3 T G i z 4 r L 5 6 L V d 5 n S N P N r V b 6 T 8 I U e x r J x J P W I e X w h S 9 + E Q s X L s Q P / / e H 5 N x J 1 X u U I W L G Y Y 4 U X C k H H h j / / d / f x e 2 3 3 y 4 k B Z / N x S / F r g i l P a r C p G 9 S L A K r j O L f C r u e 8 I t f / I L e p 8 V E M i 8 q + / O f b s c Q O Z n n n X c e v v z l a / H Y E 4 + L U m N n n X U W r q X P f J 1 9 e / f g n X f e g d V m E 2 H 6 L E k 8 D m j w i 5 1 W r g / A 6 2 v 6 B 9 R L N s o T Z i k m E 5 3 i p U Y 6 E o d v D y + n z 2 H f i A 6 J F D 0 L 9 c X 4 z j A x C 0 8 q V u 4 X t b + k I Q K s W l D w c 9 z t n N l N 5 5 D P u C / e h M D + P N w h j m a R 3 S + + m Y 5 4 I I l w l w 7 x X q l + u x o s V 0 S g g J A 3 1 U P / 1 K V Y 6 r t / K m q q J a 2 + 9 / m n y d U i v 9 h u h 6 3 1 W K I T H b y m e d j 7 r 5 8 J k y 6 R 5 i U w W n i O v x o 2 O m / z v d 8 k c z s P P y n 3 m m O u E K P I R B f g l c 5 X / w g + p x J 9 A 6 I P X Q L 9 P 4 + E / m l p i c X e J 3 8 K R E h Q 9 L 0 t P j N Y O / E 1 D u 7 d h t j S L 1 O f U r / m S T P z X 3 7 R + G U z K f F e r w 2 L D R c 2 P t Z Z + H 7 q l U J t D Z e K N p G g S K O h j q w Z s 0 E s J u X P 6 n N N N T E E + 8 N T n y f D X L 0 4 j V R a 2 s G T j y l r 7 9 7 v L k z D T D E U g 9 U b H + K 4 P I c P F y 1 c h C 9 9 S c r v + u r X v o b 6 + n p c e O G F 1 K E a Q b w n n X y S y J z Y s n m L K C z J 5 b n o S 5 x z z j l o a G 7 A 9 d / 6 p v h 8 8 s k n i y h J Y 2 M j r v j k J w U j 3 H / / / Y J w e G 6 g o a E B n / r U p 8 R 9 P v 7 x c 8 R 9 e C c P b t F J J 0 m / v f r q q 0 m l S l r l x p t u w m 9 / y y t D 8 y K t q a e 3 D 8 c c f T S u v P J K w e S f v P x T Y q 6 B 1 b r N K g V S f v L T G 0 U R j 8 m x S V g s Z v L P D K J c M 7 8 4 J 5 E L f n D 5 s 5 b m w 1 v f F C f J P e o v z A 9 N 7 o m h d z Q P g 9 0 C z 2 I 2 I 8 m v q M + i N z O C 7 d E + 1 C y T I k q V E M / 6 R f 8 e C h p z N Z Y 1 Z O B e Q F p m j m S C V Q J v f O C Y k 4 V 7 r l X M t S l I x a N c / J U 0 U A v 5 Z M Q U Z N K x + T c 2 2 C 2 + T 8 d S y C S z G N 5 1 D 0 K j 3 c g b a z B n 5 Z H i O 4 b b J J k 7 j U 6 L I H h G k 6 l X W A j 8 + a g b V q H + x K u g y Y T E R n A u 3 Q h I w S E f r s E r r 7 2 J v / / 1 z 9 j Q F c G W C S s 6 R 0 L Y s + + g I N a d R M h b e 4 J 4 / s V X x T X X / u E S 4 Y 8 x 3 + u r W s h x U s x l f h Y N e v s G i N C l w k L g k t i E l Z 9 o I 1 r I o G f r 8 F R / s r C U t H D x P G S V V W I M F g 5 q 2 B v M C H S R P 0 / q m u t q R I N + Y Y k o J i A H y T g 3 9 O S O Q s Y 5 c Z D S F Q X c d d d d 2 L x 5 M 0 4 5 9 V R i j r P F M f 7 8 z t t v E 0 d b s Z 5 X d d L v X n / t d V F R Z v W a 1 f j o R z + C r 3 z l y 9 i x Y 7 u Y O 3 r 3 3 X e w a d M m 0 U H s C H I Y 8 + y z z s a n P 3 2 l 2 L T t v f e 4 6 i z E N j Y c w p y c n M B m O p / n m a T f b h b h c A v 5 Q P z b f / 3 r X 3 Q 2 P z F P 2 e b x 3 t r 1 e O b p p / D T n / x E D K o E G k h Z / 4 7 Q N X / 8 4 x / h 1 l t v h d / n w 0 F S 9 T X e K n z x 2 i / Q t 9 Q j c q f 8 O w g P k J b r S q B V E 6 G 2 W h G Y S M P R q k e 9 t 0 h O C f x o 5 0 O 4 b h v P u 0 z v b z U s 8 j 5 I U 1 D N P a n B O x c y 1 N p s V k g O E + V I G k J P 4 w T 6 v / V T P x f l i k d 3 v E Z E l Y f n l G 8 g H a d n S b 0 D e + R V W H W S y S k C V o 0 X w R + M I J z U 0 H G S 2 v S V n r R R 2 l a F o e g 2 p F G F a l u x n y R W / R I z a o y 1 q H c c j 7 b G u T j 7 t B V Y n n g N D d p R W D m q S F r D / 9 z 1 a K s x k x V h x b L v v I k L z p N o T 4 F t 4 Z n S G z l S u m f v f o T D U c n 3 5 d x O I o 8 d u 3 a T G 5 D E w a 4 e + k s a a W E V 9 u w 6 g P V r N 4 m 5 p I l Y 5 S g y z y + V d q d 7 D v v n E p v Y X c V j w x F n 1 v D M r z u H J S t C e + C D 1 d i 1 5 h U k o v R Q f I T U m M 1 h w R 9 v v w W b N m / A 2 N g 4 0 i l S e W R n c t E L 1 k o d 7 V L K u n R v y f y T 3 u W Q I n N q e G Q Y z z / / A j 5 J 2 o g D B u w E M l x u F z z V X l E + m X 8 j W 3 A C P H / E E 2 l c g X b q t 6 Q 5 2 H E s g F u o R T A Y w n X X X Y f n X 3 i R T A n e K I D 3 P c 0 I s 4 1 b w k z 8 + a s / L / y z t v Y 2 / P J X v w K X h P 7 h / / 4 Y e / b s l U 3 V k p 4 7 D A Q 7 q e H 0 c 0 e z H p 6 F J t j r b e S U N 8 J d z X l g Y Z i 0 J L E y U i 7 c v g M H M T I 6 j i 9 M L M U V W x q w d t 0 H 2 L p t J / X r p P i + H C Z 9 X C F W R p n k 2 r H 4 b q G t N c R s s t V x a L B U 5 / k 7 U w P 9 l X z l 3 v c e F a a Y X t 6 j 9 u A b f x M E p T U 7 R a 3 z h P s s J L z n w m E 1 C W J L k T q L 0 3 M 1 B R / B 2 P t 3 I R S N Y 8 C X x g B J / t G 2 r + C + P 7 2 O 5 3 5 + s b j m q s E 2 o X F Y c 6 x e s w 5 3 3 X 2 P q N 7 0 z 3 8 9 g K 6 e f j z 7 8 j o E A w E R U O E x 5 H n E J G + g R + P E j e A 6 6 Q F i 3 D d + f i a q j E m x g c D m 9 B F 4 6 J H H S Z j y R n / A 4 k X z 4 X C Q V e G O E E 1 x 3 b w 8 l s 6 f C w N R e H t T I 0 x k r l p 1 A S x a M g / H n 3 g 0 s j 0 G e K t m L h 1 Q y T g I d m c x E J j u d 8 v y G z Z 5 N b d 2 / r G n Y e k p 5 8 B s s w s S y + e 0 u P i i T 2 D p 4 i O w b O k K k Q T L B f C X L 1 s m t M T d d 9 + N K n n H 7 w s u O B + / + c 1 v c d p p p 2 I e P c j f / / 4 P H H 3 0 M Y I 5 7 r v v P r z 8 8 k v U N x q 6 a a G V m R S Z E Z x A y n Y v c R S n j b C W 4 s m 1 F U e u E M e V 3 7 K q 5 g E W a X S y Z u K y T r / 4 2 U + E Q 3 n S S S e K K j a f v v L T + O M f b 8 P y 5 U f g u O O O E 2 k m 7 7 6 7 W m z q d j S Z g t / 7 / n f w 2 K O P 4 d s 3 f F t s / M b B E / Z N 8 l y Y o g x C Z P E E O o M I d + v g 3 5 d B b I K k H / l C s t w g R 5 r F k v S + F C J q x P N B s u m x k P q l v o 7 r l 3 8 c 3 / r a l T j x h O N w 5 A q u r 6 e E g K e 3 w c v 7 D / H k Z 2 K A R m x 6 C L / W Q E y h d 5 H U r 0 a E T E 7 l G m m u w l Q K + j 3 7 R Z p E h D l F H E p w H m M u i Z 6 1 j 8 s E I T 0 M b 3 a p E I i C w C D 5 0 H R M b 6 / B / M t v g 4 W 0 Q 5 b u 7 d x x J 5 Z U h d B G 2 r i x z o 2 P n H 4 q f v A / / w 2 P Q 7 r H f / 3 8 T 1 j S R g K G R P i p p 5 y A r 3 7 5 S 8 J U + u L V n 8 O c 9 h a c u s i J G l M S R j K J e e 3 U s F + H 5 m r y 0 8 i a a f v 8 X 8 E 1 / 9 w u X h P G q W c p 7 N U c g c 4 D n a i t 9 t A 1 Z Z N N l s h 5 q 1 R 0 h q F l r a u G s g U Q n b v y w g V 0 u Z z Y y + t w 4 Z q j Q 4 O 1 M B a c S M 1 Q z L 8 O j 9 Q W V X I s 7 3 E 0 n Q P L g a 9 x N v l J b L q x t G f C 5 x p 4 Q r o R s X K p J 9 7 t g n 0 Y 1 h z M J G w G l o y V G D y l Q e W g 7 O o h L k z 3 k L K Y 8 + T / E E H Q e 2 Y y n r / X k Y Q T k 8 I E D v G S o y B C m F O g 3 4 t N 3 u T I n g i c 8 G 5 4 J N H o R G I u b p n U k A d 6 3 8 Q 7 E z t x y 7 z i T e a C m T h c f I o c 9 V P W E k 1 D m U T X w w F r V + 6 3 U v B C O 0 a e N Y y M 2 G Q c Z o 9 l h j 7 k p R B R D N 7 / G d R + + k + w O F r R F 3 0 f V n 0 1 q k 0 L y D c 5 E y 6 z B U u + I c 0 J 7 b v z A j L 5 E l h 6 z T 8 l f 9 V Y h z d u v h y 2 8 A H Y a 9 u w 7 J v P 0 1 k 8 H q R R / n Y k X V 2 D r m Q N c a I d R 5 F 5 F q z 5 L L r / x b t L A g u + X j L P p J q o Z b x 3 8 w W o S p G / x b f x t p P 0 z 4 u J Y e 5 R 1 2 e f F 3 7 N e 3 + 4 G I 1 i T V o S 8 7 7 2 i v R D B a y a S 0 L e f d F 1 a N I f J X / i i K R q H J I k n E z N 8 g c S m h M h O K v L z x N W A p u 8 S n p a J R S 1 S I m i H Q r 8 0 K x V e O A t V i P M Z B 4 Y T X q Y z G T e G W X n k U w 1 N u v Y b O M E z w L p S e 9 4 b Q n v 5 s 7 n K l D e M i P x J 8 F M D F k P a 3 K q h 6 E B Z 6 b h B P y c / H 2 W p D r X j B P H i b A V f 4 o n / x R m E t c V G o o u w Z Q o T i l c d 3 u w F x u G 9 s q f J P x f 1 2 M 4 f 9 v N 2 D D S I x / h U s L S t b m T i y B P P V Q E Z x / M A B Y + 5 c C M p G Y m R i Z g R z w l 9 0 1 K y t U r h g Z x / 6 C w G J i Z G K 2 2 k w Q z c Q a 7 W c 9 a l 9 r P W p D N Q R I u V Y s v R N 5 M j j + n J 1 E n 6 a m 9 / I x c l 4 G 3 C G U k 4 1 H 0 o w 1 r R s l S I Q H W + L l b E G u 7 D u / d c R X 1 e R a N 5 / 5 Y n F c E Y i a u k c / g c / L g + x E B O u o x R g x l 0 E n 7 d r V 8 9 l 9 T Q Q K x R I R o s m q p n O m i 7 m t m J l 5 t o M I U M 9 G 4 F p h J t o k V Z m J z h 2 A i M 7 a S / 8 l r y H h x Z i m Y m f w H p H n J A 2 P U F 3 x / t g p 4 7 o / e s 9 A r Y i g p i l a 4 S Y H M q B N J 7 b L 0 V I 7 9 5 C c / F s z C g 8 B n J n j Z p 4 B 0 B m s P f h j O F O d w I 2 s y K e 9 O y h 5 P p s n f I t + M F 3 0 p U K 4 t M V K J Y 0 v g K K T Q T m z + U U d z 2 J K t N q X s G D 8 w M x V D 1 F S T + 5 K 3 f S l A u Y s E S T s V M B d E J K E U u n y F 8 P k r E z v Q G R 7 G D 1 6 9 S z q Q G C Z N t l u 6 d 8 n 1 R M E S 2 X 9 S g / c D 5 s I s S q q P o n G 4 J o I y s O w D 8 q Y L h w I v B m Q Y q + O w y E t A x O 6 G a o E o M 2 7 3 6 g d F O 3 l 5 t h q a 1 O k k + e 3 Q t 5 6 G d N 6 I q G + c x i i L + t O l n D s F H g u Z Y R Y n G k 7 4 j J i H C i c 0 2 P j Q j 0 X 4 O K u 3 I k c m o N M x R z y D l p d J E A 3 V a T f K v y 4 G z 2 c x 3 v / D h a h K j o h 9 u 3 Q G M 5 I H u + E h P 5 i b q b N K j v / 7 t 1 0 h V v O y z P e e e h 3 9 m B h B 9 v 1 4 K x w B r Y m e Q 9 o A X G g s A j O S T t b w w m Q u J n E 6 q B f L V p i h D r w n V Z Q q B a 8 h a 7 A U o p k M T t t i a B v y C B 7 M Y X 4 t t Z a j h V o r N 1 q 8 Z 4 E 3 d b d E I i b W d y R I + k h / I x g b H 8 X o y B C G h w f p + y g i 4 R A 2 b t o o J N T I W A + G x z s x G e w n p 7 s X s c w w H U / Q K y 5 + y 3 l O C X r l S f p x e k Y 6 O s r k T u 9 J E q V D 5 J P w / E + S z o l j s i u A Y V 8 P E j H p v s q r f y y G g f E Y h i Z j G P V F 0 b l t L b q 3 v 4 + e X Z u x a / 1 b G O r c T d c N 0 j 2 D G O 3 t x M C + X U j H k u j f t x 1 7 1 r 2 F 0 K Q P g d F J + l 5 5 t j I v e q 5 4 N D z 1 + f L W E 7 n 3 c P W T h c l H x 2 Q W 8 6 J O h F i K E 4 Z h x J 3 j T 0 5 L j V L 8 j 5 T W j l P k Q i Y c B m d c s O 1 W n L r 2 Z + I 9 Q 9 E 2 x 2 7 6 E Q 2 y e I u h 8 E 4 E w l L 0 r h j y h W W I x Y C j a Z h d x i l z b y J + A I P R z a Q F i J m Z m Y h x R 4 M H 4 B / Y j B Q n v h m L 6 0 u 0 V m W x 7 P p V W H j R 9 0 W 0 a t v z f y H 5 o y M B Q 4 I o E 8 R Y R C e y + Z d d / y y O / t / 3 U X e 8 t M y C t + o 8 4 b M 3 Q r f w E j Q 4 2 A + V / D b W J j V 2 y T q J t v K U B 1 m C Q 3 d i P F G 8 P R K D W Y + f i F / 6 Z i k D h N 2 6 u n M k z T Y Z 1 S K Z 4 H 3 G M L X t a C 7 t x 0 B s K y Z j C V j y 4 x i M b R b H 8 2 S W c i i c t X C R i U d X z 5 s L J p 4 a 9 z z 8 K t a u / w D j 2 h G 8 + 9 o G b N q y A 7 v 3 S v m X l c A b V z B c d i s S t X r y r c t b I l M + l A I N S T I O c c 4 E j u b 5 u K p n C b Q k J X K k i r X U E 2 5 d L Q 0 O c 3 B B 4 p a 7 9 s T + O C J 1 g 2 g X U + a H R i q S R m x Y I / L g e n 2 8 p C O P R l s E 4 X 4 b z H X k f 1 g K 2 m j P u 5 1 Y c h y Z g O Y m + Y g E L m g S S P e T F J K 2 k g w c y N H 1 S L Z Q u 9 P Z B D 7 6 / E 8 A X w J r v n S H + H 4 o 5 s M V b / 4 W q d E Q N l w j b R x W D k y A L M U Z B y a 2 Y 3 6 1 t N J U f b w U G 4 a 3 4 7 i G I 4 g Z M + i P r S M G 0 S M 8 Y M W S B d J v R e p T S b Y G T 7 a u e W c 9 v L V V W L 9 h P S 6 9 5 G J k S V C 5 P d U Y H e o n 6 e t E l d u J h x 9 9 A k v H / k 4 C J Y 3 6 z 9 y P 5 q Z i k 1 E B a 8 v N T 9 x O g 7 E T 2 U + 8 g q O a S 9 O P i q E h f y h P J h w v J p x 7 2 W / g c N n x x l + + g z p r C r U n X Y v q l Y q J R k 2 P 7 E f G P l + W G R r s W 3 U z M j s f E v U X T d 4 O D I U 0 a H R K p v 8 c e b H h j s d v B E b f I 1 / P j L n y s f H 4 X l G P g x v m 1 D f D Y + b s c y Z d u a G q R X 6 z B U c W e U + u 3 i 0 D 6 D i q F f 2 R 9 d Q O 9 s 0 1 c p G Y m R G Z T C B l s c I j m 6 g M a Z h V 6 2 P K M Z M / U C w 1 / Q m p P n Y p m J m k v x r 4 c m R i l G S O l 1 4 7 P B J E 9 Q L L r J g p m 2 Q T L 4 / u m A X m D j 3 2 9 B N T k e a Y I C 3 G B O d o z w l m 0 k R 2 i P O 3 P L M X i 0 + b N 4 2 Z G F y H U G E m X i D G z M T b R 7 K v Z t B b O C 2 X 9 H 6 h 7 Y 1 W M g P p 3 j x H N h k j b U j S u x T d x N x Z 8 j G Y M B g K M z F G Z B O N o X w f T k p 9 9 b P R l 3 D K J k l z t d l O o Q H R F p i J U S b 1 i d O B T j z 5 a L T U t e L q K 8 4 g k 0 s q P t o b f A / 1 N X a Y b C 7 S d g M 4 4 Z w j S U C Q / 2 S z T z E T S / + u S b 2 I U v V z y l J 0 r 9 C W K z / 7 a 6 z 8 9 i o c 0 z I z M 9 H d B T M x j v j m K m h r l s H o e w u 8 5 S b 7 r G p m Y m I P 6 z u w e 9 c e Y Z l M T A b R / c G L 5 N N K v g 8 H w U S R S X p v 7 S h U X f J 1 b a Q x M s P S J I 0 R m 9 A 1 l k V o d 5 6 C d v v J c O m U M Z U b y q a d m p l m W O / 1 + J P P Y M 1 7 6 0 k r b U d 3 d x 9 e f f U t P P n W 0 + g f G M a r j + 7 H j t V h O I y l N C M P W g m y A d M U M / G 4 9 g e o P 0 s 1 V D m M j o 2 J N S Q M 1 j I T + U J i p 5 4 4 O i N 8 r 2 I w l 3 t M h X C m g I h / 6 0 X H c 1 + U z Q i Q W x P o C 0 G X 8 9 B H s l 3 1 E T i b p Q 5 T S 3 s + V e z o o T G i k 4 i k 1 U 1 t o d O 7 X h / F s v P k p d 3 C C a U f Z a J k w 7 v I N 5 L M p B Z 3 p k h r p P w 9 M L h b q U 1 a 9 E X G 8 Z l X f 4 s l + V r 8 7 f L v i + 9 P W S X 9 N Y 9 n 8 P q X b h E E K Y q Y y C h a 0 i 6 D b X g 2 O 7 a T u 7 S o h k P E x T P 0 j M t f / i W C y S h e u 1 g y M X l 2 / 1 D 1 / b i g Y s h H z + c h Q W K S 7 s m D 2 U L P L 8 C m q Y g 0 q h 5 w B v S E O s l 8 J U 1 h b x U Z J A L l m I q D F 6 p l O G y p s F / L w 7 n n j r O E A C 3 N I u d y Y + z r s j D k Q N G 7 v 7 9 U R P e s t X M Q t C y A K 7 p P n O c 5 9 x G 4 2 2 z o W / s 4 w p v u o 7 4 i o V R m e T y D / f F C 3 m g B m s S g x O z U f 8 O x 7 W i w q g T T D B g d 6 i O z P 4 j 2 u f O w 5 f l h r L y o p G g p + 0 9 l a J y R j m d I k B f G q 0 K P F x N G n Z e k p O y U s Z b h P C 4 F o a g 8 i C p w J 0 9 j J k L w o H Q 7 U W S j A j N F R i U / x d 3 q J K 2 T g b O d s 5 s L 0 i d G h K v 4 K p z 2 o 4 9 I E b l 5 3 o x Y A 2 T J 9 W P B R 1 W T d 9 w R x H B h Y k 5 m l n k O U u + e Y m Z i G O 0 W 8 r + k Z 2 l 1 k C a l m + w e l V J w G F b 2 L Y g o Y i R p G c G k 9 F e B m p k 4 Z 4 2 h 2 P B O y 0 E M R Q a E N C 7 F E x / / v y l m Y k S j c f j 8 f j G R y W X Z S s F O + H h v P R y c F k P 3 C Z O w H w 5 r U G u n a 2 f V y a 8 V h l Z G X 6 y w a 2 G 7 c x 5 M 5 F h r F W Z i F J O A Q D x R 8 D N 4 z k t K V Q P e v f X T 4 D p 4 j a d / R X x W g w M d S t D l 3 V u u g D P Z S / c h E 4 / 6 N z x E 2 p G O a 8 0 O 2 G o k Y d P 1 z r 9 E K F 1 r d k v j n P Y h l S 1 o f k Z a 2 T h B R j S p E X X n h T V C d J o m v 0 4 w E / d 3 a k w + q z L q G l v R 3 t F C N 7 X g x U g t X t + W x 8 u b V G N V g Z k Y a m Z i l O / 1 k s 6 M p e h H 8 k U T u Y D I N F Z g t a s d Q Q k 8 + 6 0 g G U o h P i k 5 c K 7 2 6 d n O j A l 5 o E L d e d j r Z o p y E X O R U 8 w a x k / E x J 2 c c S y X v 5 O w + z U b j B Z q k x z V 0 t A A M j j L n w d m O E m d n l F l I i j Q u W C 0 G R A a j I n r v n X Z 7 / D 7 z 3 w H V + y U / K j H z v w h a U M y Z c l h 7 w w O 4 u I d P 8 f w w T 3 o 2 f E B d q 1 5 G V 1 b C 1 n 5 n P f V G 3 l P b P m p R l 9 Q Y t D B o D x A N P i j 4 e I h 4 A l u T 1 U V X E 4 H v Z e i Y l M g v 8 P X 7 y Q z 2 Y g U a U g m O L E h t C M P v Y Y 0 s b x t D u e X H Q o t 1 h P R G 1 t D P S q N l c P E m 0 P P D I t V X o F M M G i t m E h K z 5 e M h U W f e R a e T m 0 s I R 4 V e K E g 0 x b X O I 8 Z 6 1 F l C A l S q / / k 3 d C b u Q T z K 6 L C L G P u F + 4 X 4 w y D R w h K t f z l e h / q u 9 h I S z v 1 7 J a Q x q T x m d r Y m 1 0 Q V R E a s X I 6 P T 1 D R W y T J G 9 M 9 3 + f c a D F q 4 E 9 N k 7 0 U p m R 1 A j 2 F J b 4 a A V x 8 S I 0 A o c T B e Q 1 P Q q 4 3 o O U r k M m j 9 Z N Z l e x d C 6 F M j 8 c 6 g v C 5 D T C 4 m U C H x W N 1 s S n + 1 / 6 f k m b O T t K h l Q O / R Z Q + J 5 N P 3 v e R 2 0 m e 0 r O E O D 1 M I s + L h E V R 7 W 4 N C 7 k c l p i F T E N T L 2 D q K 3 c 0 m v Z 3 + O 1 P j m 6 T s q f x o 9 6 H s d Q 0 k 8 E m o H b a J N 8 B E M V O p w N W H P 8 z 1 D X v g A t C 1 a g 4 4 i T M e d I y Y l l X 4 r R R r Z + d d E 2 m 6 Q J 3 H P h i 1 G X K w R P Q q p c H f E p p D j s K 4 X T u X h L M p q H r o H G g q i p c 0 K D t q o C 5 7 D U Z 4 3 N M B i k Z x m W m Z W n O 3 h + i 5 m H 6 / U x + m N r x Y p i 1 l T J X E T k E I r + q o Q y k r 7 a J D 2 f W B N F b c o b e a K U i D 8 1 X W D 1 v v c Q X J l B Y R n o X Y 3 w j Q / D b C U i p j E 2 2 2 z w 7 Y 9 i 7 4 u 3 g + W z w S F n N 8 g R x H I Q T 6 p e + y U y U 0 j I q h m o F H o n 0 o p P q l r n J s x c J f x O 1 1 t I h s U p p 9 Z h Z E + f f G x m u N o t C A 9 I b p B W E J e 8 C G 2 q M W U c Y b X N a i 2 T X 6 a G r k + y Q Z 2 t S r F G G n i j v J z Z U m w K x s a T c M 8 n D l S L H I a w W 9 U m S I F 4 W A j W 2 H L Q R X u p z Y 3 E U C T 5 c k n s f S U M v V J P j s B 7 z U r z M 8 y Y M u H G J G 0 4 Q K c N J b b Q t e h 4 y b w R T w L b v G Y 8 Z i O / a S i C K x 6 R a 3 l z G 6 s t u P r R X 4 t d Q H i C m O f Y k o k o o m S m M d i c L A U z E r 8 Y r L 3 a 5 D S V m a B J k 6 A w S i a j z U r m 3 Y B d L J I k y x S R R B p L R J E W p m K 6 F g k 4 r u D K g Y E p 0 P E G Y l Z p n k 4 r 5 g z Z R F P q 9 d U Z T y Y N 0 Y 4 G 8 w q Y e H U 2 Q d o w o Q J m 2 A u L g x M r 5 A I s E S 4 K a q y C f f z P 4 r O C n j U P U p N 4 k p h Y w e I V B S 4 Z 8 7 7 2 k v i b i Y d g 4 a I u 9 L 7 j c 3 K 9 d E X T l A W d W W n t 1 w w 1 P F i z C p T Q O P t 3 p W h d 1 o Q U T 8 P s U E x / a n 2 C L B 6 e x E 1 N i P d Z 9 i u J I C 1 e y S 0 p t j c U H K K o i E N X T x K x j D r s k S R L t r W L B l C P v t 2 b c H D b e k z 0 U y O I c L U 6 L S a H u r F 3 / R s Y 7 d 2 H o f 2 7 0 d v 5 L n i X 9 m l Q X 5 8 1 o v x Z 2 N V y H x o S b I P T A Z I 8 4 U A a S 8 / n n d J V z C 7 / J p 3 j 6 0 u P q t F L D 9 5 M A q 3 R v F I Q m 5 J 3 V w r P A i I w o s i R S S n K u Z i X D t D 9 e v y S 5 t g 9 a o A / 6 y R L q x E 2 M t P K Q b R X B T Z j p k w + R g k z C 4 u J m C H P + X o y w r 1 W u D o k R t g 3 n C a f z C C b s n Q x f k Z Z u 5 r N J h r g H E K T Z O 5 m p e v y X B k v 8 2 Y N x Y s x F U T i a c S z Q R i 1 s k Y n S J P x F T A j c R d g 5 w 2 z C Z G a b y C Z I R N + m E z m 2 A G 4 y V T n B F t j d T s G h i f g I t O O n / X J Z 1 Z h w h f E u s e v h C 4 T x c h E C C + / 8 g b 2 H + j G 2 H i Z O b m p j J A y j K R A Z K O X d P w h E C V R z K 6 M 2 p 1 h R P X D q J 6 X w e Y X 9 5 O F Q A L B 3 E b + o o m E R r V 4 L z a r I 3 s 0 k U 0 i 7 k t X j v K x 8 y t p r P I N 5 8 L 0 7 P x p e 5 u R a 5 M I T A 1 t x I U q r x Q m D 5 N Z 5 m C i l T U h J 5 p G h s K y B u N B p H u I j I u Z E U n x R l 6 F 5 m p E 5 E 5 i k J 3 v 7 M S y 0 6 f X 7 2 Y w U Q t 7 v B I y N H B 6 D z 0 z F 6 Y v n q s 5 5 a n v i r 8 v n f B T p A 0 5 X P T u z z E 6 P o Y D X 7 t P L G F Q o m w z g c 1 T v n / F N n C Y V 6 0 B 5 E v 6 9 2 d h q c / C T G b z R F Q L k y 4 H O f c U w Q S d l N c K / 6 H S H J c a H C q f 4 y 3 W n o F 0 H 9 y G V s R i c V i t N D Z M r E o y K U N p b + n x w 8 S 7 v z g R j i x Z D 9 R O U 8 1 c D A U y a C Q z c d 4 1 j 5 J U N J K o 0 + G d 3 1 6 A W g c d + + q z M I 2 / h 7 x 7 D l k z 0 6 c 8 D g l 2 V w 6 j b H Y k M 4 Y U l + U m I a Z j Q c Z i h Y W s C v 6 I G 4 m U E c s a n N j x 4 h C W n k M K h a W D j M H B Y T Q 1 N Y A T b y s O B c 9 A l 2 O m c D / 5 F 8 S p h p B X U K q a m V h h h w O S 3 a s w E 5 K D x E w e O p f U Z N q H w P 4 U C V U N n E 1 s z h F R s D a U m Y n n S D i K p 0 T J S s H M N C T 7 B d p o 3 x Q z D e 4 b L G I m n u V H u p B q M x x W a Q S 1 f 6 h k Z 8 v F Y 0 q Z i X F 5 x 8 n U x j y s X h M 8 N S Q A S M X X p q 0 I d m W Q H y U z o Q I / j c S 3 y e + I V 6 n J 5 Z i J G Y 0 R T K u S N F P j C A / H k U l m U L V A J 5 i J U U 0 m r s J M D J b w L s v s m I n R X s Y U Z W Z i p D T S B m M a 9 q X L R C L / H W Z i 5 G j 8 + f q m q k Y M k a v R 4 J Q C S l o j R x b 1 e P 3 X F 6 D a q o H R 0 y Z q L + Y a T h X M p A v u h 2 H i X e k i D J F K d A g o J h 1 j y i + q D C 6 m w 8 z E M J D r o G Y m I 5 t z h C p 7 A A 2 e M d J e B 7 H 8 v E b B T F u f 7 h V x h R F 6 H m Y m B h 8 v O x z Z Z F K s / w h 1 p Z B L + U S h w c B B y Y l z t O h g s O o Q s / V P o x J e p u F w S w + U 5 9 3 H G S Y O Z e Y R G n B S x 1 b B 1 h 4 g W z + E a G w 3 f U m / V 5 l b X i I a K z E N + x k S y l C r z H x 5 6 v i B i B R Z G 9 t b C F 5 w n l e t n T r I U E M a V D 5 X f R k D C Q K F a J T O l x l K o G R S 8 I a V l 2 L N F X 8 Q a S 3 2 3 l v J p C L m r C U C b D C S h m V 1 T + M c S A h t w q t b e d 6 F U W 9 a J P 4 y w v 1 p M t s S S I a S y K b S x J N S e x V m c J n l 9 t D A h s Z c c D R Y i N j 0 W N d n F H N E y o s f I 5 E r z A F W Q r d P F i C q I E M l 7 T g 0 M i r 6 m 7 / O 6 5 y i L r t U J 5 3 u x j f k M m S H g h y C E + Z z C Y a 2 v g I H + R p s e r K p p E l I O Y w t F / 1 C / F W Q p X G b e + W f x H t R P Z e Q d S 1 A u v o 0 I c T 0 k d 3 Q k / D V B z b A N n Q X t H F i l j J + T 5 F p y k p B T h k q B + E u y N i 1 c R S h h I P M N g t S Y T K p i d F T q j k 3 U 5 b v l R d M x a + W 8 0 i g k j u w e 8 N q 9 A + M C B + 1 t 2 9 Q K s W c C K Q Q H d R B m + u m 9 r j A l Y X M V W R i V H F u F w 0 u c Z 6 Z y 2 Q J p z U P X 2 p 6 2 h F D C W 2 y p s p k 4 z A R 8 Q Y O 5 G G u N s D k l u a e d D o b m V a T M N g k g t N k J o u l S h E K V H B w U k c D L 4 X N B U P w m h x 5 1 4 m h / U N o X C j Z 7 r v I r 6 l 3 s D S m e 8 n j q 1 S C D S c 6 Y d J 7 6 f 5 c u I W + 5 O R G h i i 1 R U z F t 2 P N J m z w A m w 9 d y D t P h 5 b M x 5 0 + p L o 9 X V h S c i G t e s 2 i g W U k 6 E A 2 h b X 4 o 4 7 / w q T 2 Y L O g 7 3 Y t X s / j C Q r B k M 1 a G 7 S Y E v Q i g a v F t H u C E y k 7 T i g w X X 4 1 J P D b H r G x i w Y y B O z U p s 5 i u c 2 e c R L k z H D b D S A 9 x c W 0 S 1 q L 5 u c 0 0 p G E 6 q o n w R U u 8 + P k G b n j Z U V J I l x O n s G 0 d F a W P K / Z c d + a r 8 Z g w N j q K 2 q Q 3 9 s A 9 2 7 m f p F I q w N G z f j 3 n v v F 2 W 7 t + / Y i a f J / z n l 5 J O E E H n o k c c w O j Z B / S F V k H r w o Y f x w Q e b k N 9 + L x E j + W p 2 D / w 5 N 2 p I z W r T k 0 g d 9 0 0 S J C b S T h e S x q K x M l e j 5 p h L x H 3 U T C G W r B t c y B l r p J e 5 C W n H M e R j 2 q F b d R V 0 e x 9 D b p F U j 0 L 4 o 9 z W f I a E d g z W w f v J o X C Q D K b n l h N z 1 f A R Y z A 0 J H E b a u m 6 6 R z 0 b E I b t E i G j d C b C w y b l Q W l 1 9 A C K w l r K 2 l d 5 o u 5 8 z v w 2 I N P o q r a g 2 S K r K / Z Z E p o y G z L k 6 a J Z S f E i s 2 Z U J o 5 U Z 1 J I W 9 b I n 1 g i V K 0 V o h u z f X k 2 C Q s i 5 y Y C + B w 9 7 Z h A + a S D 8 A F V j I g K U I 8 w w m e m u Q A N r 0 5 g a P O L c 4 O l s C P J j H l W E Q r T X 4 W g W V U D v n Y f u L p x c q p Q i I q G Q G n b / 4 F e B 3 W g / O + g m i i B U v q i k 0 n n g 8 y E l N E S c J y g Z L Z I N S l h 6 G V / C M 1 M 5 F m 5 G K f q V w N D G a 9 m E t i 0 5 U z M v i 5 8 + T 0 c m 4 k m x l 5 6 l O d U W X / E X h e r m p K s x 8 a c T I p 9 + 7 d Q w J O i 8 7 O g 5 i 3 c B m W z a 8 h 6 5 Y E Q l c 3 M c N G X P 2 5 K 6 f 6 R G Q 6 q C e D Z g F O m F 3 z 6 7 P h y I z C V N 0 h i m G y 7 2 S p X Y C O C 3 9 I T n 0 1 X v v l + S L s 3 n L x Y 3 C 1 s B 9 H A k 2 k q M m 0 I e + y X o r x 3 W 9 i + P V b c V S z H p k L H 6 D z y P x n 0 0 0 d z F L B M P o O s o 4 5 y F l Z C J N 7 U R J 8 m A a 6 / c R o B H X O d v K f k j C 4 2 Q c 0 w 2 V o h p a T c U 3 1 o k / 4 9 d J G Y M V 8 C 3 p H k p V 9 K A W a 9 I h g J k Y 5 Z s r E 9 R j s j M v q X k O c T I S Y s Y C 3 o j T 0 z y c b c a k Y F C 7 S X y i u Q e C x Y c I t x 0 z C p q U B J E k 2 G Z O a u L A m I 3 y o W s 2 I m E t i Z m I k 9 C 1 F e w k V T 9 x J B M B R t S J m m v K j O E G K N D N L Y Z Z q P K f F f 4 l l e V m S f m w 1 8 p E J p M M J 7 J j Q T j H T m M o n Y 2 Y S u 8 O X Y a Z K E 6 y 6 5 q z w F 1 l 7 M / r I R M v n d R g / 4 C S p K D 0 L Z w s 0 u b K o o 2 f l d U g a S N K S p y + G 0 7 u m R Q 8 r M R P P L R V F F Q m h J B E 1 q b a V K 5 b j i G V L 8 Y l L L s I R i + e Q W c j 5 i n o s W T h f H G N i U S J f v h S b O t J 7 3 q J n N n j z N x f B L P s x x j m n S 9 n o 9 L 7 9 k 3 + g T j B j c n R Q H M u Q a c 7 M F D h I 5 p l g J g a N n W A m o g M S 6 K V z k g d e u A V V 5 H e J m o L M T I w K z M R I 1 5 0 u M x P 5 w z 2 3 S g f L g L O A x M s 8 D w v b j o S 7 y o 3 6 u j p x z J q X 2 i b K W h M v S A t r t T j / O B L W z g w 6 6 p T c k R m Q N z A n 5 i p y t H 8 8 h Z a W d q x 6 9 H 2 M d K f w / G P r Y C T T 5 M 9 / e A A H Q p t x 1 1 3 3 k A n U g 7 / 8 7 U H 8 4 c 8 P Y e / + T t z 0 8 1 9 j 5 + 5 9 J J V L w / N M F N T l o m P I c D R U w 2 v l T Y c L e X O a d H G 2 h Y m 0 1 9 w l b C L Q 9 2 y u s Y + k Q L 6 + U / F R O J r H 5 6 m i Q J z U I e U D 6 i E 2 P 6 O / o 5 N k r p L P F H G f h P a R a q R H w / i f x / 8 L 6 z / Y j G e e f R 6 1 P D m s Q i l x K 9 h M d F A O n K b U T M z i m k d E Q 1 r J H e c i J R Z U L 7 U g H U m T Z C 9 c k I W I X k u N V J l v z e Y F Z X 2 i L J k c p c j r X I I x 1 X C W 2 c 1 e g H y o S F T y O b h 4 f m W N d E i y E R A / p 5 f R 2 4 H u L W 8 L n 1 F Z u 8 Y m m 7 e 2 A U d + 8 X Y c + W 1 l 4 7 b p u Y 5 8 A S H Q y Z R T k g L W / / l z Q u B w N 9 n 1 Z K Y 9 d S l d c P q z l 4 c G / Q 0 X i n f m 2 A h a R w v 5 g i 3 j b z N 1 V A T X Q m G M j 5 P Q Z t 9 f 5 I l K M O q y a P Q Q 8 1 c 0 + V S h 0 t m Y e r w e h Z f B K 8 i T f V / t l C Y z B 8 J r h Q n V o q 2 m j m S C 5 1 v S S z i V 9 B v W a h x s y C e p 1 Y q E k s C z / 7 x Z t d 2 Y E x 1 o H H 8 P m d q T 5 W 8 L C E + G 4 P C S 7 y P m 0 M g U p A 4 W D y Z v a s Z F P 7 h O g Q D 7 Y K R R Q 9 R G p + J X F J p O 3 2 e h i x w k E 2 E B P V c G r f d / E c a x F A 5 + 9 1 G J S M q A h P m 0 7 9 b 1 m H B C e / G q 0 l L s G 9 N j Y a 0 0 M B r S 2 L y U P 8 3 z H S S U 4 m T u q Y v 3 z w Q 1 M + n K z e u V w U F f F F 7 7 B B F l P R G 7 T M w c T J L n k g J c R M V a n D X D M J D p w 1 k W v H b O b J G 1 Q w m 6 V j + E 8 d d + J e r 7 W e o W Y N C f F N E 9 T p 4 d I N + s W e w S I o O e O 5 H l z d S k c g o z g i y Q N b d d T Q J J i 9 7 u g 2 I J S J M z i 5 p z f w 5 z y z H y S e X A / a h B P L I D M U P x p K 4 a r b 6 3 4 P d e L V a Z z w R e K M v z e w I i G V k y w c u L G l 6 q r A q V H o q Z G M x M O j k 9 i a E d k m x V T m 1 q s B 2 N Z h s 5 k r y 0 W u 8 Q O 6 a L 3 C k m c N Y W J E U T k D / L O D j J H Z u H h U y p H p + U 2 s L 8 m v E e J Q i + F A f X y N p O 7 8 R E 0 o u s v o 5 4 h u 4 j p 0 l N M R N D j k Y J Z l J J G Y a 1 9 0 / o n D Q J Z m J w u e P T a 4 7 H p 4 8 6 n Q i + J G L E j E n E 0 D W p m 2 I m D v l z f t 7 e M c M h m Y n B z M T + E Y O Z i Q t m T m T M S A z H 4 C a T R p P 1 T Y X X l S h a I j t 9 2 H T E g N J r d s z E s F j 3 I 5 j p L 2 S Y M 5 i Z + L n I / H W 7 S Q o T o Z c i T X 3 K F k s l Z m I c X P 2 g I G F j V T P G 0 3 b B T A q Y m Q b j G 0 l Q 0 n N T / x s m 1 i M x E M W 2 2 y + G / u G P Q v / 4 e f K Z 0 7 H 6 1 q t R Z y c h T 5 r U 4 O k Q P h m X P J i Z m R j S A M 3 E T I w + z 0 d h S R 0 6 5 U h h J t 7 D j J k p E 5 X M k a m n 1 M R 7 6 O F k K a e K i F Q y 9 c q B d 7 x g G O I Z W B Z G p d / q q 6 T Z Z O 5 e 2 c b V q g I T X L q X I e 3 n W s i v m u v l 4 S C C S g 9 j W T 0 v a S A t R B q F U 0 Z 0 o Q P S S V M g 5 5 C k O a P L p x e p / 3 w + m z u K 5 K g I 2 Q R h G P r u R a z t e s y r L m a y B 8 + 7 H r 8 6 4 z p s H Q u L J e C 9 k T V S T p y I F B o w x 1 t g 8 K p 8 p 8 j P W 1 R b b P P P h H g + C p 1 P m g J w m 1 q F m e t s s Y I 3 r X 7 x 9 c 3 Y v G U L g u E Y 7 r z r b u i N Z m z b s h F 9 A 0 P Y t H W H K O X F L + 4 r 6 V V A T F F a 7 B u W A W e K 1 G i O m m L U K f B n e e 9 f r 7 W V e 1 e 8 L w W P b z n 6 4 H k d W 2 J A a C f o D E i G J 8 U V l n 7 j W f E 9 C 7 k m y z H E y K Q V q f / T t a d A m 3 M g k p Q k h y Z S P q c w N i k t W e e t P C e C M T T J R V 1 a V X v 9 z o S 8 M P m L I V Z O y F M x D M 4 A I l k o 8 h 9 n A 6 7 B z 9 D b y C x N B y S G 0 s S 7 k L f w b h Z M X I X O S 2 Q P r Z k U s A N r I G l t 5 6 X t U S s N p h Q c C M X 3 I p / g j i g 0 m m f 9 l U T O + U y 8 y t x P m c L 2 e T k F h 6 N 0 Z m o 7 Z 4 z n 7 K q d N 4 S f p I G l N i L a M M e T E T 7 C k G p R X 0 W o N K 9 t 4 A 6 E G 7 8 o / L X y y O H I h n q Y j B G 0 2 U + Z y o k r R d 6 q W k v D k p 7 A 4 V m u p a c G E 3 G G H L i h o E 6 E Y C e C k j D Z 2 G c X g Q 5 G Z t i G c 8 8 5 E 8 c d v R I u h x V f + 8 o 1 o o 7 7 8 c c c h d b m R h x 9 5 H I 4 b R Y 4 L T S M Z S Y x O V 8 u w t M S a r 9 S h U g k C q t F C l G P x n d h Q g 4 A j V J f T 4 H 6 l E M i X D V K Q X 8 3 M Q j b u D I U x u I X + 9 t v / O Y S M r l p X I k 4 5 3 / m L 6 g n S 5 z z + B T L Q C 3 k o p k x 4 T P u f v x Y t H q 0 2 N c 3 g a 6 s N O F c i o 1 3 f w W N T g 3 6 e n q g s 3 m 5 a a j + y H f k b y u D r Q w 9 a e / u n f t h j F d R 3 x d o g 5 / D a 5 4 7 F Y y o M n a I v / a J Z + Q z Z o 8 c + a A 0 q k F i J p k I x A M T Q X H s n x D N T L e f K 4 F t X 3 0 6 h d j A P K Q 9 S f h i U h Z C m p M 2 z c U d x L P + X P u a o e G M 6 h k S L x X w y k g u 8 c u v Y M Y i N v U S Y G e d z K R F p y 7 E r r c K y y V K S 3 w N E O F O 7 Z C h g B 1 L 0 o r 2 w T s Q b f 4 m P U O e p K S U Y 6 a i F x n U N 9 n Y r P b I m o J M Q L w 2 r E 7 L T m x B k 4 X C U b L D c 0 j 6 e u k 0 I 1 5 a N 4 5 9 + 7 t w R H 0 M 2 3 b s o o 6 b Q C J G D E 9 W g 4 b 8 m l S S B A d b E E y o s i X B z y T A / g 9 P Y s q a i I W P A r u e m E k 9 c a 2 C 3 S 4 9 C 9 d 9 4 I y B a n n 1 a Z 0 c E Y 2 T u T m Z k g I B e b l 6 L K O l w 4 u M t J v A N P A c Z S o b F 1 r E W N 0 B k 6 c F y 7 7 + N J Z / W 0 q C L Y V N X 0 t W c 5 a I s R q + Q R L s 1 O 9 N V z 8 m f 1 v A p n u + R s J M J 8 J W e k + b 2 J + X N a d t / k e k E 2 Y A + 8 G Z V B r O h R 6 k L F y r Q h q H D N 2 3 k s + W b P g k t D G i T V V W + q H A E T + t s g 6 k C K Z 6 c j i L 1 / K U w 3 1 3 v Q R D 3 g U H a T a P x o a g h o h b T 0 x F j T f p T P B H 6 5 D O 6 E W I W C X g B D i j Q a x p k j O q y 0 G T L k h d J a u A 6 Z x 9 H 3 1 a K e l F H W I m t U 3 n Z o O F E D y b T T m u E y y D C 5 G o l m l N w T z 6 P C J N 3 x T v u T i S y B q g S / J r 6 2 A J I f K E I 2 l h T i o 9 X P C u g S L 8 y 8 i E 4 b B k Y T b p 4 W 1 o h X 3 y d h z 7 k d O x c M E c E c 4 + k g a e f U s 9 E z g x A 2 f N j 8 S q y G K Q T K Q I E T / P 1 n O k s A h s p u X T 0 + b b c i g 2 Y d k f 5 f k s Z S 1 W j X k x q s 2 S z 6 g g T 8 w Z I 4 Z S k C 7 x H 9 k p Z 3 A e X C l a W x t h X 3 w q l n 9 D k v I a P f d j e c J l v H f z p W J y l 7 c 3 N X j n k B W t 0 v 4 8 i U 1 c F h 4 b Q J W F z O 2 u b v G X G a / j K 7 M z 9 b h Q D m v P 0 q 2 K u F I X W w n J V E a 8 S p G z E m 2 S i 2 E a e V E + c m i U j f J x y S R / q r B a t R y Y s 9 M h J 9 5 / f y 3 a O 9 r w / H M v i Z h 9 M 5 k i / f 2 D o l r q O e d 9 F B m d X 6 j Q c W I q X n L B H d H D V U K d 1 H k 6 G p S 0 j 8 y D R F n G 4 q X e e f I p 2 F z K p J e T h i l U 6 L T 3 3 o Z I W / E + s K O d 5 L + 0 c n i Z T t R z E I L O L T E j O R t b R x 3 L i b W G y f V I 1 X 1 s p r E W T O h L j C C a i p L k 9 o q I J + d 4 O S y L 5 T M O A 3 J 0 c S D y A Z r t x 4 p D v H S + b v x W Y m r p W X h R I q 8 z C n Z F 4 Z p T r A 1 5 L Z W 6 I A i D 1 1 + x s J j G X C X Q J P u p L 1 s w O e k T W 1 7 2 0 O / K 5 f f l 0 y P w 5 Y v T r 8 q B F 5 H y p P B M 8 B j n V t Q A C t h E X P O b C 1 C L f s F I 8 7 9 b s u 0 m + S V v / v 6 z I q g R 9 P u Q M l a J 8 m L 2 + a e j 7 g w p c b k c y v l 2 t n Q c 0 T J B C Q / R Z 4 o Y i g N r B i V y V w L 7 + N 8 Q q Z m + I r k U 0 x i K b d r E t P m h 6 T C S T Z z i r f d V 4 M C A Q U f q V W W j M r y 8 H D 4 x h H u v 4 Y R V D Z L 1 / f j q 7 y 8 g 8 a b M i h d D k u T E f E Q A f Z G 1 q L c e h e 1 D D h z T X A g N O y b + j A H 7 9 S J 9 x x + J Y 0 W z p E 2 2 P D m I l Z d J E 9 F T Y C d 5 4 C / I k 9 O b q j 4 N G d c R J H F J 0 h M x V + n H q A 0 z Z y d P 0 O A Q C w o T Q w E X c n G Z p B r v 5 a A O h 0 + h Q m U e + 8 H f I N j 8 H W j 1 e i R y f m R 9 V t h r L Q h 3 m + B Q 7 e w w E / Z P 6 L F A H U x h 7 S 5 P G T A 4 r K 4 l B 5 o J n J d y B J O G a c w Z I C G a Z S F E M J B p m V Y F b G Y H 7 h + p n 9 j v Y r A w D a b 6 4 R J p Y t P x 7 q / P R 3 O V B i l f D y w N y z D / / G v F p m 0 C m R B C B 9 Z h 4 z N / F N G 8 k U A K z R 5 p n O d V q D e h I J t L i W z 6 2 Y K Z K p f l w q w z C A D S B u b B R 5 F o / r T 8 k a 2 Z Y q F S 9 I m d Z 2 a m S R + Z S l k b 1 m / j z a n S J B l y i E W Z S e h m O Q P S S T O G 5 c L p 4 + M Z + A M 5 s v f N S P j d 8 I V 0 S C V M 8 v k K N A g F m G i l x g 5 2 T S I T 7 S / L T A y e y G N m 4 o B D q / 1 E x F O W I m Z i Z B N G M U f T a h s T z M Q T v t a e O 3 H U i X s R H z 5 A v p k P O v 9 O c e 5 Q 2 I B o y z c R 6 / g C 1 k e O o 2 b o h F Q X 2 Q V k W i k B k n e 7 5 L k Y A p t F r E 1 H 4 9 2 i 1 a W R r g w R H k t B v 6 r O g h r T m I l / X 8 J M S u W j a N v 1 I v l W o y V y D p p h I Q J j M D M F e g o m F Q d z K q G 9 q v h + e f J N B g e l q B g z E 4 f U F W 3 B i Z y l z D R C z 6 k w E 4 N L X B 8 + p O s r z G T V 1 m H H 7 r 0 k e F q F z 8 h a Q H x L 7 e A X 7 8 n E t f S T k z 1 i Y r v t i 4 8 g 7 V y J U E J 6 l v f / e B W M 7 3 w P p 1 U P k q n X B T 0 J B B 6 F Q z E T I 5 2 X V x L M A H V g h Q N w M z I T g 9 r M z K R J + m A e f n I a M z G 0 v E 5 G S Z G R i E a D a p I C W v K F j l 8 x H + 4 a E 6 r o s 0 2 2 y 3 X a N I z m N G o 4 w Z M u W F d r h t d l g N W W h q U m A r d b B 5 M p R 5 9 V J g i Z E V a P H v 7 0 s H g x f n b V m + L v j M h M C M L m J R 2 l y M q l p C z j L w j m y R s c i L V / H f n G M 7 B / v Z 1 M S A 9 y N m n R X y O Z l w I 6 F 1 Y 2 q c K h c g o S z 3 U x T p u T F G k 6 4 / E + M n k 5 3 a a T f L e Z T S l O 9 4 9 H J c Z V s H 9 c k u x s L q a m f j 7 9 G R z U T 9 E E E O x 1 I j Q Q B g f C L A 7 S + l x 3 X Q Z X A g r I N Q s 4 m F M J 6 U Q U 4 U h Y V K J l M M E 2 N b W I s g A x O s b b v p S G z / P Z M P z J / Z i k 5 2 T z O 8 2 l h W W U r g n 6 M L C Z 3 O g 6 2 C V 2 3 2 C H / c W X X h F b 0 K x 6 4 W U 8 9 / z L e P m m s 6 E j T c p P Z Z t z k v h N 3 u x F 4 8 g d J E S p D b k s R n V t 6 E w 0 i F z A W r s G e r s 0 6 V w J o j 4 E w a x z i 7 8 M D k o w b Y e T h W X 8 I T + n y x X G J H Y Y A b i 8 y Y N E w 2 X i v W X 8 M W g j v b D 3 3 w L T + E s F k y + c G a L B L 3 C 1 O Z t C g i v 9 E D K k I d 7 d t A 4 O m x 3 B a A j z 2 x a K O m t j / k l y 5 p I 4 / e j l M I 7 M R b q p / J w V B 9 x c 5 n l 4 4 d a t 2 L 9 W i i D 6 q S P 5 e W 5 6 8 m r c + z l p 7 V B P Y h t u f O L z 4 r 2 A v P C O / S 8 h z e k 6 Y p E c q X P H 0 B 0 I N / + 3 C G 5 w k q m q b 4 T k 2 b e 2 E 4 u P T C E v F x b J p s e Q 1 n q o o / V i f V Q D p w 8 p W Q H T a b 2 s D R 5 J k i l m K i / 5 z C T R b a Y 5 8 g Q 0 k Q i Z T L t H D F h S P U n v 6 X O Z W g e 8 l a c r E I e r Q w 5 + U L t 5 e U e 5 y d n A w S Q s t R q Y H N O / Y x N O l M V W g Y X k V D l 3 B S J C m K Q / Q f j A x W h Y U 0 j C h B H i g v 4 E F 7 V V m V O c C R z Y i I Y T c L i s w l X g i J 0 a b O 5 V Q m h o H z b e 8 1 / k O / X B 5 G 3 H / K / z R g S s K Y K w R Y b w x p 3 f Q 4 t Y o Q A c H J h E a 4 M U + l 9 4 3 a G 1 k 4 J y Y 8 i 0 Y S A X Y N y f R J W 8 b F 0 B a 9 Z y 1 b o O B 0 I M c Q B C z U w M h Z k Y T q 0 f H z t x B Y 4 9 Y i 7 O P H E l 2 h q t m N v m w Y l H L s D 5 R 8 1 F f s B T k Z k Y H K 1 m 0 + i C 6 x t l w s / D Q u Y P a 9 w / 3 S B P 9 h E 4 f W n r 2 6 o i L n I 4 n T c G X p B b i 2 X Z e 2 E e e Z x a b U T A c b n 4 z k r a h e s m q M G S J 5 3 I g j e n V q A j x s m R u c r n 1 i j a U 0 6 x K Y U / p U Q Q i 1 G O m Z J p K S K V E H K W m U n 8 S 4 0 w Y k k D f e B M E C J Q T Z L 9 x w I 4 G C F O z R T 6 m Q M M m g q Z D s 4 5 J s F M k / u m B w x Y + p d C Y a a i O S X 2 i b Q 2 w U z i o 4 q Z e J W A 0 1 Q n X k x w a u w 8 6 M d X 7 / J h U G x u X Q D f l 5 l J I F 1 u e U T 5 Z T 6 M z f d 9 B y 5 t X N B A x 9 X 3 S w d T E y T w X B h a + 0 c S T N K 4 d v c O g e u d 8 3 k L v l 6 g l Q 8 L p o 2 M V l + U u a G A t Z i 6 z W q T c L b Q M h c r h d A V K C s V F c T 0 5 S c x b Z k 4 I u M N 0 L a p M 7 z L o 8 o 8 R 4 R / 3 f o G Z I b s S K S D i I a i G O s d I 2 0 1 R E R M 9 j 5 J 0 K f + + J b 8 C w K r Y d J G K 7 z r k f A c i 4 3 5 L 2 C 8 6 l N C c 9 m j a + h 8 y b z h b O V S L P / Y I m x 7 R m 6 X X E q M m Y / n o p Q Q P C P M U S 3 y H b k f l B e X R Z 4 t T I Z C n Q a x W 0 Q F 5 E 0 q f 5 H 6 l x N k W z h j X m Z S X q b R 4 S X P R X 4 U Z j g 1 l O P e h X a E u o u D Q Y r p w l t j l k K Z U 1 L g T 5 V m m U j g Q B K H E 6 z Z J F J E c G r 8 7 l / b q c v H M e Y r P G s p b P I E s R q i S G k Z R C d 6 h d I 2 Z M e F d t L L G w S I 4 F B y C D s 3 b E G 9 g y e + 6 Z i 9 H t W O F D Q m 3 g O a B k 6 9 4 n o G 8 B z a T E h w t C 9 a z t o o M J E 2 U V k g V I L W q a + D X V e H 1 G C S G q y D P m y B N l V D 4 + x C 9 5 u b i A G a k R s y Q N f b h l y P H b l J I / T 9 8 0 V E L 0 s D q W k I w J D w o 2 3 s G V j C k h P M j a o b e w v N I 8 9 D S w N U D e 5 s a Z D Y h z L W D L F 4 I 2 n k I O f e A B 8 v E Y E O V W I x m x 4 / u f S f E p P r q 8 l R N 8 B G 2 p N 3 D + f l E + x 3 s O b S Z M j e l y c s z Q Y V 0 R C T Z Z J + + p v E X X 2 k y c h M u + E f h Q W D z F T v q j Y Z z m c D d O / D l 0 Q K x k K F C O E k a T Z F w j F j B m R G n g a R i i X B J v N Z 0 U J D Q m k V W j W c 7 c U C T 0 F b a 2 H q o V i 6 k i C J 7 R K + k r Q 2 t z w 4 N s d j W g q t 3 k T j n c L K e d M j l D O j / L 3 W / + 0 6 k M c r t M 6 8 a 8 n i k H c i E T A 1 Y t G S Z e Q D u 8 i f z Q h N o o c J i z 7 7 S + l 7 1 U o B R Q A G O B u H l / r I n / k V K 5 N m N A 0 2 K y y k F B i c c s Q m q t r k m 6 r Q x b S o L B 8 R f m a x k F J D G 8 q M I p I d h b G J 9 8 v J I u O I I 2 E M I D 1 u Q 9 s R p y K Q G Y C 2 M Y 1 s W y + 0 7 R F o v S m M W 8 g X G p 9 D Z q F E m A m D F 5 2 e y x F 3 K K F R D U Z r P 4 q B + g u I S V q h J X / L N v o 3 W A Y e x v f u r E H O 4 I L b 0 E C q n I h / k J i S x J W f l 2 s T 8 3 n I J N H m I n j n v t f o I T J k q h H T e E 6 n a x Y T m E i w n Y J q 4 I j J 9 C a S e B o T b r i i G i P j Q X z 6 h A I D M U 4 r 3 m T 4 3 0 K t s y A x 2 Y T i B Y t d f s n 5 J T d f / C 0 F l 0 1 m 8 G b I O p P 0 H F x G W B q s 8 l A i k Q L 0 N j R Y e Q a f t V u W + i 4 W Z y Y 6 I L I d I m X K Q J e C x + E L d 0 f w z b 8 X 6 u o F w k n i f w t p l G I i U v y t c k g X I j H T M L z j d R i 0 5 C e m x 2 H 0 t J D 1 T p q i p J Z H 0 + X / Q P a I k 6 l B U q 7 e o q 8 9 W c j m k a F s W 8 T I k k b 1 5 Q p t P h z E u Y Z 6 N g G X o X x Y X 4 C n g b h U H U N k 5 R P V T N W w p P u K y W d m u p I i L S w x c j 4 a Y D q a a x u C t r q c S p R I e 2 F D w d f R 6 X I w 6 D P 0 k I X L 8 e C I e m + k h b L 2 O Y j W f Q X x p i u R 8 R y N Y y + R 5 m + q j E 3 g a s X B f m o M a a x Y M o M c a x 9 9 F d 5 8 d o Q u o k c m n Q Y X 9 F c E r v I 3 0 f w Z 2 A d v k z 5 U w I K G L B b X D E L f J Q V C y i H 9 H 4 h m l c J l l e b x K j n l X I M 8 l 8 k j O h S b m r 0 X Z Y S V J R Q 0 O O o s E Q Y H X 9 R w N l k Q 7 C m Y Y G J x J C + u T A 0 i m 9 u D v p B f 7 O x I 3 0 g n z A C b n F 7 z 9 u Y R Z E I j M B K z m G S z / y d / W k d 9 n s F n z m y g K x W u x b 6 W g D w e a h i 4 T C 8 d r z L S u M v r q x T s X H U r 8 j E O 1 A C L r 6 + c g R B 8 9 w l h 9 m V J P 7 G G L A V v i l Y O X G g l o 6 5 P e A h w C l V c Z 0 Y y X t 4 U n k J p r U o l y G Q g 4 c 0 Z N M x 0 R E t T 1 G S M U Q d m 6 I D n 0 I 1 x V U k X L / U 1 d B z d I u h J 0 x i 0 L t g N J d V y e D z o d f K V 8 2 A w s / T J w 0 7 M 4 2 o 1 I j Q Z R U I v p f Q 4 O P + M u v L H n + C t K a X f K C 9 R w U h + H 2 m + A f a R 2 4 u + 7 x k c k 5 b J 8 w / p / 7 y 5 H a 1 H G U Q k T H 2 e e J E 2 + U + E h w s o U N d M a z f 9 n U l i q B S c b R V y G L n A P u f m c f t 5 i U P W D 0 u e z S I a I 1 X 7 u V a f b 3 8 C 8 U C S f L Q G 9 E V r M I k 4 Y u R T O v V h 0 k r T s w J K Y S Q f N U 6 M z P 7 T G + v 6 h G n 3 w y v b k J T N 0 h s + f x Q J C B 3 O P L a W z u D x L e E g a g d v X 8 Q v K x E y E 3 S V x k r C p I P M K C 1 s t o K Z 2 P X e o y J t y I o k L E 1 c Q p s f p D x O / f 4 b W H b t v Z j 3 1 f J J q q J / u S k l L 5 6 M 5 q X q W t K o 3 K Z y 5 y g v r i V R a 5 O S Y s 2 8 X I m 1 T T n M Y D m U Q n N w + P 2 8 d q A F u W b F / 5 k d J s J O Y i g N v L Y Q a S h u o Q T u U K e l U P F n J t x y h Z Q w y S H 0 P E l g j f C F 8 m Q O S o w Y o O M 1 z W 5 8 6 4 5 L x e e + w V G 8 + 8 7 b u O y y T + D t t 9 / B h g 0 f Y O H C h W j y 5 r B 1 7 6 S o B V 5 f V 4 9 l b U c j Z Y 5 g 3 9 7 d Y j J w N L E S D p s O F o c V Z x + t E / N E C 2 o 4 h J w l c 2 j m F K t K 2 P D W Q R x 7 8 g p k U j l R 7 a j K 6 0 C a B A k H R w 0 a B 1 L p O E x 6 G x x 2 N 5 l 2 p H l J W + j 1 B g w N T u D t d 9 / A B R d d O j X / N V t w 1 I s r O b G / l e c l 2 C U F O i f i B 5 E f J G G k z W D c r k e d q 2 C O p k m g G F S h d d Y 2 i e E o z D Y n Y t E Q M r E Y f v 7 E f o z F d P j j 5 + a Q s C W z M Z W m 0 c i j Z m m 7 y D x Q w J o v W 0 Y Q M V N y x g G / K 4 d 3 / n g V z J N b i V 7 0 O O a n W + S j l a E 7 e D + y c 6 + S P x W D 5 5 s q + q h l I B h + a n m Q B h F Z 4 z j 1 X L p M H e T h M V G 1 n 0 0 5 1 j 4 z g P f X U k r Q a V K 7 f 5 Z P J g w Y a 2 A / p R h c M k t X M r E 5 3 B 9 A Q 0 v x Q K r h o d 9 o L J V T c k q h Z q r E g A 4 m n n h N 6 1 F l k 5 z P Q H o E N z 3 5 R W w e N O G 4 9 r x Y o s 0 p I r z A i 5 e p i 5 A x P X Q u t B e + d D 2 e + g b 5 e s j g / F v a o U 2 Z U N O Y x Q u b 7 Q j G M h h 6 e R B H e v O w X L 4 Y p 8 w h q U N E M n k Y 6 S k K g u M Z W I x u U d W n s a k e / X 1 D 8 P t 8 O P f 8 s + C o 0 u J f d z + L L 1 / 7 Z f z 9 7 3 / H a R 8 5 D S 6 n C 6 0 t T U g H 8 t h y Y A u G h o Z w y d k r 0 R d v F m u n u A g N Y + + Y D o t q s y K L X M n N 2 z Z o Q J 1 + Q N Q 1 m A 5 5 8 O U N m d k Z V 5 A d M 0 N X K 1 k b E 6 N h a B 1 6 W I i h L F O 7 / O V h J l 8 2 n Y n B a H C Q m R Q X e 2 N l S S A a y Q R C K k H 6 0 E n m R h j J N G 8 G c G j m d 2 j m k E a y I p M h v 4 v u x f s / K X t B 8 T j x v F X f 8 7 + A r q o V z a d c j c c e f x q f / v Q n B f l m e S M B g v o + t r 5 b E W 3 9 L / n T d I j n P X S z Z o Q 5 X w + b p Y y l k A n T s 3 N e 6 O F B a C i x w X N R N a L K K F 3 q X o q Z J v P K g d f C 3 P J p i a l 8 q V H E h 3 K w N W n g 0 t e K c D B r K c Y n b v 8 q V r a w y c O l y P T I y p n k f A 4 P g j a 4 F z n X I m L Q l 8 k P N C E V o e s c H c K 3 / y x p t 4 1 P 7 s e u Z 6 R N w T o z O / G L R 6 V d 3 n 3 J A z Q m l Z / n w 0 L d D 6 H + G O x N Z I b I / h K D d 4 n g / a r K Y S w C 1 F a w B i u C p G 8 w M 0 G m b l L 4 R F G S w N m Q A T q n 1 E 8 D v T 4 S L g 5 Y S B C Z a b x j z D R l Y C E t G 5 e D T b O F h U w i v a k d e o 0 N q 5 5 / E d F I F D X V X u w 7 0 I l L L 7 k I 6 9 Z / g C s + y a W + s t i 7 e y + q y Y r w u J 0 Y G B p G K B Q S 2 8 h O i K R d L 1 Y e W S h Y q q 4 M X A o O S g g / q g J D + e K S / + 8 p E 8 5 X I x k 2 o 7 F m e m L 2 F D h a W L E q l w r s c 5 K Z r P v 2 d 6 + 5 k V W a P h 1 D r i T Z t R Q 8 K 2 7 i V X 4 E g 8 a O N 1 / c h A U L O + A f y + D l V a t x y p H H k A P J E 7 a z F x v M E E z O / b t 9 M G k t y N v j C P u o L a Y k z D q 7 e C V z U b x 1 5 + s 4 5 9 q T 8 f D D j 6 C 1 r Q 0 H u 3 r w 6 G N P k M a K Y / W a 9 7 H 8 2 I 9 g I m Y k 8 0 6 P w I Y Q S c c 8 / K k R n P G Z l e I + e m s W Y 6 M + D J P Z G E v 5 c c a n p R 3 D z d R Z y j 6 4 a q f 7 3 w U v G m T 4 9 6 X h n m M W z 8 k I J a R a e h o O B B D R D 4 2 H Y L c a p 7 5 n 2 G T Z x r X I e T d 9 B d y r 5 V r I / c 3 h / 2 Q u R D 6 n F n o y y X j y U m / I I B v R Q 2 P K w + m 2 Q E 9 a g z M g e I 1 a J f D 3 f A 0 F D i L q F A l b j o T x N c v B Z V 5 E / j M / A 7 B o 4 X w s X 7 4 U c + d 2 4 L h j j 4 a T z P C F C + Z h b G w U J j K / D c F q u B u Z h q h N D h s x n g f 1 9 X W Y M 6 c d D f X s 6 B e e M k f X d E z 8 B S m b l J m v B o e 5 K 8 0 1 h Z L U 1 q w e d i P R t V x P r x K i s R C q H H W 4 5 d Y 7 0 N 4 x B x 9 s 3 I z u n j 7 B 4 J u 3 b E M 0 k S e B s A G L F x X v p C J B D v q k m e k k C S g x F K F x + A W E n D P 7 P k Z V V c X 7 / / 4 C j j 7 q a O z a v h 8 f b N i G j 3 3 s T J J S D r z 6 6 u t Y Q B 1 4 O G h Z 6 s W 6 J w / w a I q t V Q w 0 g B r y E x L 0 P j x A 9 j p J 2 l g 2 h I P 7 A j j 6 0 5 / G 3 F r O I a x B a 0 M r b B k r 3 M l m R P 0 R j M d G Y G h o Q d f 6 H c T 8 A U z 6 x 7 H z / R 6 c e u l y 2 N w 2 N C 6 2 Y e P z X d Q P F p x 0 6 T z o E C T G s 5 B Z y 8 X 0 o 7 C a 6 5 C J W j D Y G 8 T Y Q A S v v 7 Q e K 4 5 c h H 1 b 6 T p b e j D Y E 0 B t F U n i v A P / / N s T W D j n S H z w / m 5 U 2 Z t I C G S x 6 q m 3 o O O d 1 W G D p 8 q D w e E 0 a t v 1 6 C c m 1 l L f c P d N d S E T J x G F w 2 a C P x C A x T I 9 g K A w 0 3 B I K 2 q o 8 8 Z i v L w / E M 2 S E y 0 R f Z 4 n O k m K + n I x w Q w M h f D 5 c y 5 q g N a c h S 6 W 5 7 z m I s Y t B z U z M Z i Z G H x N H W + e V v K 9 l 7 P I D 5 G V z p q Z g x P 8 N z Y Z h s V b r A F F C l O E T E 9 h j h b a x 0 0 N Y R H 0 c r W h U r D Q i i Z H U P P K d 6 E P D S D Z K A l J E / W b d R b M x N D q u D 5 9 N U 4 8 8 X h i c A f a 2 1 o w p 6 M N L d U Z L J g / F 4 3 N 7 Z g 3 b 1 4 F q 0 w + x v 4 Y z 6 W R i S h M P u k o M O i v x X G p e z F Y N 7 1 I h j X S B 3 e q E 0 O e j 4 n P m 9 / v F R L v 6 O M X 4 o 2 X N u E T n 7 i I R o M k 5 S y 0 U + e E X t R t 4 C K R n P W t j P H v r 3 h B / A 2 S m R c j f 8 r S T M 4 8 + c L Z c S s x V J A k U h j X 3 f h p e D q 0 a F 5 U R z S p F d U 7 G b w 0 3 j b 2 F t L 1 p y I f G 8 I P P / o e m Q V 0 D 2 s A f 3 z n e k S j M a x 9 c Q s S o y b s e K s X P 3 z y M o w n 9 q N G R 0 6 8 v E S c i S 2 a H U e C z T H V c / A M P X / W E 3 G l y V H X y p O w W l L x P H e n Z J p k i W L 1 2 o x U R 4 9 c B 5 e + B U n 6 z 2 E v Y 7 + p n F 1 O o k 2 T r x E K h + g v m W O J F O a T h J 8 J w W A I Y w e 3 o m X h c p g d T i S S Y c Q R Q K Q r I C q 7 R g I T c C + W / C 5 D / w I k j H 0 w J p u Q q t s N n a k 8 g b I W 4 h B y J Z i 0 D m j T 4 1 P n 2 D X 1 M B o t R F a H J t x y 4 G i s W d U W X o Z f Z y l s 6 s b b x e T 1 b p h H n k S i + U v y 0 Q I 4 g X b z 3 6 / F K X X D Q q 8 N n / M X s S z H Z q w 8 R 1 c K H u Z q y 3 Q F 0 B d e S 2 N p R a N N 3 u d 3 l i h i K I 7 a c b H D p v 5 V Z C b o S L K R i R C I o L / 1 M r F c W 8 8 5 O 9 Q C z / g 2 / O s t c l r T a W H 3 e j x e n H 3 W W S T l 0 1 O + z U z g y k C F + u U S O F K S M z X g D 1 d I S Z J q p s q Q T 5 S N a u H P D A k l + 6 t 3 f 4 B 6 Z x a x W A x W q 2 I j 8 2 M U p M g t n 1 + F 0 b 1 h c q z J p 2 j J 4 + d P f g k 7 n v F h + S U l 9 j B P y q l K / 4 b S Q 7 A b S F P l 6 P m y E d K S h T q A f S + G s O n x D M b M u / H V O 0 + R j 0 5 H f N Q B c 0 1 Y D F S C u o O r I i 2 p L w 7 u q H G 4 V V 8 Z y e h 2 R M i 8 z m Q y I k C j o O A D c V 9 M D a 1 A O k l t m H T C U B 8 l a S A f l M H h c 0 U b z R a W D D G g S E v T k s 9 Y s i 9 t G f g P x l A 1 d 2 a f h t u c z 3 C d Q o e Y 6 o i R f 1 U V 3 4 5 M z U m S 4 C F h x W U Q l L W N n O 7 l 2 7 6 K b E 1 m R G n 8 m a k M J N j K I R S 3 w 2 7 m u T G m d a n P u a j l d B T T 0 2 x R x F C V U L o 6 k / 2 t j E H q G M X 5 l q T 4 o Y l i 6 5 A B R z Z O Z z p N r A d 5 a z s y q S x u / c z L w g f i g M R Y n x / u O g c w I U n 5 8 e Q Q q p o 8 u O X F a 4 S p V M W l r g j 2 7 t 8 g 0 v E D 8 V 7 B b z / 1 H L Q 5 L T n r I 7 j p 8 S 9 h 6 6 v b c P R 5 k k 8 1 B S I k X 7 o f e 4 f n 4 I Q 2 r q 5 U 3 o / k O Z i J L h / u / / 5 q + L K T + D / S c E n S Z K w F 1 d D 3 z U W m V Z r 0 z m T 0 s O j b y Q S J k b Q z I J I e R k a e 4 e d M b 4 + p j Q Y / L n w f D q u 7 K y z C K 0 U i v h t R F f E P 9 f v R 2 F J + f 6 q y 4 B H v J U e 8 X c r 9 4 0 L 4 S V U y 9 E x g 3 0 S v y 9 B v S P e W B C 8 8 p g 4 i w c r a K r C f n n F B C S c r y C W R T / Z A I y c 0 j 4 y O o b 5 O l b x M v h w q B C i i X H 8 j O 3 N B o a S f a O m x m 7 C y W Y + J 8 2 + X j 9 L x D P l p h r a p b Y m 4 V I M 6 1 / N w w E p h V j / 1 j R d n O D M z t U 4 8 D 7 s q M 2 I 2 z M Q o x 0 w M Z i a G n m z f j 1 y 9 S N j V 2 Z A O N U 1 u c c z Q J G U m e w 2 N C A 5 N I h F L w u 0 q R M l i N V L U T o 3 v P 0 p m K F G P S 1 + H H 1 / + D x q w M s x C h M n 5 W y f S 7 S s x E 4 M n E m v m V C N H j O H U V c O s q S I G K F R f y v X U w p h I T j E T Q 6 / P k I b s R I Q 0 a 1 9 4 g 2 A m r r E x H q o T U x K c 1 R 7 J j C K a 4 i y T 2 U 0 e R m L F z M R g Z h o Z L O + g l w U L X m I m T X 8 j D W b + k M z E p q A C N m m 5 u l U p M z F 8 y W 4 E K m T q 8 z g 4 O m a Q 3 T y 5 L D M T m 9 c K M 6 X z U W p i A r a B v y F M g l G d r 6 e 8 e N / n m R C f G M L e e 2 8 U S 1 o O T u R Q / c K 3 x I t h 0 q e m m I m h Z i Y u j j p b 5 J K j Y i 6 q L E N x y a j A Z C H t K F e i P V c 9 u g 5 D 3 v P g i u 0 A l 4 t 6 + t l V Y s c F E b G j V 3 4 W f M q L x 8 q h c 1 0 v D K S K 2 T / y k D n J b g b P T z E 0 T l 4 U x k F u L b 5 + 0 m 0 I J 6 X j 9 3 5 m I + 7 5 q g / R Y G H g h 0 b G B N 2 c / 3 + n C O 3 C A x p T t n k p w d p 1 H 2 B s f B I + f x B h c o 5 9 g S C G h k f I 3 E i Q n 1 c Q F G v + 1 i / 8 p V A 4 g j W r N 5 D Z Q d + l 9 M j 3 k m / R P o a U u b x v I k E y w W I p D o I k h Z R n 5 E i D G v W S k K m 0 b G Q K r M 1 K i D 9 O 2 p J R T 1 p b Q b k s b 5 7 u K E W + Z Y j M X Q 0 y A w U f j z W n P + o W a 7 8 U s M + k r E D g T c n S J F R M m u I d S h S w x m Y i L 4 W / M y 6 2 W i 2 P 4 r a p A y d a G B B M D W D M c R T 5 y d O X r s w G e x 7 + P U w k K 2 0 m D X r 9 W Q w E Z i f 8 i 3 b D n A E Z G p e + R A Q 9 w Y M F y l c 7 4 T o i Z r d X 6 l D e l a 2 u u d B 5 x m w d I p E I O v c k s D t 4 F A b 2 v I R l y 5 b j 1 l t v x 8 b N 2 / H k 0 8 / h X / + S 1 7 d U Q D Q 1 Q c T T T a Z k Y f a 9 8 4 N O 9 O 3 o x 7 w T 2 n D k B f P x 3 U c u E P 3 M 2 s X S k k W U r B O 9 k w 6 Q K e g m H 4 f Z 9 k c f l 3 L 5 o o l + k v Q + / O Y L j 4 j P D A 7 B p j M a L D 6 S 1 9 K k 4 D L U 4 K n 7 3 x D P y X 6 H A s 6 l a 2 l p J l + w G p s 2 b c b B g 1 3 Y v H k L 3 n 5 n N d x u D 9 5 6 q 7 C c p G d t A J Z U N U n N J P l v Y d z / 0 F P Q m U m I t J X f 3 Z 7 B z C w l k u Y F o T o t E R r Y g r B K Z g p a k V O 5 m B i Z g B j j 6 r V M h M n 0 I J L p Y q a 1 c F B F B U 5 i T e d i 0 0 x R L p l V F k S 7 u q Y I s n F Z a J H A q r I F p t Z + K e l l e v p r I 7 N L 2 d Y l m T 9 U 3 Z E S B u a K T W W Q F 3 1 T Y K B S c D i e k b A 3 o d U v B a 2 4 T e F Z b K a m Y M n n f g C 7 x Y R + f 4 b G H 4 i k 8 h g 5 o X K B l w I q t 0 s N r j e i Q P P u u h f y T W 2 S / T 0 S 9 K D e V W w 6 x C I p W H l r b h l p s q E b H X N F w u o U S G o 5 h u 9 A M t W I n L 0 N W X p 4 k e x Z p k F c a l i B 4 g x u f 3 0 n j j h z G d m g v N N H P e 7 9 r L S C N 9 s + D N 9 + i e k C m T F E Q 3 F Y H W a k B t k R z p P v M 4 T r b / 0 E + j a E 0 b V x B H 4 6 h 5 e Q X / f X z 4 H 3 f R s O U l u N B 8 k k a M S t V 6 / C k L 8 X t 7 9 R P P M e i 9 I 1 b d N D 1 s M j o 8 S U d c L 0 1 B v 0 + N v f 7 s F X v n I N 4 l F i E L 8 f z 7 / 6 P C 6 / 7 D J U e Z z C l 0 v p i p e X q 5 H K h E k L T Z 9 1 5 x S e D P k c T M T l o S E f V V p C M B m l f p s 5 O i 1 g z C R J a Z p I w I z A o q 0 m b a g X 9 R U i P m K U k h W q a u Q S R B a 8 8 r l k G c m H R 6 H t j P B B H R x z K z D 1 I a D W e O 0 T z 2 K H 8 3 j x n m u s m 9 X p V 4 d o + g e / / x o a X T r U X f F T 6 F 0 F / 6 x 8 U E K C 2 C a 2 a G K X + i g T I O 1 F g m z K R e A b E 6 2 T f 6 + F s z B h V c p M D G Y m t b l Q R + q / i J k Y Z J e F G 2 9 A q v 0 K Z K q P J 2 b i m W e Z m V S a r x w + e H K v Y C Y G M 5 M a v b t H 8 V 8 P n i + a a 9 b a Y X U S I 9 H 1 j I 3 k T 9 E x T d 6 A O 2 5 4 E p f 8 z 9 H g g q 8 u Q y 2 Z q h G Y 5 G T G B h d J J E s b T D Y D j j y 7 F R 8 7 m x M y i z H F T C U 7 3 T E z M b j s W D y Z F X + 7 O v v g D 4 1 j 9 b o 1 O O X k U 7 B l y 2 a E Q z E 8 8 v D j 4 t x K K M d M D D 3 Z 0 m p m G v Z L 9 + S i k x J I q y U P Y j z e N S t m E p C z M R I h L e K 5 C a G t y A M V W d U z Q W v O I R e u 7 E O W Q q n d U I o w b z I h U D z u G n t B K x 8 O W D C o 0 V N 9 M T w k 1 I 2 Z N D 3 b 7 L P K G c d + 9 6 9 o + v K f i 5 h p O n n m o E m Q f x n b j 3 i M a I J d E 1 4 F M P U y I 8 + J t E X + t k z r X H t x N l E + B W 5 D M w a H J t H a 3 E T a R K r z d i g Y R 1 4 h U a x F q u Y s 8 X k y Q X a m R k 9 q O 4 3 e 5 4 0 4 6 v L p Z X f v v e F d + I e i 8 K f H a F j y W L x s H g b 2 T o J T a 9 j 0 s z T R Q 4 a N S I U 0 m E y R V C C i v G f r / + L m K 1 Y h k o i S j R / G r 5 6 5 l q 6 k E b l / Z j K g 9 6 / u w 5 L T 2 6 h D i o m G r 9 9 z Y B d s D i d q 6 8 u X A G b 4 D y R R N V 8 y W 0 b G R l F f W 5 x b V 8 5 v O B R K 0 3 x 8 E T c 8 9 g B i 6 U l Y S 8 o n K 9 G 1 Q 4 F N 4 U I q l R A 7 0 l s Z z G D p P G l l Y S p O / z 4 3 6 I S 2 6 d B l 5 N R I c T 6 g X n I R 1 K W 1 j D o b H P o G u U 4 G S 4 T i e 4 F L d P M G E j L Y H F f 7 T 7 y S m p + m H C J k 8 j U H B x C o O V o + Q p g 1 J R e Q T K Z J a y 2 m 3 1 L f c v K s a t s g C d P 7 q B w 0 i T 5 S J K 0 F H + p Q 8 B r n E l + Y B T M x S p l p O F 4 + e z h V f 7 Z g J n P / g 9 D 7 N 4 k 6 0 l 0 v p a D f + h 5 O O + 4 J a d t 9 B e R b M b 5 w 2 2 l E + B p i Y J Y k e e z Z u R 9 a P e f 3 e W E l Z o o P 0 A M 6 k q K z P c Y G M R f x 4 r 1 r c c n 3 j i H / x E I W a A o / u v w f 4 l o m c o T Z r 4 i N k + 0 v M x O H N x k j w w N k w i V Q 1 z g X s Z A P Q 8 O S X a 7 V 0 e D T w C b J l A t 2 J d D f P Q H P 3 A x 6 u / a I l B T O a C / F T D m M 4 X h 5 D c X M p F 5 D x s z E Y G a a D B e H w S s x U z p s h k n j J f P H R i Y k L x M 3 g D e 7 C 9 A j m g w u v P z U R h i V D c k I B q 1 V C D P 2 7 T j U r F 6 o x 2 B m 0 v S X z 2 1 T V r c q i G f 8 Q i N x 2 D 8 j W w U K M z F S s t Y P D 7 E 2 K y F K J m A V M z G 4 Q p M a M x V M s R v r E F P X u P + Q M B K j s 0 Y S 2 R 4 l z K Q p q c l f F p x 2 x L m w r L X o r z Y n 1 4 Z T I 5 s o m A e c 3 y a I R Z Y c 7 F O U 2 8 j Y o i r b x B j t 7 c e W 5 / Z g 2 7 N D 2 P x E P 9 Z t P R 7 b t r g x t q 8 T x 5 x X A 9 c J V y P S + h 1 E G r 4 J a 8 9 f 6 R c k C V Q F J / / r k Y + L Q X f r P K L m X i S 6 m y R Y F i 6 t E 7 Z a H 5 L B C Z j r 6 G F I q j k M 1 X j s 1 j d R t 7 Q G i V g c 2 k g V U v G U z C B 5 6 L K T a D j S S G Y P P T h J U A 5 v s u / k d H q R J X N u p K c b z c 3 z 8 N b b 7 + D + B x / B h g 0 b y S 8 K 4 8 D Q C K o 6 d J i z s B H 3 P 7 I K 7 f O X 4 9 n n n s e / 7 n t A J L f y S 9 0 X l Z j K Y S k O W g x M k q a U w W H 0 c m i x V P b J 1 E i T z z T Y N 4 n X X 1 y P 0 Y E I H r j 7 J U S p W 8 b H / H j m 0 T d h s V r I s S / W y j a 9 N H G d Q 7 Z s y D l b V f 7 e c d X 6 K g 4 K K E z E Y O Y q h 1 Q u r C S E T C H P A q 0 k X Y n n n d h X L c V M g i p l 8 a J 1 8 G l B A w K H V i T T I K L S w k W Z D t 5 + q d S s Z M u s C L z L I k 9 j y C 9 N 9 4 a + f C r K J W h t m O g L w d W o h X Z O P 3 0 n t a 7 0 g W 5 + P I I l H X Y E Q m m s m G N A Q 3 Y f B g / G k Q m 7 Y N J V Q e e d w L w T 2 s t 2 z o z I p W H p u 5 e Y y o S U / T j k b B 3 I k w T / / R X P E 0 v k R e b E + d e c i H f + J R W W D P I S Z D L 1 u H Z i b s R E 3 w / i l 8 9 8 D Q 0 d 1 e j c F 8 E 7 f 1 u L q 3 9 z O k n t B I a 7 I n B X u 5 C O E 4 v G D N Q 2 O 8 a T 6 9 E + d y 4 9 p z y X x f N o J X l q D F 1 g N x H Y U t W g U b + U G t 7 M V I Z i g c J t V j Z F L o U 9 6 0 V E J 4 W 7 A z E H 3 N Z i h u N 5 H g 5 N / 7 s w k c R M 0 i B z + W g l W s f M V R o Z L A d d 7 x x k 2 6 Y X K a l K h + A 3 O O U 5 t S j R s E 7 M E 7 H w c 6 j 2 F F N D 1 z c P 7 v k 0 T t S G f C 4 K n a 5 8 l n 0 p K p n R L F j V O 2 g w d O k o 6 s b f w l D D B f K R 2 W P G o A S Z c r C 0 Q p M N I 6 e V N J h g w l I a k K E Z 6 u n J W 5 2 F O Y f I a A z W a j P 2 r N m H 0 E i c a I z n l r R k c p j h a r X i L + s d S K S Y X P K 4 7 S s 2 m K w F H + D f A k m 7 4 X E / q p x u m C 2 F f L J E I o k 7 r n p V J M p G a T C v + / U n 8 N B P V 2 M s N o 7 M u B a 2 p h y s e T f 5 7 E n 8 7 6 o v w L L / 9 8 i S W Z m q P w N 5 v R 2 9 4 b X w v d I K 5 0 f b Y d H n 0 K D f D 4 2 t g i n B 2 9 u o o k a W v b / F Q M d l s B l q i D G N Z E p N j w a q k S X J q 5 M X m i l g s 0 q 9 i 4 n H 2 C z W e C k E n k i Z Y D Y W T + o W + 0 H / O S S y f j G W J m 0 x Q b P j z 7 s Y l s K 4 L 4 q Y p Q G 6 Z t I y W o m A e D 4 q N U t m 5 x g m l 1 j R 9 n n J / y y f y c F b 6 i i 7 g K g R z / h I E E w P k h 0 K h r g f a X P 5 e 8 W j K V j k V H 6 p h 6 U + 5 r 8 e o h n G H X / 6 K 7 7 8 l W v x 9 N P P 4 M g j V 2 D N m v f x l W u / g J d f f Q M j I 6 O w W i w 4 9 b R T 8 c 4 7 7 2 D F i h V 4 9 9 1 3 6 f s v i t 8 y y m 4 W w J s p s 0 T h W x W D G h H v R d L Y D l N a c s L + I 6 B r + p O u q T S i U n R t H s V D N 6 3 G S K i f n P M U F i 9 Y h u 5 9 f d C 7 c k g O 6 W F t z 8 C 0 f B J H H 3 M s w s F J f P J T V 4 K 3 + p + Y m B A r e 5 d 7 l 2 P Z m f L u E i T d p t k g C k i i C 9 V N s A / d h l 6 v J O 3 y u Q x i O d + 0 Q o 4 M t Q b f N 6 b D w q p x u j 7 b 4 3 b 6 W 9 B 4 w f Q A n I Z G a H n + h P y m J B F o i u z v B P k 0 G k 3 B P + K J T J P O O T V h O 1 u w F r L q p k 9 E 8 v x R i J i a i b s c 0 y h g E 5 B 9 o e J n z M O Q D J K 2 z C J L z 5 M d d s O G Z t L 0 U e i r R 5 B x 5 k Q C a T 6 t R 9 b A W l Y i J Z 4 7 k q K A 9 J l z 7 8 D z b 5 J W Z M G e J r N C W b m Q T K b E Q t F S z B T k Y b + t k j b s i L 6 E b u u 5 8 q c C S g M e C k Y G A 6 h v c k s B F C 4 c p O e A W Y a 0 q F H 4 3 p z y l O O 9 w O i 3 / H t + Z T M k K H g p D H 1 f q q n K M 1 R f F O 7 W E q n B E Z D S D d H Y o Z U n 3 j 4 0 i I g P d g 9 h 7 t y Z H c w H f v Q u B v f 5 M J k Y R j K r Q 6 O 9 B t k s r 3 k a x N d u v U S s h q i t c c G i T S C Q M K G q q k o k V + Y 5 r Y f + m u 0 F r V c J v D G c h u x m 8 9 D D G P Q W r 8 F R S z Q 1 1 A z F B T n n V h P D l u s r G X 3 R 9 8 W y g 2 r T I h o o A + 7 5 x 9 8 x M D C I i y 6 6 A I O D Q 7 j w / I + T C c V b r E S x 9 v 3 N m J y Y R E t r I x Y e W W n W P k / n J 0 s 2 g M u L l C Z u r 1 v r m Z X 5 q I S n z d o q Y p K C 1 W G K j i I m 6 u a R c V f i i z G / b H 5 v A M 1 N 1 G d k q j / x 9 J M i W Z l L E V x y / i W 4 8 R c 3 4 d e / / A U + 2 L Q B D Q 3 N G B k Y x s D o E D x u j 1 g l s H f f H q w 4 Y g V O O O E E s o C K y X A m h o q m x 4 X V U A n 6 V A Q Z M u v V G B 8 N o 4 Z z Q k u g p b 5 W 6 o r w c / O m B r 3 R N f S s J j R b p 6 / D O h Q 0 D z x w f / 4 j p 5 8 K B 6 n d 5 1 a 9 R A N 7 P u L + G P Q O g 3 D O T z 5 u C Q 2 Y T Q Q j e C 6 G Q 9 D / O X A n z t 6 0 + d 2 n n g F n b v h S 4 / j 1 U 9 e i c x M 5 x t k I l p 7 E 2 i c v Q v K l 9 v C m V T t x 9 I X S P B d H b c Q + v z M h 0 U t U 1 T a r M L i O t J n b U N D S f X 4 t W q t I q v H u I b x z e S l I 8 v F / C v E r W f e K T Z 7 O k X 7 i d C Z C O E d m Y T Y t R + T I l M k m q a f y w i d S g x n H r l e H 8 K U + l Z J u g + J e 6 j r f H w Y N 4 6 + j y 7 O y r O 8 l T Y G Q R C d m 4 y C H l n w q T s / i B Y C c r c F 1 g D i V z W A 0 i l J d / K w D k Y 1 o s B 9 B Z 0 o l D D L p D D a v 2 Y O j T + M t g g r 0 8 G G m I h j u y e 1 I k Z 8 X c x Q L 6 V g 0 C a u t 2 E W x Z u O I l Z j y D m M j j H I 0 l P M 7 Z 0 U 3 M r R e j x d / u / s f 2 L h p q 3 j Y V I o G M W P C 3 X f f g x 0 7 d m D M l 8 Y 4 S c n x S d I O P l U k R y 4 9 p Y D N h c N C N i Y 0 z O H g + 4 9 e Q r Y 1 Y N M 5 M J Y Y w Y L j G g Q z c a G U B 7 6 + G b v e n F 5 o x p Q v + D S z 6 R T L 5 G o i S Y m o D w U 1 M + 0 a 0 U v M x K D B K A d N a q x I k 7 j k J R u K 2 S C Y S d R 7 Y 3 O Q p C z 5 l Z y F z p F J 9 l t K m Y l R z E w 8 D h G h b Z i Z 2 M T j g E H p 5 O j h Y r j m T C z y v y 9 / K o b i C 7 K J x + 0 U f 5 m 1 Z J O P m c t j b S W m l t L X + F l Z 6 G n z v J Y s L 6 w H 9 t O X H z 9 P 0 E O o c 3 p g 6 H A R 8 B w h m K l p 8 m V o e Q c G G W p m Y u F k p v 4 t Z S Z G O D U k M n r 8 y T 4 5 i l s w y W c C k 7 M w + T i x V V n H x P U a J v Z F U D W v 2 E R K Z 1 I w i J 3 o Z K j 8 j c O F J t Y N X 7 w K V d 7 Z S 0 4 u 3 s i b A v S F p c i Z g Q i s y S E R 9 N q 7 d m P v O 0 l U L X s H l / x v 8 S Z s e 9 b s x e J T Z l e F i W E d u A c D N R + Z J V O x N O V K P z M v W 5 g C l 6 n i O m 6 H A B c 5 C W a n C w f G T A G L y Y g b X n k u S 2 2 i R k m L c a j 8 3 4 X d v x + R q u K d D h k z + T S M 6 a F v S Y u q w R a Q U n M j H U 8 j z O U i 2 m d f 1 a g I J X K 6 I / 0 a R q y X I 5 4 O o v / A E F r m N 8 r f c L k B D 9 G W D y Z e f 8 W a F i Z y K Q I w a j x I 5 X 3 U 9 j Z q 6 u y t M v E E 6 k W B X H 1 G V 7 J 3 E E P N T J p c 7 E M z E w c F e i f 0 h 8 V M H / Q b R W l i u b 8 F G u 0 F b X P S 1 V 5 8 + b c D U 8 w U o w 5 i T A 5 P S s w k S 9 F Z g e 4 x W w 2 l j F x p I m p F l O m z 0 g K W j E r M x G A 2 M Z P 5 V w 4 K M z H U F o O R C 4 6 W A T 9 n a W a 6 o n H K I S t n Q 5 R i J m b K x c o J m u n P r C 5 g k z c l B T P F D 5 A f n y k v P G Z E y U + 6 D W d h 0 / p O 7 N l w E H Z H C 1 5 + e h O e f P B d 8 r c 9 + P m N t y M w r M P z T 6 3 B I / 9 6 B Y m w F s 8 + 8 j 7 p C / I J 7 3 9 X L F c 5 H J Q N S g R 7 4 n C 1 z x w i / r A I h c N i 7 f 5 s w U v b l T J b a k z G x u G 1 y o 4 p L y 0 o 4 3 h v e W I I K y 9 h T U v f V c i n K 4 V t 4 E 7 0 y W l S s 4 V Z 7 y I z t L K T P I U K O z Y K Z M M 0 G k b h I I / F B + G L V K H O N f v 1 O L G k B V Z T s R l e Q L F G 4 H k c n t B V 8 v E s u i o R 3 m c t l i U z S K c K S p S i P f o y e m w f l z 8 d G j n e C t Z z 6 N W 8 p V D 8 p 0 Q 0 A 9 N E I z R t c u n j C u B s + m A g A Z f b D D 0 v E 6 F H 1 t H z 9 f W F 0 d T m Q T z n g 1 s / F / m c H 9 p Y R o T W 2 Z z W 6 J M w a y 3 U F + T 7 a V L k M 2 m R T G T w 3 J N v 4 u J P n 0 J 9 w 5 W i Z j G 2 M l Q y v 4 C c a g 1 Q W c g 2 f y p Z a Q A r 4 3 C Y i V G p K Q o z 2 c b + U Z a Z O N K W z v O 8 k m f W z M R g 7 c u O N o P 3 P J o N L F r y D 3 I J 8 p F G o e E a e X T v T C 6 K e K p X E E Y s t h M B 3 k S g H D O R R h j i g r k 0 c M H s G P z 0 G 0 4 z O h x m Y l R m J k a x y O Z J U X W A g a s + s Y n I 2 i m Z j / I 7 + R v + b p J M o M I m 3 c x M p r F N 4 n y O t h 0 S u b I k N m u Y b X r B T L r e m f 1 f Z i K n w k y E f D q F L J l q z E w M 1 k Y x 6 l 9 O t E p Y 9 a i d e B p 5 X V Q 8 c 4 y E W Z I E T J r 8 + m Q m Q h d L 4 K J P n S R 8 Q q 5 j c k j Q e Y b x t + E Y v K U 8 Q z n b L E g R F 1 c E z + U Q u B g I O 5 a K U 8 2 Y m J g s + s z Q y I X l O U p 4 O F j T Z R K 7 Z c y E l K a w e T Q T N I 0 g R q P D 6 A 4 M Y s U F l X P B K k F D v 6 8 y t o u J R W V O R h 1 G L o c Q O f 2 T 6 Q F M 5 M O Y Q E K s W w q m h x G T N Q A v 0 M v K R J p X 7 6 K X o O 4 n 5 m 1 w S d u L T u X D i X / / M + B K v p X A A Q 1 m L h Y g H M D g v 1 a d p 2 j 8 T F q 3 S K Z V Q 2 u V 6 p z P F L p W U E I K A m X W O k 6 D q I t P S M o E n W 3 r R 9 + m m Q W 4 Q e R t k m t A B E 6 c J R 8 t Q D 3 t M V x 7 J t q D 0 v o q h r J C o R S e k k l w N e w D f 4 R p 8 G l o y A R P k 9 8 d b v p O e Y b S G U j t j R Q H J d T Q 5 I L o 7 J T S U p T J L g X V 1 V 7 p M w c t 6 M H G x s b R O S B 1 B O + + P l v w j u e i u u s M 0 J C T m a 6 R t p K M R I N S P X B 6 p H g m h v H N Q Z g s M z N C O e T l B X T N t u O E M 8 0 v D v c 6 D X X w G g o 5 X x w c 0 B G x 8 k Z l W X k 1 6 6 G Q J c 2 l M R U m T p 2 6 C U w k e A u c D 1 c O e j b I q C a X p 4 O Y g k z V 0 g l h D n k z W H r z U J Z O C M f t j b B E e G P x W Y D X 1 Z S g U p 1 U j i Y r 4 L r 4 3 P c m V c J q 6 9 E W j G y r 7 L s z 8 1 o 5 R 5 G f W c s b t h U L E 8 X y U L D X c Q o J 4 Q j a / S 9 U L l B T k v U v w G l y P f 9 A p P n b S D Z d i r w q x 7 F i b z v m p B H k U n n l p E l i G P P m z W A X Z 0 J I s 6 1 G D 1 Z b W 3 P I S d t S v N 1 p m r a p c j n w F j k K 7 D Y X N H F p C X m 1 x Q 1 9 4 M N F t V h D q c G Z I b y r h V 5 r E 1 p I A Q c H e B u V 0 h 3 v Z 0 J U r s U t w r G E Q H a C C P b w n N 5 S c M F 7 R t l x I p T W 0 T s c x M j c S 5 d M j y j Q c a n i 2 S B b / v 7 h x H S u 4 m q z p d Z N a Y S w f k U K I 1 v l D y W I T E 5 O J f B y m Q R d C Q O p w b m I Z t I + e a M d P V X n o 2 V M q r a l R u n G g 6 w g 7 A N k 1 q U C i L d f I x 8 s x g y 9 r Y F r P m m K f W H B W L z D Q y Z B 0 j h D x o t N q p 0 m E g d V B K h J D k l v u A Z B n q S N y N S t M N J l w G W i J q I 6 f G T e z J p p C n K l W 5 4 Q Z e Q t x L h k 1 9 u N 3 i k p e 7 j I c w B D B V 6 g y F J q p u 0 t Z w u l Y m s 0 P Y r + o K 9 s w f 3 D B R e z N J A k T q R N Y k f J / y S k O a 7 y 4 x d x L 0 L 7 5 H P i P a e D V U Q F h n K Y y 1 + X r R t m K q 7 e K m H 6 e f V H 0 m V H y C R U y T 5 D J g E H M e R s o S / J 8 B n 3 n o 0 a 3 z r 5 k w T 1 G Q b / Z h h G 3 i a t 9 B 3 k z J V N X a 2 f T K u Z 4 F 3 k E I x l c Z u g N + s Q 6 C T n W z b x p F w + L T E S p / u T L 2 W S 4 / v U 2 D x n C o h N 0 c g k 5 H U x J W n w p e j x 6 8 k k 5 J 3 O i 8 O 4 R a D 7 a B L E t J z E S t B 6 p P Q o J b t A Q L b r k 2 Q O f j i o 7 i / 7 Q O X A V Y p 4 5 / A M T y E c B j i 6 1 m w / F j Z T I W H 2 3 w V v 4 V K l C 2 E 8 K 8 1 x 8 Y b j / y k Y S 9 Y I q d H j v R C G 6 C E C N 8 R Q 7 B + W y 3 q I J M v b f k x f z U 0 N x F j s W 5 b P 2 N f V R 8 j y 0 k H f 1 4 F M M o d 0 u W 1 r K 5 i W a n C O I 5 d 0 5 h q M k 8 4 V R Z r e J C 9 9 t w 3 8 C W n n U q Q b p C K v M 0 F b N Q v T q g i 5 6 W p U 2 s q j c u v z O i J 8 Z i 4 5 m F E O 7 V U V T B 9 R 6 U Z + S r p P 3 k x M y x n h p H 4 j m e L w r b o z j C V L r v k 7 / l r 9 U s A Z 6 Y O R b f B F i a P l X S A E 5 A m 9 c p t 7 8 U Q u p / T w o s v Z l g B j 5 O I D C M X 2 F J l i p U s R P g y k 3 S S l M e A N x 7 l u H j v n / L K R T 8 l z V 7 w J 3 n 8 W G t T H P o B + p j J k u c K z l T K V 3 U R + T o U m 5 X U J + F K S V Z B K Z p B M c C a G e t T o 7 s Y s 4 v U H U R X Y C 1 3 / X B j 9 h / 9 8 n A 1 v 0 X m Q I a s m R + Z i k + 8 N + R s C W S a O / l s Q b b 6 e O H h 2 / r i W q / 7 w Q k n O l j g U t u / c D V 9 u H G O j k 4 j R A 4 Z D U c Q T h y E N B e E U d w p j x 3 C Z e 3 N Q g 8 F Z 2 2 W Y 1 T z w O J m e x a F U V p w j Y b 3 o e F t t 8 c Q x f 8 d X U b 8 U t N i P Q Z N 9 B T w 2 n u h U d Z z s P 5 S b 6 G U H l 1 + S r T 6 9 s 1 9 7 b g v + d t s z 5 E 6 6 8 d 5 r + 2 D R 1 i I X 8 W L v g Q x e W L U L L z / 9 A d a 9 e Q C b 3 u v G P X 9 6 F m 5 r C 0 a 6 / z 3 N o v A L V 3 T l u n n s n P O L 0 5 a Y 4 U r 9 K W Y 2 E 5 m J m r S P N O 3 h 1 W d Q M G o 7 T n 5 X H h X r z 8 h Q 1 U 8 t Q p j M Y m W U O D O d N 6 k Q l p H q e v x x f u h 5 h O u W I N t y E E F H E L n e e m g P N e 0 z A 4 a 8 Z 6 B 1 / H n Y J 3 b B M L 4 W 4 Z b v y N / M D r p z z v n 4 j S + 8 8 A K S y a S o T f f K q 6 8 i E o l j 4 6 b N W L Z s S Z F U e O S R x + H 2 O L B j 9 y 6 s X L E c G 7 d s F a W Y z W X S 7 y u C z T X e Z Y M u + + Y B M 7 p 9 e p z Q V o a Q D i G 1 L a k 3 k L K d I H 8 q w G 4 i p s i R + Z n o h s 0 r m 6 B M L B z x 4 b 9 l o j l 9 k Q 8 w c D A K h 0 W H k U w H e v p H 0 N D A q f x m s e q 3 c 1 8 / G h s a e X 2 r / I t D 4 8 j l R 4 l C L j k S D D w 3 M j 4 W F P X L 9 + 3 b h 1 S K C D 6 Z R m 1 t N Y 5 a e R Q 2 b d q C t u Y O + I K T 8 N R + + A n 1 R M Y C l z a M R I n 5 k 6 v Q l + x / Z X k O T 2 e Z i o B Z i R l n 2 p 2 j F F m D D e b I I J z + P Y j b p 6 9 8 z Q X p 2 q 5 C v y m 7 k h w K 8 S y b 9 W W 4 U S U J N b k M I v p G 0 i z S 8 / J a r 6 R t E H H e c K J 7 L j T e 4 s I 7 s 0 U s c C G S s V a Y 2 q V p F y 4 T M F u f X G R K R O M 8 6 B Y Y d D l S 3 z p R F o s X f e n K x D c D P V G 4 2 6 c v C D s c M D N p u L K P v n y x x E M j T 3 6 b j 0 z N 8 k 5 o N B A V i y C 9 M 2 y y l C e / T s O m K C G b j m P d x u 3 Y v n 0 b X C 4 3 r r 7 q c t x 1 9 w P 4 0 p e + g H f f X Y O T T j o e Y x N D M L k q m 3 Z a G l w j S f w U E a O y H E A N L t P F l Y U Y S l Y D 1 2 h Q N M l / A n Y y 7 S b z b p g M 0 w U U h / c P J y J 5 q I 0 D y q F u 9 C 2 M 1 n 1 U / i T B O L g Y q a Y 9 8 i e 6 r r 5 K L h B T A J t 9 5 T R V O b 9 L j f b Q i + h x T t / Y Q s l 2 j w 3 l 4 M Z S p B o K 9 5 8 R R J f 6 g b l w z Z f o n o N x H D 8 I p c l M T w + h 2 T q z N m Y U p R 7 l c m T A y C s z K y H Q H 4 G 7 g e 9 8 e B k P a n z Q Z 8 S x r f K g l 6 b j s N 1 C B J Y h m z + Y l n L a S p d k 2 I f / j E j D N + R P J c g E s e f 9 M S w 6 Z Z 7 I Y j 4 U x M Z n 5 K c Z f H u Q a z l H Z D 8 r g l G r 1 y F H 9 n A + O Y S A J i X m Z U p R b o M y L Q 0 o a w W u u 2 f O p h H U W E l Q S f 5 j l J j J V i a r Q W E u 1 h q V k l 8 P B d 5 o 2 p d 2 l r 3 + T E m 1 M + F w l + M 3 j 7 + M g Z q C b 5 s Z s k D f W N y e 6 c m y p F 3 T G p h L J v E 5 s l o p r 7 L d t w o 9 n g v l T z N D 3 z c P m R a J O V m L v f b c Z t T V 1 a J j T h 2 q G 6 p E 1 S Y 9 a I z 8 t b A 2 S j v P 5 z k L n s Y i c I C Y c r 7 E 7 Q O x D Y d k q i K 5 c C h m Y u h z E / 8 W M z G m m I m h M J M S U a M H F j W y m Z l 4 / O m V U 7 a L z J H k i f Z X Z i b e K 0 n v Q n i I S I e Y i T P U S z E Q 2 S S / k y B 2 E T Q 1 Y e O A F c l M i H z C B O 5 / 4 G E 8 / + L L 5 A g n c d + D D 0 J v r h P Z E 6 V g J i i 3 2 5 9 i Y m X p b 5 S + V 5 i p Z 6 J J E H u m T G C H 5 0 9 Y U 1 U i e o 5 4 K W D W K A f e a J q v z + W U S 8 H X 5 e D E 4 U J h J i U h V 9 q g W g p 2 8 E u N V D a G g 5 4 T h a Z S U G 4 T d N Y 8 4 c w o P S 8 9 k z z G Z m O e + k V 6 r 7 w 8 5 v J b + r S O P z d r Z m K E m z Z A 1 z 9 H X J P 7 7 u P n n o F k K o W x s Q j u / 8 c q 3 H P n c 3 A Z W / H P Z + 5 G J B T H Y 4 8 9 B d 9 k E M G e J N E R 0 e N e r o V B f r m + R j D V T C i b H D s T Y u N x W G s + v J 3 P m y 7 z n l C V w A / c F x y C 3 R y H Q 9 t Q V A K L Y e 2 + E 8 m q U 5 B 1 l x S t T E + K q A y X B R v v G k f r 8 t k t C F N g G n 0 N g 7 p j U V P r R C K R Q 1 9 f P 5 m 9 D i S S M X Q 0 e x D K k Q / E K 3 F l 2 D N R s Z 1 M J S i L 0 z 4 s T J k k k v o C s 3 L 2 u E n r n L a 2 q T S L g X 2 g W L k Q 8 v 9 H W E m w x F T Z A l J 0 R F A v c R R z x 8 z g 0 n I S F 9 F P 6 D c c b G C o q w x L y K N 5 + A U c q D l Z P l t P / m g W T m v l l Q v R p J W E T E w w u z l p h m Z i A T F J H q n 8 J M y 6 e i S N I 8 j o E w h G w q h p N s F j m o N 4 M o F s R g O 7 v H 5 q I N w F Q 9 Y E w 4 Q T n n k O a k U W E 8 n 9 c O q b 5 E w O j b B e B s g X P 2 z j X W c m B z u i R a y M 9 J 8 N N v Q W i I z X 5 A f l r A E G S y 6 u F N R i J 4 1 g m D u N m c z 9 9 y H W 8 X V k n Y v J B 1 N J W y 7 n J a e I H H g 1 P I 2 Z R k K H f s x U 1 X F o T r 5 O b d L C Z N R j / r w O N N R X o 6 O t V Q y e u m Q W Y y Z m Y i Q q J F X G E r M T R s x M a o 3 C z M R E U Y p S b c X M x L / L V k h K Z Q 3 z n 0 Y R M z F I 0 z Z N v A 5 j t K B V Z w K v t P Y l l F Q 2 8 W c a O O T f 1 L s K A w 0 X C D / M L F 4 O w U y D / Z W T d J U 6 8 k a d F T m r F t n W T m S a D y J h j U H b Q H 6 8 J Q + r w 4 6 D e / f B g i b s 3 d + J Z 5 5 5 b o q Z G L y j Z l q X F M w U 6 S G m h A 4 1 p s W i 9 k c s 4 x P + F T M T Q / R 6 M F 7 8 F E F y o L s m y j i w x I U 8 u V t j z 8 F K K v r D 4 K Q 5 B X O P 1 a n L V F j 1 q u T O c a H J o i 0 Y 6 b 7 G k d e Q a P m 8 9 J k c f 9 s w 1 / I j i E p F U g L j 5 m f 2 Y f n F 0 w M V b u u h 2 5 o 3 u p C s L i w s 7 A u v F 3 8 F 0 j 5 U 8 a b M M y S a K s i T Z m L t p E S z + H p J 1 a 4 R V t K 8 h 4 L S B m m F L s v D t L h G q q h A P 9 d 4 M I p K R q W I 6 q 3 k g 5 a P 1 P 3 n 5 6 K K o Z i G y b Q Z q f D s L R l + Z t Z I G d F / 9 H v S E N U a L + r 7 X 0 Z 7 6 H l 4 R 9 Z h s I 2 3 J y p G O D 2 C p p Y a U Q r g c O C o z s P M D J b N 4 a k n n k P H g g X Y u m U t 9 h J j e T 3 V 5 F c V I o R 1 N i l 6 y Z r K 3 p 6 A f 3 + C f C y J p q x 6 z s r h X R P Z d S H D u m d w I l + 6 m 2 A l 5 N K 8 f q Q 4 G f b D g D v L N M u i 9 L r g P i K C J D L u I + Q j M r g A / 8 j b S D V f i O 3 9 e s R i K f z z h Q D u + s 7 0 s O x k V A u v 7 d D P a B l 4 E L H m z x C p F j + f q C m g M 2 O S z L 5 D I Z E N E l F I T M M V j F i D m H R 2 p H J R G D R m k n a V N R s X W 1 E Y R D H l t L k 0 I r n J C q 4 5 S W D e L b + M o c H L u x M V s u T t a T J X S 7 T / f x q c B 5 f r c i I z 7 9 A C R A E z u 3 N i O 1 y a f v h 0 i x G p k o I X h Z 0 S J R T K n v E 4 f T j B r s C e j l F f F B Z O 1 o e H k P Y c S / 3 N 9 S 5 0 Z O b H a M x Y M B T T R C q S Q S q U g r 2 R f y s J v W w u h f 8 H R v a o D 5 / 2 N W k 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 N a m e = " T o t a l   S a m p l e s "   G u i d = " 2 9 a c 6 1 1 b - a 9 7 6 - 4 2 6 6 - a d d 3 - f e 7 4 e f 3 1 3 4 9 3 "   R e v = " 5 "   R e v G u i d = " d 0 c 9 1 6 8 8 - 5 b c e - 4 4 e 3 - 8 5 d 3 - f 8 e 4 3 5 0 1 c f 1 f " 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 N a m e = " E C   U U I D "   V i s i b l e = " t r u e "   D a t a T y p e = " S t r i n g "   M o d e l Q u e r y N a m e = " ' A l l D a t a M a p ' [ E C   U U I D ] " & g t ; & l t ; T a b l e   M o d e l N a m e = " A l l D a t a M a p "   N a m e I n S o u r c e = " A l l D a t a M a p "   V i s i b l e = " t r u e "   L a s t R e f r e s h = " 0 0 0 1 - 0 1 - 0 1 T 0 0 : 0 0 : 0 0 "   / & g t ; & l t ; / M e a s u r e & g t ; & l t ; / M e a s u r e s & g t ; & l t ; M e a s u r e A F s & g t ; & l t ; A g g r e g a t i o n F u n c t i o n & g t ; C o u n t & l t ; / A g g r e g a t i o n F u n c t i o n & g t ; & l t ; / M e a s u r e A F s & g t ; & l t ; C a t e g o r y   N a m e = " D i s t r i c t "   V i s i b l e = " t r u e "   D a t a T y p e = " S t r i n g "   M o d e l Q u e r y N a m e = " ' A l l D a t a M a p ' [ D i s t r i c t ] " & g t ; & l t ; T a b l e 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D i s t r i c t ] C a t V a l W y c h a v o n M s r M s r A F M s r V a l M s r C a l c F n A n y M e a s F A L S E A n y C a t V a l F A L S E # X C o o r d X C o o r d V a l Y C o o r d Y C o o r d V a l # # C u s t R e g C u s t R e g V a l C u s t R e g S r c C u s t R e g S r c V a l # " & g t ; & l t ; C o l o r S e t & g t ; t r u e & l t ; / C o l o r S e t & g t ; & l t ; C o l o r & g t ; & l t ; R & g t ; 0 & l t ; / R & g t ; & l t ; G & g t ; 0 . 6 9 0 1 9 6 1 & l t ; / G & g t ; & l t ; B & g t ; 0 . 3 1 3 7 2 5 5 & 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3 & l t ; / X & g t ; & l t ; Y & g t ; 2 5 9 & l t ; / Y & g t ; & l t ; D i s t a n c e T o N e a r e s t C o r n e r X & g t ; 3 & l t ; / D i s t a n c e T o N e a r e s t C o r n e r X & g t ; & l t ; D i s t a n c e T o N e a r e s t C o r n e r Y & g t ; 2 5 9 & l t ; / D i s t a n c e T o N e a r e s t C o r n e r Y & g t ; & l t ; Z O r d e r & g t ; 0 & l t ; / Z O r d e r & g t ; & l t ; W i d t h & g t ; 4 3 0 & l t ; / W i d t h & g t ; & l t ; H e i g h t & g t ; 8 1 . 2 2 0 0 0 0 0 0 0 0 0 0 0 2 7 & l t ; / H e i g h t & g t ; & l t ; A c t u a l W i d t h & g t ; 4 3 0 & l t ; / A c t u a l W i d t h & g t ; & l t ; A c t u a l H e i g h t & g t ; 8 1 . 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1 0 4 8 & l t ; / X & g t ; & l t ; Y & g t ; 1 3 7 . 5 & l t ; / Y & g t ; & l t ; D i s t a n c e T o N e a r e s t C o r n e r X & g t ; 1 9 & l t ; / D i s t a n c e T o N e a r e s t C o r n e r X & g t ; & l t ; D i s t a n c e T o N e a r e s t C o r n e r Y & g t ; 1 3 7 . 5 & l t ; / D i s t a n c e T o N e a r e s t C o r n e r Y & g t ; & l t ; Z O r d e r & g t ; 1 & l t ; / Z O r d e r & g t ; & l t ; W i d t h & g t ; 2 4 5 & l t ; / W i d t h & g t ; & l t ; H e i g h t & g t ; 1 4 6 & l t ; / H e i g h t & g t ; & l t ; A c t u a l W i d t h & g t ; 2 4 5 & l t ; / A c t u a l W i d t h & g t ; & l t ; A c t u a l H e i g h t & g t ; 1 4 6 & l t ; / A c t u a l H e i g h t & g t ; & l t ; I s V i s i b l e & g t ; t r u e & l t ; / I s V i s i b l e & g t ; & l t ; S e t F o c u s O n L o a d V i e w & g t ; f a l s e & l t ; / S e t F o c u s O n L o a d V i e w & g t ; & l t ; L a b e l & g t ; & l t ; B a c k g r o u n d C o l o r 4 F & g t ; & l t ; R & g t ; 1 & l t ; / R & g t ; & l t ; G & g t ; 1 & l t ; / G & g t ; & l t ; B & g t ; 1 & l t ; / B & g t ; & l t ; A & g t ; 0 . 9 & l t ; / A & g t ; & l t ; / B a c k g r o u n d C o l o r 4 F & g t ; & l t ; T i t l e & g t ; & l t ; F o r m a t T y p e & g t ; S t a t i c & l t ; / F o r m a t T y p e & g t ; & l t ; T e x t & g t ; 1 , 2 3 7 & l t ; / T e x t & g t ; & l t ; F o n t S i z e & g t ; 4 8 & 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T O T A L   S A M P L E S & l t ; / T e x t & g t ; & l t ; F o n t S i z e & g t ; 2 6 & l t ; / F o n t S i z e & g t ; & l t ; F o n t F a m i l y & g t ; S e g o e 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0 8 5 & l t ; / X & g t ; & l t ; Y & g t ; 2 8 . 5 & l t ; / Y & g t ; & l t ; D i s t a n c e T o N e a r e s t C o r n e r X & g t ; 1 7 & l t ; / D i s t a n c e T o N e a r e s t C o r n e r X & g t ; & l t ; D i s t a n c e T o N e a r e s t C o r n e r Y & g t ; 2 8 . 5 & l t ; / D i s t a n c e T o N e a r e s t C o r n e r Y & g t ; & l t ; Z O r d e r & g t ; 2 & l t ; / Z O r d e r & g t ; & l t ; W i d t h & g t ; 2 1 0 & l t ; / W i d t h & g t ; & l t ; H e i g h t & g t ; 1 0 9 & l t ; / H e i g h t & g t ; & l t ; A c t u a l W i d t h & g t ; 2 1 0 & l t ; / A c t u a l W i d t h & g t ; & l t ; A c t u a l H e i g h t & g t ; 1 0 9 & 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3 & l t ; / X & g t ; & l t ; Y & g t ; 6 & l t ; / Y & g t ; & l t ; D i s t a n c e T o N e a r e s t C o r n e r X & g t ; 3 & l t ; / D i s t a n c e T o N e a r e s t C o r n e r X & g t ; & l t ; D i s t a n c e T o N e a r e s t C o r n e r Y & g t ; 6 & l t ; / D i s t a n c e T o N e a r e s t C o r n e r Y & g t ; & l t ; Z O r d e r & g t ; 3 & l t ; / Z O r d e r & g t ; & l t ; W i d t h & g t ; 4 3 1 & l t ; / W i d t h & g t ; & l t ; H e i g h t & g t ; 2 6 0 & l t ; / H e i g h t & g t ; & l t ; A c t u a l W i d t h & g t ; 4 3 1 & l t ; / A c t u a l W i d t h & g t ; & l t ; A c t u a l H e i g h t & g t ; 2 6 0 & 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9 & l t ; / M a x i m u m & g t ; & l t ; / L e g e n d & g t ; & l t ; D o c k & g t ; T o p L e f t & l t ; / D o c k & g t ; & l t ; / D e c o r a t o r & g t ; & l t ; / D e c o r a t o r s & g t ; & l t ; / S e r i a l i z e d L a y e r M a n a g e r & g t ; < / L a y e r s C o n t e n t > < / S c e n e > < S c e n e   N a m e = " N i t r a t e   P o l l u t i o n   C a t e g o r y "   C u s t o m M a p G u i d = " 0 0 0 0 0 0 0 0 - 0 0 0 0 - 0 0 0 0 - 0 0 0 0 - 0 0 0 0 0 0 0 0 0 0 0 0 "   C u s t o m M a p I d = " 0 0 0 0 0 0 0 0 - 0 0 0 0 - 0 0 0 0 - 0 0 0 0 - 0 0 0 0 0 0 0 0 0 0 0 0 "   S c e n e I d = " 3 6 7 3 5 f 5 b - 5 5 e 5 - 4 3 1 7 - b 7 7 7 - 2 e 2 4 0 1 1 b 2 d 8 e " > < T r a n s i t i o n > M o v e T o < / T r a n s i t i o n > < E f f e c t > F i g u r e 8 < / 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R m S U R B V H h e t b 0 H g G R V l T 7 + V c 6 d c + 7 J A w N D z j k L i B h X U X 9 m d 8 3 L u u 6 6 i z m h L o q K C o J K E g U U y T k N M A O T Z 5 h h c v d 0 z r l y r v 9 3 7 n u v K 3 R 1 T w / 6 / 4 a i q 1 6 9 e u + + e 0 + + 5 5 5 r O j y 8 K Q O i s W I N L B Y 7 I J 9 M 6 p A O E 1 / q I M w m M 9 L p D P / y m B w W a F 9 p f 4 l k G r C a t f c a t B P k / + l M H B Y T 7 6 E f l c 9 m f p a f p / g + F 3 J e O p P g e f q F 1 f 1 t s 7 c 1 k P 1 W k E E q C Z i t x v 3 Y l n S Y 1 3 b C w k Z l w M a B j e P x j H y Z M c F k y c D E 5 5 H z 1 T V S E a T M V t 7 f K p + I w j v y u i k e t W S / 0 X 4 r L U 0 j G Q N 6 p j Y i m p x B i + 9 0 Z D J p m B L j i I R K k Y q n E e d j u k r M i I 2 4 Y W k J w m d L I A E r 7 O k I 4 k k f / F 0 W t j u E c I 0 V r e W 8 k d X H a 6 T Y R t 6 Q m N y b R s U x Z k w F O x B I m d B S u l Q d N 8 W H 0 J 8 c Q I W t D S 5 b B U w p P y Y P l a F s a Z D 9 l k Q o F Y U / O Y o G s w N p 5 3 K 2 a Q B v v h x E 1 f I K W G u D q B 9 5 F q k l n 1 P X S k b H Y X V W q / e h u A k e u z w h k G B z 7 O l R Z G w 1 6 n M m k 8 H w 4 c O o b 6 v m 8 6 e R s Z S y / 6 I w p Q P 6 O e x b P l c m k + T 3 P C M T 4 1 i w l 8 x 2 z O y 3 o W o l x 9 5 q Z d t 7 k L E 2 c G h s c P X c g U j r Z 2 B i / w 3 v M S H W 3 o s 2 h x d p W x 3 p K g n / 1 B i m L d W o 9 p r h D P T D N f M I D m a + h V C T m X 2 U R 3 h z k e b g 8 P m P h I l g G p W 8 / i w 4 h q F 4 D B 6 H C 7 E p 0 m F J G D a L k 1 + Y 0 J b s g N V e i 2 Q k j s h U G L M M 5 U w 3 o 6 K i H I l E E j a b T Q 7 B y o e N R q N k N D O P k c D T a a R S K f V X z p H 3 A o d D Z 0 R i l j B 1 4 k 0 q 6 m P H q s 8 a h D G E W Q w Y T F b I V B p k K O Q P S T Z D Q u d z y v 2 l 8 4 Q R 4 q R Q u 9 3 O d i f Y J i v i s R i P k x n 4 o w z v r T q Z 7 + U q Z r M J S b Z Z f u N 2 u / X r m N T z G e 1 H K s Q G e f Q P B u R L a b / B Q p p g Y T + T U Y 1 j G h L R F G I J P w Y C O + G 1 1 C H d 3 w h n f S c c r t r Z w T Q l J k h 8 Z f x s U c y W s V Y g N D S K A I n P X h 5 C N L Y M j d 4 Z Z D h Q u U i E k z D b L W w v 2 5 2 a Y r P Y B l s l v z G j L 7 g D t a 4 V G A 7 Y y G Q U P I l B f l d F A v A j M O p B V f s k E u x 3 j i L S v O 7 u J 0 a x 6 g I X 3 K U l C I T 9 8 L o r Y B l 6 D v G q 8 z A V d a D c n c b 6 9 R t x w Q X n I J l M k t n Z f + l B E k 8 9 O W 6 G x F H K 2 7 M D Y u O Y H r K g v F 3 a o Y N M R U 5 i s 9 x s o y Z 9 u g O v s 7 / M q H a 3 w W c i M W a i C E 8 k E J w i 4 7 Z O o D w R x l h q E C m 7 F 0 3 u Y z V G t P g w t j e F 9 p J b Q A r G t P t 9 i N j Z n + Y R W C 0 l p K E k J g 6 Q L p p 9 G P e Q m X k v c 3 I K Z v Z p 0 r 1 K b 4 w G S 6 Q H K W c j 2 2 I I y i z i F E x C A m Z F p 1 k k U y L Q T b w X m V 4 J d w s S A Q o V C k S B U E V j K s x x j l P Y W O C 0 8 W y D o R o q j u U P N c I 2 Y E 6 R o 3 V O F M k t U j h J o s h K 7 7 m Q i 5 l J l B k L O 5 O / 4 P A p C Z U L Y S i R 5 i J 5 j w 5 2 / p Z X J R M I A 6 X J M M k k O 9 F M 7 U P i E l j 4 3 m a 3 k W k S i u H l u M v p I u F T 8 p O B h J n k t y I s 5 K W E h / y W H Q P V 5 v k g 1 8 9 n H j m S S b I T N e V B z c X 3 7 O v N T 2 7 C q r O X w 3 / Y g r L l K Y w E B x E j k Z k t 0 6 o v 5 H c t r j U k y i z j j u y a g W v l N D X b E t R 4 9 H 5 J + n l O i f a e S M a S G O 4 e h q 8 1 g V I y k o k S N 2 O r x l h o C L F k G M 1 u E h U 1 c t D U q m s V E Q L a 4 E / 1 k a G m 7 a h e 4 8 G O x 7 p x 0 r v a 2 R 4 L O j u 7 V N 8 0 1 D f g n n v v R T r q R 9 / Q N G w O G / v S g g s v v B C n n n 4 6 A s F 9 K P M u V 9 f K g u 1 k G 5 K B S c Q T 5 f C U T F E 4 i O D Q B D L S F J B K o J F e Z K y p o U x K g 8 0 g 7 W j j C V p / 9 k x 2 o 2 a 0 A 5 H M h a h Y T S E T 6 0 L S 1 s T 7 2 z D y Z h S 1 x / F 6 b E s g 2 g O f s 5 n X I R 1 S 2 w d 7 n H D V R + D 3 + t C R 8 q p r G T A J z Q l j s 7 c z V v l O 6 U h F x 3 L b j D B 7 w X g W g 9 B o h g x H k l M C 1 G w T W k t R + F t I i y m c Y v X D I c J D h 2 m 4 8 5 F M 2 F O P x v L V + M K d P 8 I z 7 i 4 e N W 5 k Q m X I j h 2 f + S N C o R B S J M g S n 4 8 d E s L 4 Z B C V l V W Y m B h H V R k J Q y i d S J s 1 I l G f R N W z E 0 O B I E 2 I E l g o X S c m J l F T V a f O E V D n 8 V w x B / K Z z k B 3 T w / C w S i O W 3 M c m S e B w 9 0 9 W L a k n c w B d H V 3 w u V 2 o a m B n W w Q v G g 5 2 n 0 p O L V O M G c w P T m N g Y E B H H / 8 8 e q a + e C F 0 t S W i z A F j g w O H p v R s 2 U E F S t t Z A 4 / n G S I i e h h 2 C m V p + J 9 q H W c g P G I C 4 2 l 2 i C 8 c N C B i 5 b H 4 O 8 w w 7 2 E I o P a J x e m + C D b 5 i Z R l P H a 0 t Y o R t + M o / Y k a j j e z 5 S Y J J F S m 1 F i p 3 g v S 2 I M / Z E m N L t 6 e T 4 H 3 9 G g + v b w 5 A 5 4 X C 6 M v V i F 4 6 8 q x 2 Q s g g o n G d A w k y j V Q Y 1 m i k 1 T y k / j Q H g Z l l V r Y 6 L 3 7 C x M v I c w c i G G 3 / S j b m 1 W A G g o / L U O P k e a f Z K k I C s 7 e B P C x 3 x L H R Z T d X B P h E L b R 2 H n 4 R i a E S b D y n V c v g p a A H 7 + r Y J v S R R 7 h u 0 4 t i 6 O n n g A A + Z m P i d 1 C J l X x k D G f n J k C O s f f w j v + v Q X V C u K t o M w U Q G Y q J 2 U G y A K h B K S j o 3 G B j y U Z j e Y r B k 8 d v t v 8 K 7 P f k 5 9 Z 1 x r e W Q H q n w t 6 r 3 A 8 v n / v f 4 7 8 p X X X Y t H 9 m 3 A a 6 V D 8 D t o q + o v G w f l + u P e g 1 / 8 8 p f Y u 3 c v T j v t N F 7 L j r P O P h e n 8 v 3 / 3 f Q z n H z q m d i 4 Z Q e W L F 2 p b i O E f v D g I b h c H k o 6 J 7 r 6 B 2 g q 2 P D S i + v w 2 9 / c h r P P P B m v v 7 E R t b V 1 e O m l l + A r 8 W J g c I D X 3 4 f G x g Y 8 / f S z W L Z s G X n U j h / f + B O 8 5 9 3 v x t T U N G 7 8 8 U 8 w P j 6 G 7 d t 3 o K G h C d / 7 3 n d x 2 q m n K Q 3 1 7 H P P o 6 m p C a + v f 5 k d m 6 L Z l M E r r 7 y C k Z F h V F Z V 4 k 9 / u g 8 X n H + + 0 i J C l y Y R A B x U U F s W M w M W D 4 1 g 5 P 8 p O h l p a q z g B L V N h Q 0 2 U K C Q O N 3 0 G e Q e Q Z o j y f Q E 6 k u y A s X D r + w W E / a O J 1 H n S S i h k w e a P c F o P 4 b D U / D Z f b C k J h H z V 8 F V b U L v z G H M J G I o 8 Z I T 2 Q K T m M 5 8 n l L L B P o i r S i z i m n p w 2 B o N 8 p d 9 Q h 3 O F C x 3 A Z v Z h x O b w M Z Y 1 h d X w Q f L J q E N 2 X 8 9 L E a U e F J w 3 X 4 1 0 i W n z a X D M U k F n + k o N 9 i o T h K p + 5 E u u I U / Y i A 4 j I x M n v 9 W f C 3 Q r B W m n Y h s w t B X s p J o S G C z V f j p j 9 C B m f T K l t 4 z e o J e G v T s F a 6 4 a q x 0 U y d R G j G h J K g G 4 G R G d h q K j G Z F o G Y w Z 9 / / k M 4 K T h 2 v P o i 9 m / b h E g g g O 3 r X s D W F 5 9 C / 6 E D e O 3 x v y H k 9 + P p e 2 7 H S F 8 3 n r 3 v j x j p H 0 R F X S u e u u 9 u v L V x A z Y + 8 w Q O b N + E o a 7 D V C R B b H 7 + M U w M 9 W P P 5 t c x 2 N O F V S e d r l t H S Q z s 2 I W a O j I / t Z W J 4 2 z 5 y n 9 + 5 j v y f D 5 X D R 7 f v Q F v O k f l 4 y x K 4 j b F U G 6 P G 3 1 9 f R p D E T t 2 7 s S u X b u V y X X g w A F M T 1 O y k b A b S d R f + P w X s e 7 l d e j o 7 M S L L 7 7 M 8 9 5 C T 3 e v M i 2 6 u r r x y q s b s P 6 1 9 d i 2 d S M s N i u e f / 5 5 7 O a 1 L r 7 k I v z m l l v J F G 9 g Z i a A 5 c u X 4 4 k n n l B a 6 N v f + Q 6 q q 6 u x c s V K T P F e a 0 9 Y S 1 / C g n v u u R d 7 9 + 2 l T + T B n X + 4 n f 5 A A k 8 8 9 R x e X v e S k l Q S j H h l 3 a v K z F u y d A n K y s o 4 k D R E U 2 K K S G R B 9 O N i I C y j M U 8 W o k 3 M S M S o 4 X g d K / 0 p s z L G J + h v j C l z T T S H E I + F 7 + O U h N X u Y 2 j j 8 z s S W P + 0 G W N B / t 7 0 B p b X u R H s o g C q l E B N P q H a + b n E 7 o S F A k D 8 o t A o f c A a K 8 o s S Z Q 5 S I R k I j 9 9 p g S J c z p W j d G Q C a 0 + m l / 2 B k T J 5 M F o I / p f 7 E L N 0 h p U 8 3 f e k T u Q 8 B w 7 6 6 P J U 4 1 F 9 s E j W i f H f 9 w U P A c r J r + P u J e a X Z n + O T D a m A r y e e 2 Y 7 g n A X U G T v P 4 M d d g 6 t Q u u 0 X u R d K 3 m f a p 0 4 Z V 9 r m C C f l j G h d K B X y H V 8 C H a E 2 w F G U s w f i D A f o z D 2 8 Q + C g 6 j 1 N t O 0 S S / p Y m e E i H g Q Y w v X 1 U C o Y k g Q h y D g F 2 Y 3 A x f a S m e v P s 2 l F a y H / p 7 1 V 9 f e Q W s N O 1 F u I s g n R 4 b h b e s H C 6 a i r E I T e X l K z F O h g n O k I Z J U w 6 n m 2 6 D g / S T R D Q c x v T 4 q L p W N B x C e X U d W l Y f B 4 f D Q X q 3 4 M 1 n H 8 M 5 p 5 / K 9 7 p / L D 6 U K L C m y p P w y f u + i 3 v K 3 l J f G G g K u N B 7 3 Z + w Y 8 d 2 v P D i i 5 T y 5 + H U U 0 / H v 3 3 u c / h / / + + j + O E P f 4 h V q 1 a j v 7 8 f 3 / j G D c o 0 + 9 B 1 1 2 H 1 6 t X 4 w A f e j 2 / c 8 A 1 c f s U V y l 8 R j R F h A 2 v r 6 p R f U 1 J S g u U r l 5 K Z 9 q C j o 0 P 9 R p h k b G x M X f u k E 0 / C / 9 5 w A 3 7 w / e + j 8 3 A n H n z w r + i h C X j m m W e g t b U V d 9 5 5 p / K B h N E m x k d I L I 3 Y R + Y S T S X S Q 3 5 / 3 P F r s G 3 b d v W 7 n 9 z 4 f c X 0 S i v p z K D Y R A 8 w i N p X D H G U S E Q 5 3 E 6 L c t x j t O 1 v v K c f k / 4 E X A 4 z v v t h i U 5 K B E w k N K U Y i V 4 i W B m a O x l 7 D Q 5 t 7 a G 1 Z U Y k S d O 5 s Y a a 3 I y Z y X 6 k / E 1 Y f V k 1 C U E n Q m p d U 3 K C f z M Y O e B F z X E 0 h 1 R A o w S B + D D c t n r l c w j 2 j d i w u p Y a h E R r S v v R v d 8 E u g F o P 6 6 Z z 0 g B k t Q i b 7 D R f I / 1 0 S w U k 1 k g v U E I 8 Z O 4 k 2 k K C Z r M n o 4 f I r T s B u 2 7 X E i n 8 R W e 4 f l 0 y t 1 V G k M U w h L q h W v o T w g u + 1 / 1 O c b n d 7 D d r m 4 K w M b P 8 B n N G A n v Q p 2 t A a M H P K h c T T 8 9 P Y W o q Y r n 6 W 0 S U 1 5 R K k E z M M b 7 G d + N p e w 4 G H e T X y m c y F R 2 C 4 + z n 8 T 3 A d u v r J F F g L 3 E H q C v T S u j a + 9 2 b H 7 h K V z y w Y + j p q G R x 7 V 7 S 7 f l y r u V 6 U 5 U 2 M s w 3 R 1 G K E L z e 3 p y V L X K 6 y t f k K F y o Z G i B v l x Y X P 5 K K L o 9 U 9 z k U q m l e Y o R J p y S A s u a N 9 Z q E G 2 b N 2 C U k q d F c t X q J C r R R m 2 A h K p Y o g U v k / t 9 d G P f x Y z 0 + P Y s O F 1 f P E L X 9 D P Y V v o m A a p t d a 9 9 A z e + a 7 3 6 0 c F 2 Z Z r f p z W k d J u I 5 S + G I i G l i i h R P 3 o 6 p F h T f j R 3 X 2 w 2 0 w 4 2 B v F b f 9 e j r 3 r 9 t M X q l I S D Z k E g r F R t J / S h J J K L 0 I p G 8 q t o 5 h O V y D e F U L V y p J Z A o i F Y z i 8 p Y 8 E S 0 e a c N E M y 1 j s c N B M i 6 c C S P g 9 Z M p p N K 3 m t a 1 u e C s 9 s D v J V B J B F a G h R y z f e n I U a 6 6 s Z B u G M Y 0 E z X g X a o J / Q b D q 3 9 V 1 Z 6 F 8 S Y 0 p B S k O t C F f z J F B W G f 2 I l 5 3 C a I 8 z 2 k m V a k u Z F v p Z A y 9 O Y P 6 E 3 M i f Y Q p I g E A m s N O X b u l 4 3 D u + w 3 N 2 j j C j R 9 G i B Y L n w C B j B 1 T 9 I 0 8 o Q r Y q O 1 8 N b y p 2 U n t S j N Q b 4 7 4 7 W k 5 m 7 c L x s w o c Q o V 8 n g y C v / M q 9 h d 8 n 6 O t U V N m c w F G 8 r / V M B Z x l y i e T S z 8 5 F D D 6 Q D i a Q K 4 8 r R 7 H f 0 9 f l d 7 j 1 O T u 0 j 4 6 c o e B x w W y v I U B N D c n X F U H / f / D y 6 M + I A Z m G j 1 P 3 K u R / U P 2 W R v f 1 i o L F g i o 0 R F I a a N W j f y V U X Y s i 5 8 1 w C g 7 m S / H + O + C C k E 8 3 m B A c k p s 7 R I n n Z 1 m s t y 4 V 2 R B h b R e 2 E I P h e 6 M Z E 6 s p t V Y o U l y J D 2 a m J t O t p z x i J T J N 2 J L R M J 0 B H I O a H g 1 r I 7 q G / o y J e F H V k i k z C z w G y q 6 j U 9 M A q j N K P W l b L 7 w q e X 5 g h Y 8 / 6 X q N v B l G z N u u X 9 M 5 0 o q V 0 C c 3 P J H Y 9 u 5 3 S u 0 F i M 7 C L 3 2 W x Y X q m G 9 V L P N R S N B F t Z b B 3 / w 0 z N Z f Q z x W T V P o u j c n g D p S 5 T y Q T U a v G B 5 G 2 5 Y T t d b H s 7 f k R T t j j x 7 d O + C A u a z h B H R M M b Z t G w 1 q O A 4 n K Q m s k n U p h 1 3 k X 4 k z 2 X f i F u 9 U 8 k l j G g e g A W s f u Q b j t q + z q O E 3 Y C v V X z M Z g D 8 2 y + l 6 E k w 3 w O T M c y Q R i 1 D g D g V 6 0 u v i d i Q K X m j N j r Y R r 7 0 0 q U H O g / m T y 3 g q M m O t V O 6 h T k Y p k Y H P n + K K F a i U H 8 X C S z 8 v + t y U U r S j F n f t b g R J Q c s y M Z J R 3 c F D 7 y / h Q a B 1 j 4 b i y 7 7 r 9 G + C z t c D U M b A + U + V a o R j q 4 K H 9 G B 4 e l C t o P y C c l C 5 n n H 6 O e i + Q Q I g i L v 1 z L h R L 8 H / C E A r y X u i T b y z q e e Z w w i x i 8 b i y S 4 P B o D L 7 7 H Y b / 7 J z O D D y E h N O 2 h K h 1 B O z T T 5 7 v V 7 F K J G Y a D y r C o l 7 v R 6 e E y W h u F R k U k x N C a X H 6 U P J 7 2 M x + i F s l 5 t + m f z N f w 5 p d 7 E n y 0 K 0 q 0 A x P U + V t m b Z U p g Q v O 8 0 2 x S A k 3 a 9 B C V k 4 P v 8 h 9 F c I s E D A 1 r n p N O U q q K 4 e G R y T w K V x 2 Y 1 h A F x 6 j O 5 x E 0 o B t h L p / 0 Y 3 p d U k E 4 E M M p 7 1 n l q 2 B Q n z L E u p B 3 t + t k a Z m I D O P D U I D V A G V a f v R z O v r 8 g 2 v w h J a Q k B C x s F U / b N J O J U P 1 T 0 B 2 3 v f R b 3 D e + A 5 v O e g f i j e 9 W J 0 z R p C x f x f 4 g E 4 r f J v 7 K / / z v t / C l d S + T i Z J I f j M F p 8 O O P f g u N r z + G u 4 / b U w 5 9 Y 8 v + w 8 s o 1 / b 2 9 u P E l 8 Z N m 1 5 A 7 v e f B M z / g B + 9 L 1 v I J m Y Q j h T j R J b i C b x B E 1 o M U 1 N 8 B y + E a E l X 1 f t 8 8 d 7 1 T G K A J Q 4 G t V 7 w U S H H + X t X s 2 E V / b 8 / L Q n Z m / K 0 s j 7 p W h y h u B x 0 c / 2 z K C k w a e 5 C G q s U i g Z u g n j t V 9 k / + Q H W B J i G o v W 4 6 1 z T L 4 y v P r a I 7 j w w t x B B 7 q 7 J 9 D a c o k i 4 O 6 e b r S 3 L 1 E E K p i c n M T M z A x a m 9 s o A O b T K Q t D f u / z + Z C k O B V m 8 f l K 2 N l p W M W M Y o 9 J p 8 V i M c V g c n 1 x G q X T 0 s k 4 n n 9 p H U 4 + 6 U T 4 p 6 f Q v m S Z m r T t 6 j q M c j q h N T X V q o P 8 Z F C X 0 0 7 G E g a 1 8 K F F 4 5 A B 1 c R h 1 g H f v G U z 1 h 6 / V j H 1 Y p A k E 4 v Z o J 6 Z d n q G n R q O 0 M T i g Z / / / O c 4 6 6 w z E e X z n H j S S f Q d 1 8 F D 5 h 8 Z H s H Z Z 5 + J Q 4 c 6 U U a n + O C B g 2 r y s K + / D 9 d c f Q 2 6 D 3 W h p K o M Z 5 1 x B t u r b q O Q G 6 a O 0 G 9 y 2 e j k c 5 C j 0 1 G E R s i E y 9 g 3 G W p g M m 4 o b o b H G l Z M J Q N b b E x E 4 + 5 6 u o O y v B S W k g C W n t w C G z V A L r o n r f R 1 4 l h Z z S v k c N W W B y 9 E X b U Z z R e + S O k S p X / U h 4 G u a t S t J R H q 7 Z Q w / c i f 7 o f 5 j t 8 j e u W V c D 3 1 D B y X X o z y b 3 9 T 3 f v s R 7 + m r r V j b R N C r V + B v z e N 0 l b S F O 8 j Z r H Q m o l j Z K J G L w z P e 3 t v Q r C F 2 k 2 e T J 9 g l m B M O D E K 7 6 w f q b U 3 T l M / M h b i t U u V v y l a K m M t V 9 + Z Z I 4 v I 0 E e L e v D Q J i C a S w 8 i g Z v L Z n E g 9 6 3 + u H v F + 8 q h B W N + + F a d T 5 M 9 J n k F g n a p P s 2 d b I P K q k Q p u G t N c P y 9 f / 6 q o r y 2 R 1 u 9 P T u J 8 N o N z Q w P R 1 B G U 2 J x 5 9 4 E m 9 S e q R I + M 1 N z S r S 9 q 1 v f g t t 7 a 0 o K f F h / Y Y N a o 7 K 7 / f j l V d f x d D w E D x u D 8 Y n x l U U s K m x g V c z 4 a W X X 1 L a Q 7 S O M I p 8 7 7 A 7 c N + f / 4 Q n n 3 y K h F a q j g s 1 P P f 8 8 5 R g S 7 F t + z b F b J F w E A f 2 a 0 E H v z + I + + 6 7 D 0 8 / / Q z 6 B w b h p I M 6 M T W D 2 2 7 7 H Y n 2 L P i 8 P m V Z f e e 7 3 1 Y h 9 2 g 0 w r 9 T S h g 8 / 8 K L Z M A V 2 L b 5 V Y y M T f K 5 d q K t r Q 1 / / / v D O P n k k 7 U H X w C a O U i m l y g 1 r y d M K r 6 T S D O H 0 4 G W 5 g Y 0 l l Y h E K A 5 k X R i 7 c m r s H J Z G x y + a t R U 1 2 J 0 d A h r 1 q x B 0 8 o M K n j s 6 q u u V p p U j o 3 0 U z g s a 1 D 3 m E U O 4 9 t m J 5 / F 9 L A g M m q D u 5 Y N I Q M J l H Y R 8 4 b m p I R x h c E K I / H S 3 r r l l a h Z 7 k F z + k G k q k 5 D z 9 4 h d G + a w t T w B E p r 3 a g s M b N P z Z K g A H N y R J m k p n Q U y e E H + B c o X f o x f m H F 6 E G P m i y W T A I V p a P F Y K I / s f / L / y 5 R b w x 3 d P J v G l V / / L 1 i 8 D 3 P / z s + 6 t q K i 2 M H 0 V x + G E O D Z y P q t 8 J b E 6 d 2 d G i M R G n v p x X o N N M k 5 H O J 2 H L 2 3 k u f b A T R x o / K E 8 h j q G e W e S s z N Y a Z J p n q G 2 E U v S 8 s b L z d E Y Z / O A 1 H O e l a j y I q S F S O / a q l d W W 1 l 8 3 i w J 6 h M n S M l 6 B / x o I x S y W q l p b i F N / 9 M K 3 m v S 1 O T P X N Y O T A B O y l N u w j z 5 z 7 z p P Q c E w 1 n t v w Q n 5 Q 4 t X X H i 6 q o V q o o W S O 5 T + / 9 j V 8 5 9 v f R m k 5 O Z 7 f / d 9 N N 2 H z p k 2 4 7 s M f J v E E 8 P r r r y v p s n L l S j Q 3 N 6 v I 2 s 6 d O 5 W k / v 3 v f 6 / m m n 7 y 4 x / D 6 X I r p h K T T c w w n 8 9 L x m z H 8 8 8 9 r 8 L v S Z p n x x x 7 L O / b w m t 0 o 7 S 0 D B + 7 7 j 3 4 8 l d v y L v W + v U b s G v X L s U E a 9 Y c i x V L W / H i u v V 4 7 b X 1 l P J n c R h T 1 F Z l Z J h d C I c j G B o a U g E O m e O S + w T 9 E + j t G 8 Y Z Z 5 6 J q 6 6 6 E j / + 8 U 9 w 2 6 2 3 a g 8 + D 8 R n E t / K 5 h A V k m P q 0 f Y W P 1 3 e j 0 0 d h s O c F U z + g S D H 2 Y 2 K 1 d m B M 9 A f 3 k y J n k C z 5 0 z 2 q R m h m R h 9 x A j N J j / N W A o F i / Q 1 i V k y O T L U q m b 6 P H o W i m B s 7 w y q j y l F k O a W w 0 K n v j C 8 f Q R z x 7 v v B g R X / 1 D / J D 6 q C s 9 g z 7 r 9 i P h T O O a y e g r G S k r 4 S U r z C n Q + f S G c Z c e i 8 c x f q / M j E y S s s j J Y T M J Q J P D k l J o q 6 D v / E l 6 H p h d f o m P q X n m e 3 4 1 h / f 3 v R 3 O d D f 1 j Q B t d Q n f j k y h b b s b Q 7 g j c d R G U 1 t Q g k B x V f V J q b 5 V b w H P w h w g t / 5 / Z 5 4 i n g 7 C b s 2 a X O d 6 H t L 2 R J u f o r J 8 5 F T G j 3 J W G n z 6 P x 5 J C c C S M 0 q Z 8 U 2 0 + y G S 7 g d X 0 Z x t L U / D 1 / x i B p q / r R z W k E m k 8 Q Y H e 3 d 1 L R d S i L C O z M I q C z v R z o F R v E D + + 8 b s k 9 B B 2 v 7 k R + 3 Z v I T E O I z A z A b f H o 5 j o h R d e 0 E w 1 S l q Z 6 2 l t b Y H H o 0 l T M X s M 5 k n R C T v 7 7 L O x Y s U K x T A C h 8 O J p 5 9 6 W l 2 H I g N n n n W W k v a V l Z X q u 6 1 b N u K e v z y s z j W u V V t T q / w t O 0 2 0 N 9 5 4 Q + U c b t y y E w 8 / 9 F c V k v / Q d R / E h 6 / 7 M H 8 h A Q a T 0 k I C + c 3 G j R t R U V G h z E s x x d r J z M L 8 S 5 b k C 5 N C i F a S E L v G T C K H x O u Q 4 2 Q F m r y 0 o k m K G b j o N A + H 9 8 l P 0 D F C 2 7 7 R q 5 h p p p O a h I h Q + g r G o w e U e d T o O k U x k y D U H 0 X a 6 c Z o 2 E t H V 8 L D Y Y x F 3 l L m X I Y m z W B s v 3 Z r H S o 0 T H j p u 8 x h J o E Q Y T q h / I Q 0 z U s 9 Y D i L c N q J v t D r + i d C x p v a d s 1 F q 9 F 4 0 V p 0 v h h X z x 1 I V 2 L n h s P w 3 g g 0 n v Z L / W T 2 g I s m u k R H J a I o E N N T f D J 5 z / E T 4 9 R c T Z Y S c 4 v t L y + T a G g c d l s G k W i G l g q 1 U i q I + r X l 1 I w N G N 2 T o q n l Q l n G B n O 0 E 5 n w I C J 1 / 5 I n F K w i v X I 6 I W 1 v R o j X S l j r E I h p / S H M Z E p N o 8 R J / 9 1 m J k P F E B Y T m R p b k G C / T Y W 1 8 Z s P Z 7 d N I 2 3 e B N / A T + Y w U y B G 8 4 7 X f f c V x + E r X / 4 3 n L 3 q P J x 1 2 q k w / e E P f 8 i c c / a 5 q K u v x e b N T + K S S 1 b o P 9 F g + F D F Q E G t Y F F J r Z r d K 5 y Z 6 5 s U h y H Z 5 0 I u K V 0 i T r / k B K Z 5 r X z v L P v b e + / 7 M z 7 6 4 e v U e w 3 a r z M 0 S 2 U + w a y H R g 8 c P K D M u a 9 / / e v 4 7 / / + b / w P / 5 a X s o 0 0 i Q z I H N t x N L l q a / O d f w N i g i V i K d i c J A y J V s 4 z Z y U t O D w U U I E S l y 2 F a q / e S T r 8 / S F E J y y o P 1 l 8 R R J G Y p q P F K b Q C i B h b 6 d J a q J G s 8 L X R E l M C e g 0 0 4 S y 0 l S h m Z Z O 0 G c J d s I x / Q o S z l U I V h y P w A E 3 q t Z o j C R S 3 S K J t + I X L K C V Q n G a 4 z z H N v Q k E v V X Y S L W g U r n S v 1 b g d a P 2 / t s O L m 2 F 1 s e D 2 L F p a X Y 9 + m P o 7 Y / g P Z X / s Z 7 1 C q / R J J z R 3 f 7 U U O z T 5 m a x J 5 / / T R K 9 3 V i Z t U q l O / f j / o X n 4 P J Z k P 3 D 3 8 M 6 1 O P I 0 H B a a P g l f 7 z 3 b 0 V v n Z q 3 5 w x n j p g R s W S Y f a 5 C 4 6 R J x B r / h C 1 z 5 C 6 l z a H m E s P O a D 5 J 5 k f Y i 2 L V p f I X C p N Z i L x u 2 y k m 3 i C / R 9 F 9 R J q U w W h V b o Y K Z q G a q q E l + B p k Y T 0 X Q p e h w h J C q u h X 6 O / 7 F M U W m w z 7 5 8 7 7 K b 4 A L V i I z W 7 W B Y U D n t 2 7 8 i 0 t L Q i R L E Z j 4 e o J c L K v 9 H 8 A v m l C W 2 t q 7 V f z w O 5 q T w E a U F B 5 g z k g M Z Y 8 z y 8 D m 3 o N E j k K k 2 m N J M w x A 6 n c U W 2 0 A a p E L m / E 0 g S r p n / x M y j 7 F D h 6 + L h e R 1 H T I b N Q u 6 V j P K 6 9 C l M F t 5 H h V C F 5 a U N c + 8 R D E w p b T 0 f J H p 5 9 1 3 3 w V f i w c T 0 F K V 2 m c q Y l + w Q 8 c V 6 e 3 u x i h p 8 e H Q U A X 8 A H / r Q + y g U O n D s 6 j W o q a l A j J L b 7 m j D + F s J M p O d Y z W X e c R E z I h f Q 6 d 9 P v i 6 v 4 d A m 5 Z D Z y D D 3 1 l 3 n o z M y r u R 8 m b T j k a 7 R t F 5 7 b t Q 6 7 a h / t U n 4 I a W m G u K j / D b N E b 2 l 6 H m e M 1 H e e m U M 9 B q s W D C Y Y f E 3 R p f f V k d 3 3 r e h W g i X X T E 4 2 i n d F 9 O J 7 T v x w 8 i v I p a 3 B 2 G z 9 Y E M 4 W L j E v v r h 5 s 3 f 8 i 3 v O B T / I e 2 S m D S C g A l 8 e n 6 F P 5 m f w r R l Y q n s T u 3 T t x 6 q n 0 g U W w y + S 0 P r 4 p W i g W C k D B + M F p V K 2 Q P M g i k N + I 4 1 1 E I X i 6 / g + h d i 2 Y Y i B J L W d V u Z d Z G r D 8 6 I f f / 4 7 M q J d V 1 G O s d w P M / j d g j h y m A 9 h J e 6 A D y V A f K h q 1 d C M h o W I E J E e E u w W i t c Q Z 1 q Q / P 1 A K m y Q 7 g F p M X u p s E o A w X Y b c r p J i + b D a X z Z Q d Y T G i M I g h d C I m P f h c x g M L N B k i b R O U + N i m g l x G s h / b E K I c A E p b s D Q T G L K U t h R C h m / k Q G l g S f P o h 8 x E I 9 L a F 5 a U R z S V 0 u W t V P j W F D p q 8 R p J 5 + O 3 q F e n H D C a s T p I 5 5 / w Q W o 9 N T T X 4 q p r J Q o i e X k u n 4 S T U j l R 1 r s N X z K B M L j N n h q C y I O h G V q O 6 z T e 5 A q X U M t M p p H I G J C S v Z 7 i Y N M P L 0 R 8 b L s l I i g e / t v E Z z p h 3 f F 1 9 h O i 4 r 2 l d F 8 8 p R 7 Y P 7 L f Y h H 0 w i d d g E m n E t R 4 e L Y K k 1 g h b c 6 h c D E N P z d N r g e v w 8 T k x O o o F a y 0 2 T v P v k 0 R G M 0 8 x 5 4 E K N D w x R O U Z S Q C w a o M c p O r 8 H u q T i 1 Q Q X u + P 2 d e H 3 j d g S C Y a w 4 / h i 1 J O J P f / o L v G W N + N n P f 0 E 3 o g 3 + o E w W 0 z + i y S 4 p b E u X L q e 5 3 o W a 6 g p s e H 0 z R k b G s G z 5 S v Z Z C r f f c S d O O f U U n S I 0 O M v s C E 9 F Y a d g m A P R s K T b p A Q 6 S I c 0 7 m G b 2 g L 3 6 J 8 Q r v 0 4 Y M v 3 w Y Q U E r Q w L J Z s s C M / K P H X T + H C h n v U F w a 6 p 5 r Q e k 2 P 8 m 8 k v N v e l p 3 b m K B D W l 5 e r g I S 8 r 3 4 P H K x G A k g E Z M Q u D S A p g q l 9 T P P P k u C W a u W C R j o O L Q f j c 0 t a n b f Q v t e T Z 5 J 9 K U A u 3 b v o t n Z C m + J S B y t c y Q R d D 5 2 U K l E o u l U i D 3 L h H l Q S w v Y g Q s w V Y L P I b 8 z m S 1 K 2 y n t y f N l L k 7 j 1 a J X n t V Q w e Q w 7 C Y P z Q m f / s 1 c K K a k B A 4 O i O x p p k U z Q K Z y o G y p D x U z t y A e a 6 I w s K G r v A l N X j 3 p l I J p Z P c M q l Z V a M m 0 E o G j f 8 u L U Z K L 6 a U R i 7 f z u w g u / b Z 6 r 5 l n V W o C W N B S 2 g 5 f 7 4 / Q U f 1 O V D m O 0 c P N w J s P X w o f G a X l 0 p c x H r K i r o Q M o 6 O P G q b + r 3 + B q b I a e 5 8 Z R / s 5 X h w O l 5 E Z M i h 1 p l D u z m B 6 / X o E b / g m 8 J G P I v 2 H e + G 5 / p u o v e 5 S / P D z X 8 L H d 7 1 J R 5 5 C j 1 o g 1 t c N z 9 I l a P r 7 F 5 G s f j / 7 l H 3 J 5 z K L I E 5 G M H H I g Y q V 4 s 9 x j J T p 7 8 C G D V t w / v n n w B 9 I K G J 2 m W U h Y z n 7 W j Q Q z X x K K r v N r i L C N i v 7 R Y Y m P o 6 k p W p W Q w m U i X p c Y V Z 8 P l w d P 0 e i 7 G w k q 0 7 X j x S H E a w J x j L K R J y f m m a h N e S p p 5 9 W i a i b N m 9 S n w U 3 f O M b G B 4 Z x k 0 / + 5 k K f 0 t E 7 q W X X s T O 7 Z v x 3 / R T O g 8 f V u c 9 9 t i j G B z s x y c + / g n 1 W S C h 8 D 1 7 9 + O 2 3 / w K e 3 b u w n p K p m l / B I 8 / 8 Y Q K H A g T r d + w X n 2 W h N j f / P Y 3 Z C K N e I u T c R Y S h D C Y K V 8 z 6 Q E Y g Q w c 7 d 5 i E P N R f i e W g y T 0 G q a j M J P c O 6 v 4 F m o F x z I 5 A 1 s R 8 y E X f f 4 u 9 E c j K F n S g L I V K Z T U p e G w 1 8 L f a U a g 5 n r E m t 6 D R O N V J B p 9 q N I J J M N B O E r t 2 c x 0 c f j t p c j o i b I G g k u / B f e e H 8 K 7 / w Z 4 B 2 6 F b / w X W D X 4 F z K T t s o 3 m f G i 1 r V 2 l p k E 1 T c n 4 f w / Y N C f z 0 z 9 d 9 5 G 7 R Z D q M S h + u S 4 q 2 s p C C n N N + 9 D e P s u a l R a B O y O / d / 8 t u q 7 w Q c f U L K x / i O X o X 8 q g / M 3 7 1 D L k / o k t 8 6 a h K O d g o I d 7 I x 3 Y D Q g P U l h 1 b c O 3 u H f w B z Y i 4 h / H O Y Y 6 S f a i 4 h Y L x k z 2 o 6 z Y D z Q A R c J 1 2 X n z a x k C j K n N S H J C L y G W B O 0 D m Q O U y y E j C w Q N E t o X G c m W k o C Y a b R X d l n K 4 R l e h d i d e 8 5 I j M J V K Y H I U J F / L x F M J R G N N e 8 8 0 q V A F t d J f l a 0 m X A o U O H 8 N W v / i c Z I I C b b / 4 F 7 i b D b d 3 + J r Z u k + U V D b j x x h + r 8 / b s 3 Y f L L r s c 7 U u W q N y 8 X / 7 q V 1 i + b D n 2 0 W G 9 + L I r c f O v f o M H a A 7 8 4 H v f R i Q c w G 9 v v V V d 7 6 6 7 7 l b z W i + 9 / D L 9 i j 5 F z G J 0 W q m d j I B I L u S Q D J K Y k A b y S V 4 n Q H W m f J f D Y L n g 4 F l S Q T I w z b m F z E a F e a 5 B V N D R L 5 R Z v Y H N Z A 7 D K S b M o 0 h k q D 1 i G l G Y q W F s L S Q m + l k z 0 W 7 e k G 0 m w b e 6 l 2 E w s A N D O 6 c x 1 W t C W e v 8 v l E W J o S P v Q H B V T + k r / R N B K r + H e H V 3 2 C T K U h o i p s T N M N 5 X 3 v 3 3 + H t + S l 8 U 7 9 G h B I 9 n g l g d e / X Y B t 5 G e b o h D q / 9 2 4 y C J m 1 1 J W d D h D L 4 q R r l 2 H N p c d g z 1 M S I K d f R s 0 s v V u b 0 F a 7 f v P b 3 8 P S e g + q b d R e 4 S k 0 m 6 i 5 J w O Y 8 Y d h / / p / I l Z + C e K T u y k n / H h 4 Z w o j p Z 9 B y H Y C 9 k 2 8 R Y Y K w 3 3 o D l Q c / L W K t N k D Y t K n M R 7 Z q + 4 l E C Z S i b N y V 2 o y U 3 x M + 0 K g T D j n b K p a P K O Z Z r J i u m p V n P 7 U l P q c C 2 E + 5 / j T S H t l A W Q + w o m 5 5 2 d B J r b V 0 v 8 n A f Z N 0 z / I 0 m B R / O S n P 1 N / N 2 7 a o h h E y E u W V / z s Z z f B 6 9 V M G s l 6 2 L L x d X U t C Z 2 L 3 y F Y u n Q p h o e H 1 f t T T z k V X / n y l 5 W G 2 r B + A 4 + P o K u r S / 3 W b H P i + e e e o + l Y o T I W Z M 6 o v b 1 N P a R k p k u A w q p r i W L x B n W I 2 k n n F w U 5 N v f R t B + L D 6 f y y f g + S S m Y o r Q T P 1 G Y K U W 3 W 8 1 g 5 q D I L Q m D S R e H F p + s 3 8 p q h B b f m V h a d r r S f g K R q G O j A 0 g l Q z S j 2 h C I 9 e n H H W j w n Q h v e Q N q j 8 1 P Q p 0 L e Q r 5 l 9 / + q W g H / D E y K c 0 n 0 d C R l B 0 B N C D e 9 h 4 E W / 8 L g f I v o u r l P W h 7 a S t C a 2 9 E o v Z C p J 2 8 F 8 + X 9 Z D m p B / u z v + D K S l R u X w c 8 4 4 K 7 H 5 8 C G L k W 9 9 5 t S L 0 o X A Y H / / Y x / C f n / 1 X e G m K J c l s f f 0 0 a c f H U e Z J 4 X e 7 9 u L X 9 2 z D i v C / I b 7 7 I 5 g c H 4 L d m s b P f v U z 2 L 0 2 p N w N C K 3 + L 4 w u / S y C d V 9 G b c 0 S l D l a 0 D q y j o w z S c Y Y 5 h O a s X O i n f 4 W + 4 / W g E w v S D Z / s V E 3 F L p E C 8 1 2 N 2 x N Z R g b C m B 0 y o + p Q I h 8 Y I Z 9 4 F m E l l z P f j J j Y C Z / b B 1 q 5 e / 8 E A 1 l G h r d n 3 F Z K 5 Q P 9 d R d H 8 V x v v v 1 r z U M B + t x + i f 6 9 U + F k A H L S u D 7 / v x n t W D w e 9 / / I X 2 l 2 l k C F J v 2 6 W e e U Q s F s 5 A H 1 s 6 Q p S C / v f U W f O f b 3 8 c X P v 9 5 1 F b L S l I + j G 6 + C P P J R P A x q 4 9 R P 1 E + j P q m C C h N U 2 m a Q + q n c g + e K b f J 7 V / 1 W Q 5 Q h m Z o h 4 h U F W n G L w I x L Z R u I 8 f K U o x S K d b B U / O f t B C i p b K d f 6 Q o n 2 i o J A W Z X Q h b h y y K 1 J j K R C 0 0 h U y l C T U N J f j B j 2 7 E e 9 / 9 H l h t F g o Z F / 7 6 4 N 8 w P T O N S y 6 + B M c e s w J N T S 1 s X o o M m C T B R h B O T i A Y D 5 K A n f D a m 3 n N + R n e c + j 7 C C 3 / J m J J M 4 k l j a m I L E H J o N Y 3 t + 2 d 9 J 9 K r r w S 1 V / X I l 3 O 4 Y d h j R 1 C w l T H R x d C I 2 H f + F e k X + v G d F M F G t j G 9 l e e o 5 a Z x q Z L L 0 N j K o 2 u V B X a L d T G M g D 8 r / c v B 2 H 9 6 j m o + V Q Y S 0 7 9 O V K V p / E 7 C 4 b e n E D D C R I i p 0 a K 0 7 l U q 8 A p I C R t S A S M v t x E l q E 4 x / 5 O a Z h E p P l j 7 N c k T V U H 6 k v S N G M 5 a B x j m W j u 8 N e o e S c Z 8 X I X T U S a h F P R Q 1 h e 0 Y 6 p A y a U r x D / y 6 L I Q p J / g 6 3 / i x F q w 1 q f R j R v D d l w b F 1 C m r M g T L H e / K C E F i Z f L O R n C 9 8 h 6 7 x r E J m Z j R I u T K L y v Q r 9 G u d I G F 3 C n / w 4 4 w 8 q 7 S c J l 9 F Y T P 2 N x 2 n C 0 G + y i + q i B k j E 6 e D y c 4 J m j T H h L C l O / k A A H m r U h C T J 6 s 8 g I W u 1 B J q D K R O E 0 k J 5 y S S 0 z y 2 p R d k n L f 7 U + U 9 2 J I Z a E L z B + K E Z p M o S e I D M c + 6 Z Z 6 K 0 p A x v b N 6 M 5 p Z G 9 P U M Y C Y 4 j R J f C a 6 8 8 n L 8 + j e 3 4 l v f + B + E J I E 2 V Q q v M z u 5 m 6 A J t J A P Z 5 l 6 C 5 G S N t h I s I N T Z j R W y N P l o y + 0 E X X J 1 e h + 5 7 V Y 9 t L z 2 D F 2 G F / u v g d b U 4 / A W l u P 4 P L n t R M z C b x x 3 s W Q + k d D F B b l A R L 1 r + / C M W d U Y v f F 7 4 U Y q L E Y D b b x P j j r 6 9 D y 0 B 2 0 C 1 f h 4 L l k V H 7 X + D A Z q u p E + j Y R V C 6 P U C l q A S i 1 v N / s R o x C y E H N Y s z 3 F M I 2 + g q s 4 X 2 I t P 0 b o g m T K p g y C 6 l l k e B 1 7 P l 5 e y J T 0 4 k U A t R S Z a 1 l Z K Y f I 9 T 4 B T I u L S 4 J 9 N C U 1 G p P Z D E 0 n U E 5 u 9 R p m 0 s F k h y c x 1 D b b 7 4 Z 1 Z u y Q Q d B w O v F m j / + U b 2 f m p l S O X J S B U Z + N E H V L R k H E u U r L R W z L 5 9 B D I Y y E m A F / s A M z y 1 X x C f Z 4 L J A U A h a I M E I 8 b E u v O B C 9 b m n t w c V 5 Z L R k B 8 l M 6 X J a D k P 2 t X d p a 7 T 1 E h H l 8 p C s r c L I e 1 V h T v E f y H z J O A k I R n t T Z N Z p Q N t F C r Z j k r y A T T 7 e 2 7 n 5 U N 1 I a G d 9 w 8 x F D G y O 4 j a 4 y j 1 V S S S 1 9 Q 1 d a A / C l 9 T l m G k x J f F M g W n p Q y R 5 C T 8 y U H U O t d o 3 y X H 4 L H m J 5 b m Q / U I / R o z S m b W w V x / n n a 4 C A Y e + j t C v 7 w F K 1 5 9 G V v P v x B f + t Q K P P z A P v i + e j 0 8 F 2 W t j k P U Y j K B a 6 L / Z C Z j t z / 3 N K I T 0 + i 5 8 B 3 U g h E K h k p E + j p o a r V h 6 a Z X s O H O R 9 H y h x s 5 d l 7 U v f y C u o Y k N A 9 F K T x o C k s b T b E h V R d D k O D Y 2 X L M 5 a K g h W I f f x b x 2 m v 0 A w W I j 9 L 2 0 x j L K J H W x f 5 e U 3 M P g r W f Y 4 8 U G W s 9 C d f A t j 4 7 T m 6 O o y e 4 H q 3 e n G k H + m 9 k q B H 2 r E k L m 3 / q U 7 j w n o K w e V M T W n t 6 E E / F c c P / f A M / / c l P O M b a T b / 4 p S / h C 1 / 4 P J 5 9 9 j k c f 9 w a H H f c 8 Z i a n s L g 4 C B O P O F E W m 0 W M q A X 3 / 7 2 t 1 V C 6 3 U f + h D G x s d U u F 2 u s W X L V s W M Y m f L q l v J D b z s s k t p K 1 c j n k j i 9 d f f w O H D h / G + 9 7 1 X B S X O P O M M v L Z + v c o w l + R c O S Z L N i 6 4 4 A K V 4 f 2 N G 2 4 g Q 0 k G Q 3 6 n a K S j / Z V J Q M 2 W N j S k T B / L O z P i M n n r k K C H R Q U 9 5 D L a b 4 0 r L A 4 L M V Q o M Y 7 J R A e a 3 d p S 8 W K Y 6 Q l j N D F E U z m G t / b s V Z n z k j B c U 1 O D q q o q 9 H R 3 I x g K 4 x 1 X X K 6 Z N j r 6 w p t 4 3 W x k a i i y E 7 W O N R i L 7 5 9 l t F z E k i a 1 6 j V C G V P R / 0 d E 2 j + p f z M X a f p D Z n s K 2 y 6 6 B p U d n X A t W 4 p a a i y q f v V 9 l D 5 y 7 w c + h M R 5 5 8 L x 6 m u o f v q P K P W 0 Y 8 M F l 6 A h m c I w u 7 o x G U U 4 b I e j x I r x P 7 2 G z E f O h h h v 9 S + / y M 6 m / z L + K s L e s 2 B 1 W t E b e J 3 + 5 V k U y p L 9 Q T P R X o e u m S 4 e a + W p R S S m Z J O r L P w s T P F p / m 7 u J G 6 3 M I L n H J g l y 0 E t + e D P I 0 n Y X N q z z I u c e / R M S d 3 E J H y j t 9 A a o u Z 0 L I U z s h 6 m q Y k R G l J J e E u q y V C f n p e h / v b Q 3 9 D T 0 6 v m n T 7 5 C S 3 8 / f s / / A H b t 2 9 X p a Y e f v h h 5 e d I A O F m E r e E 1 C X n 7 s c 3 3 o h v k a G 0 R N c e 9 T v h x 1 g s r s 6 v r 6 9 X m Q E / / M E P F I P + g l r y u u u u w 5 e + / C V 0 c O A k W v j A A w + o l C A J V M h 1 O j s 7 M T w 0 g N K y C p x B J h N i e 2 3 9 B t x + 2 6 0 k / V z j S 2 M I Q S E 7 q I l l l X 1 s f C O l y U S 9 y d i S v X S h o b G S w X y L w y x D x T k A U k + h A G r m n + a L m h u S O n d E k v 1 h l f q G x O D u G T Q c N 3 8 U b 7 o 7 h L I 2 z Z S b i f e h l L 5 S V m x o S N I 3 t J q c m I 7 3 o s y e r c q j I N M F o v X 0 Q I h g y G / B s o m f I d S u r e K N k t k k g 1 9 b / C d a Q b v 2 M L V Q j O P i I E P V 6 R k Q g m 3 / + n n 4 9 u 2 D x C q F R J f n Z E d U U B P E q Q k y f f 0 0 E x u w b M N L S t i K u e f h Z c s e f R J D B 8 e x 7 P Q W 9 l t G Z a X Y 3 V n i D g d 3 w S 1 1 L R K T 6 I s G q b 0 K n u d I 4 D N Y R 5 6 D 3 T a D q O c C O I P r E K 7 + s F a P j 9 a K u B E S 8 Z 0 Z T i N k 9 n O k M 9 i 5 8 0 2 0 t d Q h 6 h / D G c v 8 S l B L R a m k t Q 7 J 8 r N h H 3 0 e s e o r O H 7 5 8 1 n m a F S c e O n Y 7 G A U Q o h 0 e n o G j z 7 6 q F r C I W a Z 4 K K L L s S h Q w e x d u 3 x i o A k 6 V X M N 7 V k f c W K 2 Y l e I 9 H V w O D g E P b u 3 a P e y 3 H D d x N m k c n j X / 3 q V 4 q B Z H l G m J J x a G h Q F Y g R B p S g h 1 z f Z n e i 1 O d G Y 2 M 9 L F b e s 8 T H h x Z W 0 h l B B R 2 0 p x L T M x f y U f w l D X K G x j J C R L F E l p k E 2 r v s 5 0 J I 3 0 i o X v 4 a / y Q j X c F e S Y L u w U B 4 q 8 q Q V p C w v j C n R B d z F g 0 a z C Q r f W u W 8 i p 6 + z V k E E g O 6 e 9 J g D o z C a x m p 7 r 2 c G S X f k S D M J N g D j M J y F C h R L 6 U r y 9 J K W Z y j D 2 j 2 k h W 1 L 5 Q G S / a 8 0 d G a X 7 x n 5 r j k x S d H J z 8 u 9 8 q k 7 C c P a n N 4 s k p K Z x 1 q A P L u / b z e v y c p F l t F + o 1 Y / + 3 v g s 3 L 1 v + r W / A U + 5 G 7 d o l 2 L D P h G d 3 s N u E m S T Z l g w k K W K K m Q S 2 C o 2 Z V B R v 8 Z h M D C B Z f x X C V R 9 G 2 t W I o d I L E a I / Z z c n 4 J l 4 E u 6 B W z m G Z K N Y E v U V F l p I V b j 8 s o u x c t W x W H v a B Y h U X E P m e R e 2 m T + H e M 3 V S N v K E W 3 8 A N V Q V L 9 D F v m Z E g u Y f I u H R g j X / 8 d X 8 f n P f w 7 L l i 0 v I M c 0 b v n 1 b x V j 3 v 6 7 3 + U F Q g b J O P v 3 7 8 d F F 1 6 k H 9 E g U U B Z V n H H 7 3 + v l m m c e Y b Y 1 4 R I W j q o v X 2 9 K o X + 3 H P O 0 Y d S S I C E z g 9 y e W E Q I d B Z E p W I m r b W I g 9 S 9 d X m L G J O H C U W 4 0 M Z 9 r u C 0 g I a Q x m Y 6 Q 6 j t E 3 z E 3 t C 6 9 X f C t t x 8 N k 1 z T V y c B S h m j 7 U e J r g J W N O x A 6 h 0 l F Y i H J h a M s d s o 6 6 U V 7 A F J t E R s K k d M 5 V l V t r G X r 8 P R j 8 8 B f R O D Z G h e W A 5 7 w L U P 7 d r 5 L I 8 9 f P H b z k c j T d 9 F O k q x v x 1 r / 9 K z z b t k A 8 I D 8 1 W p g 8 6 C z x o P L X j 2 D f J y 5 F E 4 8 3 5 2 g 5 A 3 2 7 R u n P p t G 0 t o 5 9 Q 6 L V 1 z f N g V E I N D Y M O H i u 8 b k A J n 6 f k e 8 L I B p K K + i S o n 8 W Q 3 a t 2 f y Y / U 0 u h P n 1 4 E 8 e Q z 1 2 / f U o p 4 + S i y A l / 5 U v r 1 t A R h 8 Z c g P t 9 9 l 3 u Z B I n R C g t p y c Z 5 A B r B K h o 0 Q T S F q T E b i Q e T O 5 h p T N t c o K P x 0 J H r a Q a V L 8 r Y 1 E Y f h A h T B l w s i Y i n e c s J x o O L l D l s 2 P H v 9 I U E K Z g R x Y W T I T j H v g 8 X K g K K V 7 o j t o 9 5 + t n 0 W G 6 0 y h d K l F L S P w O d L U U G + i z n U 8 m W + D f l 7 x E Z M c S E u 6 O O E J j B H y 9 v 4 C w Z Z s E Z d Y L I W d l 1 y C i s 4 O e J Y t Q c N L 1 G S S B U 9 i P P d 5 C a W n s O M H m p b s v + s Z 1 F v u x v P v / Q N a a Y 2 I L k u 2 t y B F 0 3 H l a y 9 T O w C j F 5 4 P i 9 2 K l n X 0 n + Z B e H A P B g 7 b s P y c / B U Q c y C T u X Y t A J M S n 0 t G 0 J Q f C d y x k 2 a j x 4 s 6 W j 6 B Y A D + G T + 6 6 I t e c v F F p C 0 r u i Y s q P Q n U N q e H X l Z V q J V q 8 r H o X E r l l c V z 7 T Q G I o S 0 l t a m 6 c t / l k o z k I G j p Z 0 8 8 8 X i S r 2 r 0 D u M V + E b x Y q k h e j 7 5 Q 1 m Q x I c R N t n d N C W P h p D B g M Z Q r t Q c Z z r H 5 0 I e Q / l x H 2 7 d 8 5 j K Y T c i R r j k 8 W D y V g 9 0 h y M X / J J o 1 F 9 1 G o R F H j O p b m X r 6 2 E x h S W p 7 A H B u c j Z w V Y i Z q Q q l T z s q H M N Q Y G S p C / 9 V N b W N k k A u + c c N H M V j q w o 8 e P 6 i E Y a 1 8 x 7 7 e 0 L g E j S J Y a m v g + t z H U f t v X 1 b n b 7 j o U t Q n k m h 5 6 A F Y a / J D 2 Q b S k R 7 0 p v r Q 5 j p Z z S s e 3 t a D 5 W f M X a 9 m i v Q i 4 6 I Z K J n 1 e j T U F O n m 8 1 H / S d j b 4 u K Y k z B M V k y T i c q d Z B J n E 0 J + C a O X w m e S T H a t D W k S V C R t y V o O B q R 8 c 0 4 C 7 E I w S 0 c X m h v / D B g S O k t + 2 u d 8 H C 0 D 6 + e L G U A k E z E 1 a S w a T L R Z J B b i f U X P 5 N x L 2 f r 6 Z 8 l 5 K 8 p M N P U c G i c W + l t v G z Q / Z p l J T J E F k e 2 H Q x 1 d m J k a w 6 b N 2 + j A W x C O R D E x O Y P n X i C R G g E O X s / k 0 t K X h J k C i W G a f X W w h l q x / t W t F C o 2 S u S 3 8 L O b f 4 U D h 7 q w d / 8 h p H W T R 8 Z j P m Y S 5 D K T r / / n + j t a d q J n + G O r m M / 6 M X 8 n D 4 V 7 8 M X X + v H 9 R / f z A 7 + j U L Z O b M P G D 3 w E Q l V J f k 7 R 5 z W Y S Z J g T b G 4 n A q U z J / x Y a Y G b f O e g + 7 I N l h s J i w / X V u 9 + 9 Z j o 2 r 1 u A H F T A r Z P s y 4 2 n g j q k H R 9 O q J 5 c W + n a l i P z Q j F Z u B 3 e n G 6 6 + 9 C L M r 2 x d q e Y 7 U G C z E L D N l + y b P x c 3 B r M k n a f Z G O F w 5 x H y f p P l h s 1 U h K Z x O w r T l r s m f B 6 F Y R t m Y N i O B S q A k x B F 8 E 7 F D R c I s w N w y 2 2 3 j t e 3 T r y B e d r 5 + V I P U 5 M 5 Y a W t b n I h N a J n H V o 8 J 7 s D L i F f q P p n + f J L H p q 9 X x 2 j 3 F G r a 6 A d Q S 6 c l g 1 0 / 5 W 1 B G J 2 S u d O / h V I 1 i R J b E 8 r t e k 6 Y 9 I E 8 Y 4 6 p J V n x q s / 1 e 8 5 E z T p B a 8 d l H I Y O T q B h Z Z U 2 J g U I D v n h K g m q 5 F 0 V N Z S + 4 3 3 i a W v W z p c F j D Y t d K x l Y + S M Q 4 5 U N 6 A 0 X j q o S X X 5 P m N T k v z A / 9 w A 5 0 s v I 2 l N w n f G B X B / 7 f v w 1 j m w 7 4 t f Q N m u v Z B c G o k 1 t t 7 + P s R W f Q H r T j w F b S O j S p T F l t R j 9 f p N 9 D 8 y i I / 2 Y u R f P g 5 7 e z u 8 N 9 y G 8 h X z j H d s h H 6 R X t k 2 R c t C K 5 v F D 3 w f G 8 W h n Q m 0 r 7 H B 4 p 1 f O M w L 3 e c x p g 0 K E R y J w l u b 6 7 f J A O W f Z 0 p M s W v K M T S V Q q V P T y j g f 7 N U r 0 w U s Z c 4 k J H 0 B L + Q e n O 1 6 p i N H G q 3 e t X 7 h V 4 J q k u v i 4 M p F Y q M 4 3 I f i 9 S d k 0 W D + e f n v W w l V C B U z / K e w y C 7 G x S e Y 6 d z J H 8 z 5 p o 5 3 5 n s Z C R T A t b Y E O I l E a R L Y q o K q 7 / 0 Q i S C F l V P z T j X E d v L w b V i v C u E s u Z q R b x y b 1 U V K f e a i 3 w F 4 1 b t v d X D 5 y h F k + s M 1 D m P z z K T Q A h Z Z 6 a e w O u Y P k T C E O 6 V s d J h 8 y c R H p a I o Q m 7 d u / F 7 j 3 7 M Z m Y x L b t u / D a h v w J 9 7 i f g 1 7 v w 0 i a z O K o p 7 1 P I h H w P n l O c 0 5 6 0 5 w 0 J D J T z 7 a b 4 T 2 o T a Q L p E l p s 5 f C q Z Q E Q 0 a 2 + 3 g g g c k N r y M 6 N K w y L 5 z X f 0 c x 0 2 h o G O M 7 d i q m k S v L X T M V 2 s p f C 5 l J C Q G v F 5 X v + Z A 6 J j X c t 5 K Z 5 P z m u / 8 4 P z M J d G Y S z D K T Q K w M Z w O W n d F K Z q r H g V c G E A t L c u y R 8 f e H H 0 c o E s N L r 2 5 j n 7 6 J X T t 3 Y H J q r v W Q C m a Z S S b I h / z a I K l C p Y Q a N 3 s F n 8 + E + n I r H N S g S g h R K J v G x 3 s z g 6 E d W F 5 N 5 0 y l e 7 x 9 C F P + / + G H 5 U I G z U w p J b l 3 R l R K O y o P n V F O a Y Z S V Z a S a 9 3 A 7 y S Q I X M u x l v J l I i n 1 X L 2 I 8 O 4 9 m K R R m B m v q x k 7 V q y H m e k J o H j a u e a P C P R t 9 Q k 7 H R H G m X L z A i M h e G r n j s u b 7 y + F W e f c z r N H w o P y H J y C o 2 0 G b Z M g N S c O 7 + 2 M L b 8 9 m o 0 r g q h 4 a K X + I m / K R J x N C X 8 O H z x u x C V + a f m J V i y a Z 0 6 H k 1 G M H j + J b C L Q D K z z 5 P j q H t 9 N z p + e x s G f / A j K C O T / p a E 0 w 3 s P u 9 C C I s b x 2 Y 6 a G Y u U 2 8 L o P V V X 2 A j m n 0 y C Z 6 G c + g H i N b d w M M k 7 I J 2 z o z 6 M T M 8 j Z b j i 8 9 R q Z U D f D x J W x N z 0 F d S g V A 4 B L e L Z m G R r l L W g z D O P D C o o n P c i q U 5 A Q q a j U 6 V 8 S z z J b K j 4 N E g 9 3 Z S X i z L T H K 7 / 3 8 g 9 9 Q S W Q 1 m 4 j E x T / R H l M 3 b b O Y M m S 5 7 T A 2 A + s u B p 5 S U o 5 J s u j j k P u V i U F y g a B a b d i 2 7 y 4 N j q u d O + A q M j A Z h J o G 3 w o W p g 5 q / J J j u 1 u a z z j z r F M Q m B / k 8 D v R O U T v y m N X M Z 1 a h 3 + J t j i X J b A W o / n s I q Q f k H f t G 9 6 e l N r p E T a X / 0 l K f Q y J d c c k g M a t M E j H / p Q 7 F V O 9 2 E h 3 N U t E a l F S u j 3 9 F R c A a L r 0 Y D T y 3 m L g q P W E t W u + 9 U / + k M 1 M O u Q R G d 8 L d d R 2 Z 5 3 v q s 8 Z M w L Y H L 4 a V 5 r v 3 0 G X q s z J H D f D e p T U l i p k i g S g i U h O 7 A N I + c e v H x y d I H z F l 2 g 4 N j y s G C 1 H D F f r O w d 7 i o X r D f T N 6 W J g p 9 7 e z o 1 9 m b y W 9 S R e o n s T t t 9 + O q 6 + + C r f q Z b W M C w j j q D k d v n J D w 4 Y 6 z K h j 7 P Q k z 5 E Y b R H b P x f f / O Y 3 9 X f F k P 9 b j X E 0 P P T g f X j f + 9 6 n V T N K R f H A g w + p 9 r 7 w w v P U U k l s 2 b a D n 6 9 W n + U 6 w k Z P P / 0 0 7 r 3 3 X h W m F x 9 H 1 f r j S 2 p o S F 6 h T C J L g O N o o T Z R 4 y s X i W A E k / s S k E q z B 4 Y t i M b 5 L O y L s b c C Z B Y L N e j 8 / Z L r L 4 k A K F + R 9 X P K 2 r Q w b i Y 6 j g O R R k w f z K D M L + a e P G N x R K Z j C B y 2 I N K j 1 W / P h Z M y 1 K Y V a F J R Q O + + 8 7 D W 8 j s 1 9 S D j K O u y D v 3 m Q V 4 9 B n u D F 6 4 z z y S d W F D p W I b O T 9 1 A r S g u A q 0 C C q v S z 3 4 a H l s G u z / 9 r 3 A u b U e k p R 0 V / + + j a h S F 6 K Y j Z m R + 8 C G M V G h L e Q T n v P p N 1 K 3 / A i 7 c / g P 1 + a 0 X r o c 5 M U T m 0 b S g Q H a i F H Q O A l N 1 t 6 j 3 u c v 6 l f W h 7 g K 4 X D G 4 v E 7 s + H u x u d M 0 2 t u a 4 X S X 0 7 T N Y N m S F p S V e h G H c 4 7 v 7 G u L 0 U f N M q Z q O / + m a e Y V M t / r X T l m t f 5 X Q V s M Z 8 a D D z 6 I J x 5 / X O X H S X k u y d w 2 r i E F R p Q j T V 6 R I o 8 Z O p o Z E s 3 G j Z t x y S W X q G O q J j i d N K k F L l p h I W z O W Q G c D 5 0 x c x o v K f Y C W Q n 8 f z / / F b 7 + 9 f / G B z 7 w L 5 i Y n M S 3 v n k D f v a z n + E z n / k s O 8 e O j 3 z k I + r z J z 6 h 5 a c J u f 3 v / / 4 v L j r / I n a 6 k 5 r M p j I v 5 C W + k 8 f j U d u E G m u 4 j g a p T P Y 3 I k h 6 R j K w e V 2 o W E 0 z i G p 0 Z V 0 K n r 7 D s O z e j e o 1 9 E k W Q C Q 1 p f X v E W B y V m F N f R J l K 4 D y J Q u b 6 q 4 y B 3 x L U i h b 6 q Z J k r 1 2 P B L i 2 J L 5 q d X i f o 4 x B c s e M t 7 g 4 I D 6 P k H J n Y y l M P K 3 2 x E e G E T a V Y 2 W r 2 R z E M t S c q 0 M G l W Y X r t u o 6 M H V g 6 a D N u x G 1 9 B 1 a c / C a n S K m k 7 p Z Z h U M E h E 6 j G s 8 + / h D v + c D c i e 4 Z R 3 h 1 H s G 8 S O 3 f t R Z D 3 3 L w n j C 1 7 w 2 p b I s H W v 1 6 C x m r + j h e 1 l R y D b K a E 3 N O E n t 5 + x K k 6 V L 9 Z t Q D M i e 9 p p c B P o n v n 0 G x / 9 v V T o y s t n D 9 H J d u f C k T + 5 8 J b 7 8 T 0 4 a S q v y d 1 N U I 0 5 S W I Y T C f B M l E Y 5 3 d H t M O E K T 4 A n Y j J O t b F a D 0 + n D 9 9 d f D Z r f j q a e e V H l 3 b a 1 t 6 O / r Y 2 f c g R N P P B F 1 D X X 4 5 n e + h Y c f f k j V x 9 u 6 d Q t + f v P P 1 L n y v e T s f e l L X 8 K p p 5 6 q 0 o w k T 0 + + E + 0 i C A S C W L V q l S q M G Y 9 F c d N N N + m / P V k x 8 p e / r P 1 W i l N q T J b G 0 i X t 2 L R x E z x O s 2 K E j s 7 D / H 2 T K r C 5 Y v l y J e E l 4 6 J 9 S Z v q T P n 8 4 I P 3 Y 8 2 x x y j t p Q Z C 7 5 R / B J o w k S Q m I S D e h 6 J L e L 6 u M k 9 O K c T / 5 w Z E v / g V v p v b 3 7 l w W f I z D 9 T c U x F I L Q N B r j Z b F G J D p B w t g G G V b A j y Q s O D d 8 F e Y s f U a + v h + E k G F a 1 f R i K S g C / + C r z B 5 + B N x R S z y V P G G q 7 B 1 E w Q g a g J b m o m S f c S 0 z u 2 u h 2 D o T c R j 5 d i z s y S t Q Q Z e z V M 9 h r U + U 5 H a 8 N S X H b e W q w 9 r g x D l i C m 4 i H Y 6 Y O l v v h v W H u P H V U 3 u 7 H 6 2 k 2 4 + k r N v J M n l M d 0 N b x L f T a C O / v 2 H y T 9 h C i 0 p B S 1 L N O h j 7 Z n L 5 V A j E K 3 m 3 / j q F l Z j n 1 7 D m H T G 9 t U 5 e D x c H F T T i D y v 7 A 7 y 5 Z Y V f 0 9 a Y S 3 N H 9 s J O I s n o P w q 6 y Z E p g P b X k N e 9 Y / i / H + b o 3 G a G t + / B M f x e l n n I b r P n y d I v S + n j 7 8 9 r e / J V E + g B u + c Q N + 8 t O f q o E U L T D Q 3 4 t N m z b i v e 9 9 D 8 4 4 4 3 S c c s r J + P v f H 8 K 6 d S / j 4 o s v x p 1 3 3 a n O / e l P f 4 I / / e l P 6 v 3 A 4 B A f b p K D R J P D 4 V D E f + W V V 2 H L l m 3 8 7 d 9 n f / v H O 7 O / l f 2 j N C 4 w 0 z w L q 2 z z 9 3 / w Y 2 p / q r T s f 0 B i l i R Z 6 Q / J Q B d c 8 8 5 3 4 W t f + 0 / 1 w L + 7 7 X f 4 6 n / 8 J y 6 5 9 F J 1 T W 2 Y 3 h 4 M y 1 P V N h d N T J E l E T Q t a p e B g z Y 6 k l o u 3 I F D n R g e G c M z H / 8 4 b n 7 n N X h j 4 x b s f P M t j I 5 q S 8 a L Y W I y J 6 h R J L l 2 N L J X a W s T m U 2 C L I u C S H U J 6 z v q + V f r n / 5 7 7 1 O 9 Y K n S 7 t H 5 w x v Z l 3 w W y Z V 0 2 R A t u x T R y n f A R 7 9 K s k 5 i K Z r I f K 7 G m f s x c c + v 4 Q 9 F 0 R W X 2 u w D 6 H j v d b j n 1 y / g m Q s v o U m U w e 9 P O A n 7 D n Q q z f H a + o 3 4 3 R 1 / V N W b 7 r z 7 T z j c 3 Y d H n 9 m I c T 7 n v a e / G 3 8 + 4 z 0 q O T h K b S j m u P S h 1 E m f J u M + f 8 e p K H e F M T E 1 j c 3 9 J + D P 9 / 8 V G 9 7 Y r N q 7 e t V y + H x u N J c F K f Q l u J D B s c u X w s Y B b 2 t s g I P W l N s y j V X H L M P p Z 5 6 M V L c N l e V z s 8 9 z o S u z O Z j p S q F / e q 7 f b Z h / H o c 2 E O b l p 5 6 H Y 8 + 5 H F V N b Z o k S J s R C c X x 1 e v / E y + / v E 5 p l E c f f 1 T 5 F s 8 9 9 7 x a b v H e 9 7 5 X / V i D t j e S q u V A i N k Y D I b w x B O a R j v r r H N I w K Q L a j n Z Z V 4 y 0 B N x U Z E m 2 t 9 S d 4 C q M 6 F t Q B 2 l h p L r G 7 8 9 5 5 y z F d 3 b J O y u h p o d T W L w u W i + f f 1 r + O T H P 4 w r 3 n G Z q i c u t C x V Z u U 6 s j b q l l t u U U t G P k + p t 3 3 7 V u z Z s w 8 3 0 C w c H R 3 F s 8 8 + o 5 h B N E w x C M O I / 6 f + i i 9 Y Y D T r l m d R q P G Q 6 J N u e q z k A N f V S v 3 y K / B f 1 3 8 S Z 1 J Q n b B W 6 u s Z E b 6 5 b a i s 4 G 8 p c U 3 R f o 5 Y j v O t o 8 Z G p p C w N p k t m J A 7 a t d I S E 2 7 Q v D 3 3 s u v 5 B v 6 H H p O X F T m 4 N I x 9 N / / g E o L M q j I L i l g 6 l 0 W U 1 u 3 U Q u l Y K m j d f K b 2 + G i d k j x 3 t X f + z 8 c N z m O d q c J D X X l u O L y S / H 1 / / 4 q K q V a M K / 3 3 V / 9 D M e 0 2 m C n C D / 3 n D P w r 5 / 5 p B q j T 3 z s I 1 h C P + b 8 k 2 l e U y v K 7 h z f P r g Z v / z 5 m 2 i x J i G V g G u f I 6 P b q p V / Y + M 4 x c i 0 B 6 b P Q M e h D t R U V f C a u s m m S 7 a M W y s 6 I z D r K W q z M L Y A 4 r k n v n M F n y W N 4 J Q + x X A U K F 1 i Q b 0 7 O x a S S C 0 w z L / 2 C q 0 t c 2 w T I Z Z f / P I X q C e H n 0 k H 9 L H H H s O / f O A D e P / 7 P 4 C 7 7 r p L 1 R U 3 H P k 7 7 r g D J 9 C s O + W U U 1 S Z L 0 l 5 f 5 1 m 3 + W X X 6 6 C G b f d d h v c L t l a U Y Z J u 7 P 4 K 7 I M Q z Y p E 1 U t N c Y v u + w y E v m z O O f s s 3 H F F V e o 3 8 n L 5 S A R y M + U x j U j S c 5 M 0 g H d v u s A f v / H u / H T m 9 j O u k a c e P w a j E 9 M 4 o Q T T s A U / S m L K a U q x D 7 2 2 O N o r G 9 h e x N q i 9 K b b 7 5 Z L T 8 5 8 / Q z t L H g t b U x m c s w a i 8 o + a t r I C 3 D r z g D 5 k J M v 3 l R t O h k / v k i X N Q x + i W S I q M t n e B H m m r y U t B 3 k A h P R O B V t K V d w 5 a z 6 F I D + 4 t a p J P j F Z f i o 0 R v 6 H U E J X O d f o Q z M p P 3 R G X 8 F J M a i t E + q q N B 1 T m 7 a a q G q Y F M b v q b a y X r 2 4 x Y / X t R S v / E Q d 9 Z t I H J W Q J 3 9 2 + Q 4 F j K N K t x z Y w z J 4 Q d G y E j Z H 3 N z t e / B 8 / Q d 1 A 6 8 F 3 e J k l a E P N J a / 9 k S l v i v v H + S 7 C 0 2 Q N v i R P v / d S t + N y / f Z p + + s U 4 9 Z Q T e H G O R 4 F k 6 w 1 t R I q a z o B F z + B X i G t 9 J 9 V q v e U e + M e P l L 0 y F 2 a p t K R D L W 0 p g t l M C Y f T p Z a I G 4 7 / k b B t 2 1 b F V K e e d r J + J A t a 1 f q 7 Y p D b c R D U X B K 9 j w z f 6 + 3 U v u F f a g U t M p 5 9 A I G q L W 5 O k 2 F y g g C q 9 U l e w 0 r / K K 7 C 5 g L R Z F L P T p g h G U v C O p u n Z 9 x F g 7 h U O Z e D S Y I C J K S 0 N W t q q V 3 C k 0 G k z B W Q F a k L I 4 P A j O b f F E W R 7 I R c S B B I / N f F w N 9 p g a U p T X O D / V W w I Z u B 4 N 6 9 C P z b F 1 B f k N U t G e y h y / 9 D M e H y d R I J T a H r A p p 3 V 7 4 D V V / / L + 0 k 4 o 3 z L o S z o x P O J U v V G i f l L 0 0 H M H b N N S T g E O p s M V Q / / T B 8 5 U t U j l 5 D I o a 6 X / 0 S L g r a Q k g f Z q x e J W C 3 / O 1 s V H v j i C / 7 C p K 7 x 5 H 4 2 Y O o s 7 h Q l 7 N o 8 f X 7 L k R T d R r e 5 m t R s f p 6 H s k f O 2 O 1 g Y F Z Z u K Y W 2 b H S Q R h j t 7 Q B 1 x 2 h 7 S 7 p P R B P o 0 J Z A 1 Z J D W J e l d 2 Q z k D U 4 c i K F / u w q F R E 5 Z X S R S Q E l k 1 i y Y 4 / d r Z O 0 k I P E m C T S W i S C U l 3 M s X J U d S / U 2 o N U z j Y 2 P q m H w n Q Y K T T j q J 6 j h M t R 1 G d 1 c v / w b 5 C m m / l b 9 8 D f T 3 q x W 6 E p L u 7 u 5 W j q G s 6 B 0 a G V f 7 J a W T g d n 7 p f m S n T d k a 1 A p O i K q 3 v h O X v E g G 0 8 z T S Y z U 7 E A T c Q Q p s P a b h j y f S Q 2 Q 2 d 5 R L 2 X c G 5 0 O q a u B z J h 9 j p a + 4 1 X M h X P + x y c 6 s V 0 P 5 3 r m e n Z Y 3 j p d a S f 3 Y T x 9 e u 1 Y / E A I r 2 D W t / M e X H A d P 8 p D x Q + / M E s M x n a R v w 9 z a e D C t 0 v h p l k M a D A X h W B S 0 / k V M y k q V s N + j z N w J / v l 9 q u v F F O e S 3 C F D + f f e S F + R 3 v R i J j R 7 h v h O 1 I o f K r + d u E V r B t j m X L s e q l Z x U z S T D i z a 9 + j b 9 J I u H x I G U r U c w k z 2 B R z 2 d B V e U b + q / z I c w k 2 P r g R a i y 9 p P u Z b K 1 G a F f P I 7 K B I W 5 f K k z 0 x s P X q 1 F 9 k i i i p m E E X T f L 6 z M X I L M p J W C J n S X Q 7 S S w U z K Z M 5 l J g G Z S Z a t O N w O H N q g V Z Q q h K w h K 2 Q m S d s S m O s z m O l M Y 3 k N W y v M L F a B a F a + z 0 j G i q G h i k G c R i E Q Y b Y S O q q y c G 7 b 9 h 2 4 6 I J z 0 T t 8 S F U W c j r t i I a T k J 0 l y + 3 z 7 1 5 h V C 5 V k G R R N k I 5 1 v w 3 d T C O S P 0 w G r w 0 E X I E h q T U i 4 0 q R U C t Z I q x n c / T b K A 0 t j m p s k d Q 0 7 w U j c v W w E p V P N z V h Z B / E u 1 r T k X 3 3 u 2 Y H O z H q p M u R Z o S y F e t S c X 5 k L d s n o Q / R M e 6 k 7 8 7 5 x X J H g C G L 7 4 M y X 3 7 M b p 0 C U 5 6 b R 3 M v L b r X z 6 K 0 G v 5 U l 9 c L W m v i U z i u f g S B F 9 7 V Y X B J X L n v P r d 7 O x p R N b n / 8 Z F H z O y f h 1 / a M W h 4 U 2 o 9 i x H m U 8 r n p i F D F F O x x C y 0 Z q n N q v p x i O H E E t N o 8 m 5 H K q m P B l 3 Z O Y Q D l / 7 G V T T T 1 l W s C x H k F v M Z N M X r k f F 7 p 3 a S t v k D E a j F a h w y 9 6 x 6 u s 8 p P z T m A j R X P / A V T C n A l j 2 O v 0 s + l / d l 1 6 h v l + i a 0 P b 4 K 0 Y r L g A 1 c 7 8 2 v i b H 7 g Q l b Y O V V m q p P V 6 H P z S Y 2 i g V V L 9 y 5 v g O P U U X t u M 3 Q + d i d Y a O 7 y N l 6 H 6 u P 8 h L 4 1 h M H 4 Y L v N a V F i D G E z 2 o t F 9 k r q e h M J T 1 m q V L Z L F 3 D 4 z I I G R V a t W a o K Y l r C n S q Z P H D h m 1 Q L L R I R m 9 e j i S M A M + 2 A U 5 S s L / D V i D k N J o U A J c S 4 E y e a e l K q e B T C T a N M y m 0 5 p V W a p o b A S D s 5 K 3 G L X H j 8 Y Q b B 2 A G 3 F 8 0 / m I B 5 M I D x k Q t l y K 3 o m r R y U D B o 8 Q Q T 6 P H D W J m B z Z T t 1 3 6 s d O O Y 0 F 2 1 5 r W 6 A A S l o M p 3 o o x R a q z 5 P H 0 q r P Y r I d U i k o h i + 6 E q 1 l P t 0 n T B S 1 K i D p 5 y B Y f o R p 3 Y c U M e K Y T Y V i t e J 7 9 8 M + 2 q t v k M 2 R W o u w g P r 4 W 4 8 h 8 y Y R F 9 4 I x n S i k C / G 8 e s 0 F e p F l k 6 I J O t 6 1 / Z h M q a c l X J 9 9 3 X v k t Z F m U V V R g Z 7 K P 0 L U F 5 W Q n + 8 s D f c N K v f o F Y N I H y R x 9 G U 6 O 2 3 L 4 Q o i 0 P / v I + W D q 7 M f m N 2 3 F S U 1 w J h v l g o j + U c d R i P 8 3 B t t / d C n e L C 6 + 9 5 3 O o o 6 9 W / q U v o O L 9 2 p S I w B I 8 i K T X W G R q Q s c b P 4 B 5 9 E 6 a 5 g k 4 S p a i 9 z t m N E m 8 m 1 T Y o A u o X S 9 8 F e b I 6 3 B b n V j y D u 3 Y W G S / q s c h D S u x N q H C K d n n O U y j J 7 w e D W S F g v j y P T v 6 0 X 5 S C / q C m 5 S W F i G v F Y l Z G M G J K O I u N w V P V l h r w 5 z S 0 l k E x Z h p a j r f J 5 i K a v W x C y H M p P 0 1 Y T J N E 6 N g p W X h t Q P D M 6 h a 4 V o U M 6 V i K W V W d I V d c L Z b s a + P T D W R w v i o 7 N b g g q + N H h O Z y R T c r c 7 f 8 c h + r D 5 v 2 R x m E k g d Q o O Z J I I l z J S W X B u 2 2 2 a V T Z G t W h 6 a D k t D g 3 q m V D i C G M 3 e k e B c P 7 O L z J 2 i m c k m q u s Y z C Q Y 1 k 0 0 g f q e k I W B g j o q 9 R K H p j 1 U 4 R D + m 2 U m Q Q E z C S Q d 6 M y z T 0 Z z b Q s + 9 o G L U e L z o K y 8 A j 0 z G 1 B H b e z w l G I w 0 I 8 z L j 8 B c d 7 Q 5 f P N M p N I / 8 M T V h W l 6 p O U p d B + Z a o s / 6 / / x J L f / R q n N C / M T L y 7 Y i b B K g q c z L L V s E + + r H Z 8 l / H J Z S Y h 9 o C 1 H X v 3 7 K P p H c X 4 x A x 6 9 j y m o r x a 5 N T M v 5 I M T P P 1 o u w q 7 e n B 7 R w j J 1 y V m g Y S E 7 r a t Q p t J e e g z X s 2 S i 3 G m O o N F d M u l 5 l y 6 L k Q f 3 3 o E a z f s A n b d u x C F 9 2 U 5 5 5 7 G Q + 9 / D D 6 + o f w 3 A M H s f u 1 A H z 2 Q p r R B 6 0 A q W n H L D P J u P Z N s z 8 X M v k M j I y O o l Z f C C Z a Z j y T X d N v J U c n i w Q y h M s r H N l w p o L u E K r O Z F 8 U z Q j Q W z P d 6 4 c l X c G P t F 2 p 4 k u a t A 7 L l f Z y q t r R w 2 R H B 4 m k p Y x t 4 e m H X x j B m i v 1 6 U W 5 p z i m y Z D K o D 4 8 q S 3 R a C 5 L 5 m m N + F Q 3 b G U t b J M Z C a l h 8 c E P Y 3 L t W p x y y y / U 9 / 1 n n o N k T y 8 G 1 h y L s 6 U 8 F g k y N 9 K T t 6 R d h 9 j w E q n b R X d p V T W d Y G v W g T b Q s + E z Z F Y H 2 s / S d g S U 2 X 3 R U g t B C i r 6 J / l 8 F R Q k D u 2 e M p j N f H 4 F t W x c z J G c B 1 w A 3 f 4 O a g y T M r k l g 0 S h G F N J C F + P O g r E U p F p E h n O w + e c S V P T O V u c x Y C k p I m 5 L c w m g a K N D 1 5 G c + 8 w P O X L M P n X Y 1 C 6 R 6 s t 4 r 3 3 C Z S 1 e t C / 9 2 + Y O f Q b m v b A 8 i v z r 2 V g v i R s U 1 S q G J H Z 2 X 9 D 4 V 2 o d + c I p g U w M t i L S G g G b U u X Y c c T Q z j x m g L X R f y n I j Q u K K y W N E + P 5 x N G b S W l p O 6 U i Z a R P C 4 D / p A + i D m Q T p 7 D T M R M p 3 Y 7 F Y a e h 5 l k L Y q g r I X O b l s S J W 2 Z W W Y S h E m 4 x r R Q h D 6 A N b h f v V 9 W m V T L F l z p P q y 4 M G f y T j q C D B c g c w q z L P N R v V f k M 5 P A 7 n U h I U U P C B s 1 k r y b e v N N 9 V l g F i 3 F v + m o 1 r 4 A J X I u c p l J 8 r 4 E K u x N l L g 6 M R j s Z 7 s 1 a Z a L 1 r P v m G U m Q S g U w e T U F G Q n d M k i K Y Q 4 4 W M 9 d f B J W g z v E 4 g B Q w E T a r y 8 N v 2 Z L O Y Z W h 2 9 4 e y u h W 0 l y + C g T y u 1 y 2 e R T w I K k e h B / Z 0 2 5 y X j L H j j m n c h T W a q + a q 2 i D A X M i 9 o B F 3 e e P A q u g K H y Q w y b 5 l B g M w k 3 5 j o n 3 u q N W H T s e U 3 t B L Y e n u F N s 6 J S V X H Q b + E Q s L Y O E G H F F z x R 6 n t x B o h n S Z S Y Y 2 Z p L + l D t 8 R U N v Q g r b 2 Z t 7 U h a e C N X j h z Q y e 2 Z Y z V v M w k 6 C w 9 F j x X i / o z H C c P 9 I v G k 3 T I Y 1 J 1 o I G t 3 e u Y 5 b K S Y q K + e O I T G j R m d K 2 u d n O g n F 9 o P x d m Y K F X Y U g c z m 1 X C r Z Q 1 U 6 O e k 7 T v 9 O w 9 7 n P S o c a k S 1 T D E t S V J q 8 c n A D M X Y 6 c k i y y s s p W p J u X 8 g r K 6 7 7 M X n c O l P f g T P B 7 U d E m t + d b N i K H N / H z I H D 6 H 5 0 o s x 1 L k P 3 b u 3 Y M / 6 Z 3 B 4 Z z a y J X l f P c E N a s v P X P T O d K m / s z W z O f j i 4 O Z C i n p W l J e r K k 7 a d k A 5 y C Q w 2 V d C M 9 m O O D W k E J y P d F j v y 8 B q o i b W t 8 3 J W d A 6 L 5 r d Z 6 I n v J 4 9 q o 2 V T x a Y q n f z w + X O L u e X c P t 4 T H u + 2 L Q 2 p 1 P 2 j o v Z x g L i y U G G 2 l e + N Z F w w 1 u W o F x f y V x 5 / 3 2 w O i 2 Y e u U 1 V M o h K s K l l z y k m Z 6 2 C i U o c + W v z I D k 3 k W m D U q s 4 p Z Q Y y Z l x x N 9 P k 5 c k N x q s X K / x N w M F V n y Y 8 w R 3 n C d D 8 2 V J n j D Y 6 S X + R k p F z P d W e F q V s S l b / M h 4 U Q F c f 5 y 4 H a 5 l J o V O M 1 l N L s 0 K T 0 f 9 M R z + H t n 6 H j a a Q s L g Y + o R q u N 3 A p g 7 d O 0 W U l 7 w Z D m p u g r Z L 8 X 0 8 + b m W S b a U / p G Q I S h V x 1 h U Z U U r R D S u N C L 6 c l S Y 0 y M H U + U p s + M Z o H 3 d 8 r a X I j z e u E / S m 4 H n k U p s E h W j o J W B v J i H Y 7 p T S F w 9 I l i G x 4 F b V t K 9 C 8 Y i 3 a j z 8 b S 0 7 Q n F j x p Q S t t P W r 8 r b Z p C Y o W 4 r J M L v c I H g K q W J 1 x G c R 1 2 r K S z h d o q S x U A a W e o 4 F q a l j 3 I T W 8 i z n S P a 0 a G y B z a Y 9 y 5 D O r D J Z L H O G w j x S r 0 / Q F 3 5 D r S g W T R V L B 1 U k U v X X f C g i 6 a s c 2 v M 1 8 r a S d K L V q J M 5 s b k C q 2 / X X S i 3 9 2 k R W 3 c j x p 8 6 D L e 1 h C O a g N P j w e T B E D q + + S 1 U / x U o v 1 9 f h U t N M x / U k 6 r v d d Z S m S k U s r k M V A j e L 2 H 4 p B L s 0 a H M X C P 8 z u u t p G F x z r m 1 G N 7 X q x 9 b G K V t L g T 6 N T f I r I h L X 9 o + 2 5 g i j n C u z e o u k l + W C 0 u v Z o O W t B i Z A R x 4 u 7 6 c 2 Z V v C o b H Y i h b z l 7 O F T k C Z b f m m i B Z 4 h E h W O 1 J w x L q Y Z v Z + Z R 8 M s m 3 / 9 k A r E Y 9 O U L 2 m t X m Z 4 Q x d c I N a 9 q w n 6 c N R n f w W j x e M G 8 k 2 / F 7 K p 0 Y / s Q P I G d v p j + l j j c 1 q m X e b 3 z y X 8 k L d E D Z J z I X F Y u G E K K Z J h B z s h D C S P I S i P Z q 1 d N U F o I p Q U F h 1 0 x G j 5 v m X b 8 X D l o D t E w R j C Z w T J 0 8 j 1 A x r 0 U B J x u T m W Q D J g M 8 X u + T l c + 8 F i W 1 W o 0 s w 6 0 L m F r 7 2 S i 3 t a H e u R Y O f U d 1 Y 5 1 Z U R S p / m N g J f 2 m 1 X q E L p i U 4 p 3 l 8 I 7 9 R n 0 2 0 L v 7 L q R T F E Y y k Z 9 u k L 1 N 1 J A 3 U S s J 0 h M z E K q T Y 9 X U W A q G p i k K n q m + z w r Z W e i a r x h m s 0 k K a F z 8 u 0 K 0 r G l E P B x D 3 2 7 N s p B 7 m q K 0 e E h r k k c p 7 1 P i V 5 I g X Z W a W 1 L c 5 F u g Q Q K f p Y 4 S s Y g 6 7 N Z i Y 6 m W w x x A K 3 r 3 b k P n m 5 s w 3 s d G k H A l 7 W N i s A v 7 N 7 2 I k Z 4 D G D y 4 F z 0 d r 6 p s 9 j n I v b 5 o R P 2 z s q v 1 P r R F 9 / M R e Y C S J z C d w L F X y U 7 p O c y u / y a R z j r o s k x d 0 E S B 1 u A 8 U R G b k X d X i N J V V j U p G u r X p J f j 2 G P V g E e 6 N C 2 7 d 8 S G q V Q J L a 0 G O t l F t B 6 h 2 p s D M W P y t k k p Y G Z l M Z E Z M p K v p y P Q 4 0 Z p u 8 Y I B 4 Y S 9 M l s u i n L i 8 k z 6 t r V 6 X R w g N P w T 9 D c T W n X l e k 1 K 9 W C a C j J w j A Q j C Q Q S c 3 A b t Y 1 O q G l V 8 2 D B Y k 7 C 6 9 s m E 0 E q 7 + A W J I m / N A t F G K H U O b V 6 s T b S 5 a g 5 4 e D k B 6 X s X v o k c c x P j m D N 7 9 4 L S z 0 G w f o N z 7 z 7 I s 4 e K g L o 2 N F M k 7 i x l q q I o x k Q M 0 X F X T 8 E R C i K B Z X J t e d E Y S s Q 6 h a l s T 2 p w 7 S Q k j Q T 2 u F b C 0 k e Z T y X m 1 W R 3 s 0 m o o h M p m Y P 8 o n z q + m s Y o 3 X A r T i / N n 7 m l C u l U z T X J h D p a i v F I L k w d o l v m E a H V N K O W a g o M B X Y P J I P I e l F x H Q j B O 2 z b H + T e p y J 3 G I G + 9 8 h b W n D + 3 f r d A i F r Z 4 / M h y Y G z V v C Z p T B 9 / l z N 4 f O 0 e g v V 9 z 8 G C 9 m r + 5 S 1 C N X W 4 N Q d W y F b + B t R t o U g 5 q n c f 9 4 2 S J g 3 V w P o l 5 w 6 S L O z L g U n z e b x k B k O S x o + j X c w E + V J G b P y H + a b 4 8 q F h M q X V O Z r z + l E L 8 p s L Q i H I 3 C 7 O T Z C r L n p S 0 Z 7 C 4 8 f J d 6 4 c y 3 b P Q U 7 F a C j b D n 6 v 5 9 W 5 Z p b n n 6 C 5 o 6 D o s 6 C r e d d h F r e r + 6 l F + E Y 2 4 B M 2 R J a M 4 X h 6 0 V A 3 J V c o X o E B J O j K s 9 R 5 p 8 s I s h E r I i Q z c F U s A z R u B 1 r 6 k u w + 6 l B H H s 5 F Q q V g 4 G B g S F V w V h S 4 + Y d i o w y 0 e Z S Q K A v p W r C 2 f y V i l J z m U m y w Q P T m t 1 r M B N i A 2 S m C p 4 r W 4 p M Y v p g n E L V h J J G M e d I F K I N d W a S O R K J 4 h l R s k I I M w 3 q f o E 5 1 D v L T A M H B v K Y a V T m i R L Z V J u h Q I 5 G y P U P j e x s P f + v k J k E 3 v e + R 2 k p d 6 U D 7 o Z y p N m R I y O j m D l M B 3 t E T B j t v E J I 4 U k D Q v D F m E k Y T T C T 0 G b g F e J j C A x F V P 5 h + Q q L Y i Z B F U 1 c g 5 k E p U 4 T S l 2 L Y y Z B W x F T V J h J E D d 5 1 G O Y x J c u E o n 8 R 5 h J k O T 4 y / V t n i b 0 / 9 i i m E l g p u 8 k U w Q b z r 8 I V V T N 1 i V L I N W y 0 v X n K m a y z B y E b f x V / W x C p R I d A Y Z J J 5 j 1 i + Z H L O V X z C S w 0 X X I Z S a 7 n u l f 7 p 1 G f c U o t V c n j r u y Q T H T z o d 7 V F x h m K 6 T M J N A j h c d j l Q s p t Z / + A / H k Y 5 P Q u q g T X d q T p y v 2 Q K b 2 4 K w p 2 8 O l c j y Y F + Z 9 k A Z 2 X 1 c I L s b s L P 8 / S V I 0 1 / z t E 3 T 1 v c j F J Z t H f n 7 H H O r k k T j J t O I n 6 G h C L X q z J d h x / c H t c j a 6 P 5 s 8 E L y v G q 8 7 C B b N T W o f m 7 u Z W w U B A b R G J 2 v M 5 R C w a R g z V e + p A q K S I 6 Y t + d m W F r b l B + V q b d T w 4 q 6 5 z h P R 5 U 2 k d W t R i m A O s c q 9 V c Q 6 E v Q b I s i 5 o 8 h F U + o I I f A Y I Z S p 9 4 e D q x / t B S + e h f M F O c b e + 1 q j s h 4 y W N E 0 9 k 5 w P n Q N a k L k J w g w 3 z a c X B 4 R P W 3 f J 2 x l H C s k 3 q d d N 5 N b i h l y I 4 E P Q S n z O c C 9 O / 9 K 0 r N n d q z 0 l Q y h w b V Z e t + e b P 6 X i C f k 5 R N 9 X f 9 Q X 2 W A I w g V b o C i a r z S F g J W I N 7 Y a X w t U 5 v h m f w d z B H y C x F / J 4 8 0 1 S U g l E N q g i U u 6 B j z 9 Y R + K M + m m 0 u x A M 0 q c n o 8 Z w 5 N 4 f 4 f z x f m E p e z V d S o N J B 3 b v 5 N f T 1 D y s f t a d 3 A J a v / / f X v h O d j i M 0 Y I E 5 3 c X 2 l M J s t c F Z T h O j n I 4 s n T f h P G c 5 B 1 0 5 r R l M x u e m H Q m M 0 K Z o q m Q q o j b I m j 6 U g b P K R l W v z T 1 Z L B 6 a V h O U V h r B m Z I T W c K e g y w V d E 5 Y O P B a 2 F w x h L U U J f q u E 4 M H B 9 G w U r P d 9 9 C v q f O J N O a 9 9 P F V v y E C 0 Q 4 4 r J W 8 P 4 W B D L 4 k N w p E M s t E q N x O N J u e s 2 X A 0 3 0 L E m W n Y 2 e y A o k D U 4 h O D O H w 6 u V 4 Y + N W W K y 0 v f 3 T a F 1 d g 1 t u v U 1 l 7 X d 0 9 m D P 3 o O Q n V Q G / N V o a j R h x 4 w b 9 Z V m h L q C c F D b S U B D 6 v D l L Q O g 6 R k e d a E / Q 2 Z l m y W K V + a o U C 9 T 0 g m n 3 a Z V h Z X o F t s r J m e x Y r f l 7 C e F n N 3 n h 6 n Z Z W N l A 7 I O q a N 7 A O 0 t 2 b p 2 O 3 Y f Z P u d G O g f R U 1 5 L f r C m 3 n v J v a L R l i b t 2 7 H X X f d C 7 v D h V 2 7 3 8 L D 9 H / O O f s s J U T + f P + D G B k d Z 3 / Y 1 b K c + / 7 8 F 7 V g 1 D z 6 B z j N N P f c l Z h 5 r B r V U 1 a Y y T D h L / 4 n B Y k D r 1 5 w M R o p 8 U w V t S i / 7 v 3 q P r l M o Z a s 2 0 q R t l d r L 2 c j E r 5 T 6 G N 6 4 e 6 4 F o 6 p e x G v + I h 2 s v i j 0 t Z M k k I 7 D P f A v X Q o f J T B f O 4 i 2 3 l O k j E E s n 1 p f Q 2 v m 0 j D K i a 0 z Y x Y w A 6 r F N z Q k d I F Z a W t G W 4 K a z e 1 r v D F 0 u X t e P C + h 1 B e V Y F Y n N b X Y j I l T D T b Z B + d c G p c r d h c C I W Z E 1 U U P R n P M d o H k S h q B t 8 A b y 0 b A Y t J W B R p N R c g 4 e 4 3 h 2 x Y S h 9 A V n Q m Q S l C n m k h w Z l i / d j 2 0 j h O e s f c V H t 1 f Z 0 p R 4 N m b f I z D y K j 0 s i E D 5 K n V x u n K o l o Z A R 4 L 7 y E A 5 X E n i f + g l C 0 G c f U 5 p t O M h 9 k J 1 O E q B m l Q M l i 4 D 9 s h a 2 F / l E u M 1 E z m p I B 2 v P V q r y Z z C W J 6 S o Z G f L c G T q 9 k h s p Z k a G f W q x 5 9 h / h M z L l c 9 q 9 i M j Q p N y / / 5 9 F H B m t W 3 Q s p V r s G Z 5 N Z I Z C o T D X W r v r o 9 9 5 E O z f a I y H X I n g x Y B m X d 6 4 7 5 z U G o b h K N 0 K Y Z u 1 L a 6 c a x e h a Z f f p 9 O f R V e o Y 8 q x 6 r v e w q l z e L H U a C R c W Z p Q 9 9 l v R C j h 5 / D x F s 3 4 l T K 5 d D S x 6 h d K T z E d M s N Z u X A N v I K U r 4 l S L u 1 t V a F w Y c 5 4 O 3 H R 4 K o L W m j / x S D r S x A L e v k s z T B T C a X S r z S J / J 6 e i u w d r k L P c M c o y M x l G w M n L F p N n S x R i Q j V o w M B N C 0 X N u + X j o 9 k 3 D A 5 q A G 6 G 4 A t b Y 6 b s 5 E y E 8 0 p 1 R n E T I 2 o k Z z z S 0 D q m P M S v U P R u t Q 7 0 v N p v q Y g 7 1 I S 1 a 6 j h j N u k P r d 2 d 9 K J m 4 E 7 M u B x J V a y z V 7 G S F Q s d V M g z M L h L 0 G J + 1 m h J L 9 s B 1 w T H x G k z v + g p C c O P w T + / G q n O 1 0 P c o f b I a m c / S I b P 0 J Y b Z l g N h i m L V y i R N S R j A O 5 p E 2 X I T e m m i N Z c E M b E / j c p j q c H 1 8 w Q S i J H y g d Y M f U 1 d 4 / S H t q H B f f L 8 Q Y 4 c y N x S f 6 Q 5 7 / l l Q + Y S f c l 2 H m i K g 2 a f I B A M w e t x Y z I x d 9 5 Q 5 m 2 k S t a R s O 7 u C 5 W 5 Z 2 P 7 a 9 q / h 6 n / u l u t l F t K E 9 q U k M 0 Q H O i 9 / D L S j B m r X n u R b k U I Z U u z W T E a S F N S i 1 0 C Z D n T K B s / f i E a t N k M t F x a P E W p O D J w d / 8 C f f X v 1 D / n I z c L q B C S g 2 i z 6 1 a N K J Y c d 0 U E / / j M A k E J A 8 J M M l c z H 0 d P j c X R 3 N y G x x 9 4 H c N d c T z x 4 E Z V O f Y 3 P / s T D v m 3 4 3 e / + y N N o G 7 8 9 v b 7 8 L P f / B n 7 D 3 b g u 9 + / E W / t P a A N Y B 5 k k M n f S s q Q M U n 0 l e 4 0 n f d s 3 p w p k Z 9 t 4 a D 2 W n q M m A g i 0 S j d c p l J v / 4 s s U s 0 T 8 7 L Y S Z J 6 t D y A a 0 c N D q X / D s y Q X O V P l O w 7 C y 8 d s z J 6 K H P s + / z 7 8 O m L d v x y K N P 5 D G T o D A 0 b m C 7 V j x o D i R N q Y k E X r q M H E G t V B a h d r K 6 U H W s C 4 l g g p I 9 e 0 E J x M j S l V z z r c m 5 o i g z p f R a G r n I W E r z h Q l R l J k E Z K Z g S P M 5 h J n m 1 0 h H J B s N / L m 4 v P a S p d j 3 3 / e o 6 r L G e i c x 2 T z 0 x V c / f q d i J g 1 z c x 3 l I m q X Q T K T k R T w 5 r v e A z e 9 D s e P g O u c 5 + K c b d / j B e c + e 3 G Y Z p n J G R 5 G y 8 j j 6 r 2 g e W y d U M e 8 M J h p b I x C W 5 h J 5 Y l q s F t S a K g g 8 8 + r o X J C p Y s x 9 a S u R O 7 + t B n a 9 1 X s S E F / 4 A 1 l Q j W b q 9 i R Q v B y S 7 6 U U 8 n f i H k l P Z + J s d X 5 G e k y + y + b V X v t a U W 4 9 r E N S N Z k t 3 U x E J j w w 1 d J 6 a r m 0 G g K s o P V g + m b m k n R D 9 E + C u K D U S r 6 2 c Y S w 6 / I N p 3 f p 2 A J d t J E W K H M l k P L j k G H w 4 F 3 7 N 1 N I t P P K Q C V 8 J z v N n Y 7 c E a b 1 M + Y H w d G r V h Z o w 2 M i a Z m h n 2 R k P k O C q U I t X K x n T C K I Z e Z L M X m 9 Y q g c z K E S u 8 4 v N Y 6 M q 1 O z B J M 0 u e S p D x B y p 2 f N S O w 0 f S R L I t o J A S n q 1 C j a O i 7 7 X Y k v / c D m H m p 2 A 9 X Y u g n S b U 8 X p J n + + m b N b l P 0 0 4 U 8 L m j K T v 9 w f Q C T K y D / v f W S 9 6 n 9 p Z 6 3 / 8 7 V h o D V F j x 4 9 M + g 3 N q 8 9 d d 5 U P 6 0 Y R I c D f C t v x J 3 V y 0 T L 6 M q c q P q R o o C y G Z T K n 5 P Q W V j K y Z 4 M V F T V J M s 2 y o 9 E j M J B B m s u j p S Q L z o G a r S m p T v e d k N H n o S D p 5 z O p D W m 4 u u V N C 4 K I t K E W j s k 9 4 D j N 1 T k j H Z u C i X 9 I 9 q W U 0 C 7 8 m J a V f T M I C d K 7 X t Z 2 1 B O O x S q S s U p e d 9 9 H T p G a Z S a B H o x Q z 5 U g Z g b v n 1 + i Y c C h m E k g G Q v y C K 7 D 8 3 V e R 4 A s i R s K Y J I b D E 5 Z Z Z p K Q v + T n 7 R + 1 H Z G Z B M J M 4 h 8 J h J k m o h 0 Y T z o R H Q q j z G 2 i c z 0 5 G 1 4 3 o m j R 1 N x h s 5 A B t d f i m E n g c h / E T L I v m 2 E u E G a S 5 4 o P o a y M U p i E X g j Z N k c s l v m Y S T D 4 5 7 + o B G O b v R E T f y i D B J Y N 0 S D M N B D Z S k H J 5 2 b / 2 8 Y 3 I d o f w n n 3 f 1 V p m 3 N F 4 8 y D z W S m W l 6 J 7 i x / y y u W U B A k L U d g J o E 2 Q A s x k 6 C 3 4 k K 4 4 k d O O T K Y K a 5 W h D u R D G n m y O z I y J 4 6 s 2 o z J y J y R O c t B 1 I 9 V G C L J O F a G d J + a y 3 X Z p O l O 3 W H 0 Z w T m J D S v Q J l 0 u k 5 h Y K l l d L 9 J K j E E N b U y Z I G a i F q F E k Z s f g P a S f N g s 4 h p b n g 8 K R V T S D K + W L u F K 7 J m g M V u d R g 6 7 0 L 4 d Y v Y l n B Z l p r / v g r L P / R j 7 F z N K C W g M v u 3 y o n T g i c z 7 a k M s v g 5 Z k O l Z + 3 q i Y b y j 8 S I p k Q L J P a F E C Z o 0 W Z u S X N b s i m 1 U + 9 s B 3 b d + z A T C C M W 3 9 3 B 6 x 2 J 9 7 c s R W 9 / Y P Y t n M 3 / K G I e k l f a a 8 s Z m v o 6 w V K C i G Z I t W m k 2 Y Z d R b y W d / 7 t 9 L d I r 2 r 3 h d C x r c Y f U g N P 2 9 3 j 2 p N y u l E b F z T c i u M z d X I k I 2 u U 8 j I Z A b 2 f 6 L m H J j T X n Q M a Y R c / G 4 U J L 2 9 6 j t J o h p / F 2 m m 1 I o T T F N Y / + 7 / 0 0 4 4 A j L K 5 M + H 8 p n 0 q R i B Z A B R F u r F c o 4 M u 7 7 c 3 u q h W Z q Y 1 k w + U + Q w M q 4 l v L C Y Q t m B i a a m E U r O V f n F I I E H J 6 W 1 j d o j P F 2 K d J U 2 m j J Z 5 j P R H s + p g C O z / u J H z E a 5 C j M F i k C i d O V u i a q I p R 1 R a 2 8 U d E d 6 / 2 s H s P K c F b M m w 6 D f g o a S u Z o s D z m O p W f g F k z U f V n N l 1 i L l k k W N W F W s + r 2 I n t M F Y V u W k p 4 N p m O o c a l R z s J I W J Z M T o a t K G B P s 5 U 1 0 s o b 7 8 I m 3 r s O L 1 F 6 7 t g t x 3 e t q w p N y + k W I k 8 i 5 4 v m Y t g c g J e 8 b + K B H + k 3 J t X d k g k R i J 7 Y M k c h y o y 8 w j 7 u n Y 2 I p r B R J z m L 9 W k V M E V 9 H V N o K l N l s N k C d F A h X 0 J X r v o M l Q c O A g b / a X 2 V 1 9 C 1 / / 7 G N u Y x s r 1 r + l n Z R F K j s J t r s Y F v 7 8 O B x x m L C v X w v j r r 5 n L J B v P P Q 9 N J P j h T / M D h 7 + J y r R 0 9 Q 1 w 1 V 6 i n T A P Z P t X q Z h 7 c P N r q G 5 b j o Q 7 O 5 l b Y V 9 a 9 D k c Q 3 9 F r F 4 P 4 y 8 S a p 2 W 1 A 9 Q z C R Q k o o X l 9 g / s V h m E k i j r I k 4 w v 3 L k K i I Y T K s Z S E k J G k z t 5 w U I b P + T o t G t C b J q D 4 C M w l k Z a R s A i C v m a R L b e q l I M R C M 2 n V u S u x 5 + X s c o n C f X / 6 Z y x q P 6 A 8 C D N R K 3 r J T K G m L / E Z M g h S C w r T y i s f 7 J t U e P H M J N A l v 6 w N q z W L E 5 t l c H 8 g R D s 8 j d g k J T k 1 9 t M b x 3 D g 4 G E c X x f G m 7 v 3 s O P G E Q 2 T S W g 1 m O j X x G M U H G J B i I m q W x L y T A r i / w g z 6 Z p I h I 8 B r 5 U + a 7 F I K m E w k + x + K B k D w k w C g 5 m k 8 o 8 w k y B j y U r s 5 v Z K J L X d B O Z A 5 i i T S Z k n M 8 O 8 f B n s b W 1 Y 8 c L z W P l a T s Z D D j z W G l r N K Q Q D 0 / j l i i v w r u o V W H f 1 j / V v s 9 j 1 S T I l m U m G J c 3 H N U o z H 4 m Z B L J o M x l P o G R l B e K u q V l m S v K + 8 / l s w k z m M G k z J y v 9 S J A E c n P R W n G O O j q c 8 9 d O M H D P 7 5 6 m R i q F D 1 Z U m D y Y M Z G 4 r W Q q N t 5 h c W A q V E s p b F U p R Y Y f Y E A y G t S a J j 2 j u h h M i W z q i J F V I B 0 q v o 8 1 Q R N V g R 3 i p N r m u a m Z 7 J y F m E 1 S R c m A l M 3 N W a Y 1 C + f I E w g 2 f k m 9 l 0 0 M V d Y A L y m v n Q M F h C g T j t T C k l R 6 t J B d A 2 U + T y E Z g M + V g t N h R W V 9 C 7 w T v 8 K p F 5 y P l S u W w M V j J 3 D g x b e 0 C o G T G S R r f j h c T o t B M 5 G C J H 6 Z r Z d I Y R 7 E T M s k 5 s y 3 S R W p X I g / K t L U W I s l R V S q n P k F S j J k z j A Z y k C i w H 8 U p 1 x g 1 P v L x c o b P o + K P / 8 c y 1 / U a p O b x K + b h 3 A F l / 7 + q 2 L r 4 h z T B l z n m e R Y 6 4 J C I J P Y 5 J x g R 6 8 K a g x + j g K K Z C b u e v 2 F W h G d I 0 E K 5 Y h p K p P p u Y h G p O o V h V p c K m z l 9 5 E g 7 S Z t 0 s V w D D + l H z k y V K a E / n 4 W U j L J f 4 Q U F + H s Y 1 e c j F f X v c H O d u L 3 d / 4 N n Y c G a d 5 M Y s v 6 3 Z g e C e L 4 1 S 0 c / z A q X e W Y C G t m n k i V 7 i m L m s 3 3 2 D k o i Q n l e B v z H 7 k w q a T V U l V 6 e C Z S p 0 z F C p p 9 A u f E c 4 i X Z Q v X i 5 Y z 2 Y Y o d c l E Q v A m 2 Z G R 1 9 c d b g k / y 5 y Q Z G P L r v C S W G s f W 4 9 Y 3 d U 8 R 5 0 y B 3 U 0 G Y U J J y L D G A u N U O u Z 4 U 8 O 8 b c z c B R E I x c F Z X q Z 0 B / e h R J n u z o k g s Y z s x 6 + B k 3 S y q J E t 6 M N M 4 d D K G v P a m 7 J 2 5 P 5 L g n S 2 M 1 u N V M v k P V X M q 9 l Z I M U m 9 i U Z R u m W J / q y 4 m J S X j c L v R M 2 d B k L J k n j G U N m c Q w J l P D N K r z f Y j C 3 S s l C K U C U U W 0 n 7 W 9 C d a m W m 2 N 1 Q K M J B B X o W F q L 7 5 S t V t l U D S c 8 X v 9 G x 2 p E N Z f e K U K a v h P I 7 m Q q 8 p J K q 6 6 i + C u y d / F M h f C Q K J h 5 Z X Q f X N P g k 8 l p b p 0 2 C m 8 Y u k p e B 1 V a l G s t M V S w H S C l H c 5 v G O 3 I + 6 Z W 4 O y E H P C 5 m L T R u f M D 8 2 F P Z V A P K d x A g k M 2 C x U r w W D W i n L 4 a O D 8 F 4 m M 3 E m v L 5 8 O Y 7 / / e 0 U b 8 a s e D 4 0 S c 4 H d D S j N / g G 6 t w n Y d e g D 6 c 0 Z f 0 J 3 / h v 0 O / 9 o k r f m Q p G s L Z J G 9 g d D w 3 g x P f K 3 H s O K C A 8 / b 9 F J p Z G v O o 8 J E u P Z y d T 0 p M Q y 6 2 j b M P C 2 c n j H B y S J L V j t q u s d I 1 L H R p T F E N u O H w W 8 1 T m 8 X b + G D N N / 0 E 7 3 4 o o B z g 1 6 Y a 3 x o V A l w O + n J 0 d F s L B c S t W 5 A Z T R L v r U w Y C C a u b 6 U A L g c t S j p m Y L a 9 a j 2 A 6 3 g W K E P X e R t M y k R O w W R y k f 7 R + o s h S R 8 T p n 4 n 3 o V S l i c 3 F 1 v s v g O e Y T 8 I 3 e i f M 9 j K 0 r f o C 4 j W 6 G Z f 0 I 3 J w C 3 Z 8 8 f u o J 2 0 N / S v N T S 2 i j + Y j T O a m 0 n G V T b 9 Y V L C d U l b M Y p S T K w Y y n H P g A U S b P q h / F G s m n w H z P o n z L M w 0 M S l S 3 o N N b 3 Z g Z j y B m a k 0 w i F h E t 4 s b U M i 5 s S Q X j h 9 b C y J q e k 0 7 X 0 n o l N l m P R b E I 8 6 9 P M N U J q N a 5 0 t C B 0 6 h E y Q J l s R Z h L I R J 4 w k w Q c W r x n I h J 3 5 T G T I B W 1 q z m a F s + o Y i a Z 8 H V 3 3 4 q T z t y P y N A h + m a T s E y 9 p c 4 d D N g Q a v 4 S w u 0 f x 6 Y g x R w Z X k x A l a p D 0 8 p Y 6 f r q Y Z p U O s Q s E m 0 6 E u l S r S 6 M d C V J e C I F p 3 L q L O R i D j P J 7 w u Y y a h 8 F G r 9 o k q + N Z l J z j N O u M q 1 9 g g z T X d n T S r R 0 P O h r T z / f h n 6 J g M D W i F H Y S Y J q R v a Q h I 5 C 5 l p m M 9 p M J M g l U 8 a i 4 R 2 f Y O Z 3 O Z a 7 N 6 7 n 4 K n R f m M c W V W 8 V u x E P h K 0 3 w O T R + G c / C P y h J o O O 9 h J E p O p C b W n u W V P 7 8 b 1 Q e v w w V f O 4 y B z y i 3 T I 3 L k Z h J k M j o K w k W g G g k A x K A W 5 C Z B G y z M J O J V p h z 6 K E 5 z C Q w b T 8 0 m Z E K Q G I O a S F Q r T s k 2 1 Z q x a m H Z + d K 9 S G 5 v 7 i F a R K k K c N j N K n k O / W U 6 g + d M h M 1 S 1 q + y 5 o M l b J n a 7 o c o 3 o h R C O 1 9 s x X j t A x s c N I 2 5 f Q 1 r e g v i B i 5 x h 6 i o 7 j l X A N 3 o N o 1 d X 0 x b L + 0 5 u P D G H t t f V k q g E e z 9 d W x n y W g p G C l N O P k q Z k t 3 d x 8 B Y R X d P h T k b h 8 m S X j x w c o 7 a o J s u R S G T F r N S z m A + h K M 8 Z Y O c 5 Z u C p c W p c T M z O J / H j d E 8 E Z W 0 L z 5 / I M n k p A u O w O / I m J a U s Q D h K k 4 f X 8 T k C b I w W D h d k U g F M 0 4 Q 1 l i w k 0 j G a d l m h 8 o + i 2 r U S D z / 6 O C o q K n H i C c f j h R d e w s q V K 9 T + X v K Y 3 u F v o s I 1 D l d J I z z l q 9 B 4 9 h 3 q d 9 7 u m z H W c D 3 2 X H U h K u h e S W x M 1 i 4 0 c q i s r j o 0 n / 8 X d V 4 x S H 0 I Y 1 7 N C O l L U E L t h R w b Y x 9 o K s 4 / F U F J e X 6 f L p R 2 N B 9 c Y w 8 i 5 j o d 7 q m H k K A v O m v y B Z K D i I s D q M O Z i i N q 0 Q Y m S Q 3 x 6 r a N 8 H m 8 m A n 5 s b x 1 p a q z N j o 1 Q W c u h v N P P g 7 2 4 a V I N B a f s 5 K A W 6 m T q v 8 H P 0 L k O a m j T d u f L 5 m 3 O m v d S / C e r y 3 i e 4 E i 6 I y X j T Q U Q g + n j 1 E y K 2 n O 6 6 h F c l T n v s F b E G j 6 q g p u S P i d l 5 q F S J 4 D b 3 R g 9 Q l x Z P T C I q n E K B L m C j g t V r U + S v I D Z 7 M C i g g m Y z B y E Y z R F H M U l 3 x O S h S P Y 4 n O s O Q k C q O 9 w z Y c U z X B 9 / x c p N a B b O V Z O h 1 B a b v B P B R b c R J E k c n Z 6 c 4 Y X D U m O H x z v x M T T r R O L o r m E a o I Y Y x / Z j A J K U Y j m k I N v 4 J f d l 4 n S t l W Y 0 5 x I U h g I x S I w l f q V q 6 C R O x y s R C B B i c P Y O t v L 0 X j S V o 2 j V E y L E r / 1 x M c x P p 3 f h 7 G l t + H P g 0 0 6 c a M U f h y M S g 2 h k I b M r U z N h V D u b 5 s 3 Y C o j m L V u o 4 G S j R N 0 X b O Z S a B w U y C E v M U L j p z L U 4 9 f i k u O f N E t D a 4 s b S 1 A m e e s A J X s U M y / R X z M p N A o t V i G p X 9 N 3 t G d / r U 7 A 8 f b u f H t R 0 G B V L 0 c O y Z Z / V P h B 5 O 7 x y 3 Y E X 6 D a x J 3 Q X n 8 F 9 5 D T u m f V p B R T e d d N E C u R C t m o h S o 1 J C G r C Q c d I 0 V + X c a o + u 7 f Q U m 0 J M x Y 0 I Y j 6 K M V M s o c 2 H R d U 8 l a H 9 + I x 0 1 o + p 5 w f R g C R Q E 6 V j L i S Q o E 5 N Z v t Z A g w q I l Y E J U s c i p k m D l D I F K B Y j T q D m W R O a R b i E 5 k 9 i p n U x x x m k l U C J Y 5 a 9 R K C y 0 V 4 b B + a u v 8 f b A U Z B H J f Y S a F x N y p j 2 L V h Q 2 8 + f D H U B X w o O S n w L L z n 9 A O x s c p 8 E o x c v / P 1 T i J j X P o I 6 Q L / p X P S 6 7 I E b Z v E 0 I b S b O V F s / c P h O z P r f N u S b h Y m E W L j Y K o R s w V i o a C F u L Z x t 4 k h E E x + p h b p 1 b m q k Q 5 c 4 l K v y 7 7 P Y 0 2 v 6 n E 9 P / m k A 8 P I 5 Q 5 y F 0 s u G d I j 0 l b + 5 H 2 l 6 r C q L r q Y 3 W V m 5 C t O J U b M 1 8 H G P l / 6 I 0 l z e 0 n k + s m W V J f S F h L o 6 7 a B V N P 7 1 d e i k x Y T 6 Z i z J C 8 I K A R L X o O 0 o / G C 8 x d R c L h y 1 b p 8 H Y C 7 Y Y M o 4 c f 5 H 9 K x H P Z q l a p D O p Z N O 3 V 9 J z 0 R 9 F G C 4 X x v H K l V 7 4 u / K D Q U I k A t k a s x D Z C V o N U / H C L B M N E k i S c I I 7 F U O c B J e L r n U 3 o m e Y 3 R 7 N h t E L 4 X F l 1 z A Z U E V K i y A y 0 4 P o 4 C C q 3 q h T y t v k 0 T W F B I d i g 9 h 3 9 0 Y 0 8 J F k F G T O q a o 8 S l l A h h X T V M z 0 R U C i e w s h K i l I o W L W R p a J z N H 5 B c J 8 M J d Y a + G 1 1 C I + E O P A W G A N u G C O V 3 O c S 9 H 1 0 j a U W Z u Q H r T B 0 t O K d L c X 6 Q k 7 r H 3 L V U Q v x Y E 0 1 U / D F p 1 C 6 + g j c A W M 3 Q w y q B 1 9 G U 3 D T 8 D M A a p S N W 6 0 Q e o Y o K l j q S L R W u A + 2 8 4 u t 0 J 0 W 4 a f l 0 i K E q X o 6 + d d o D G 5 t Y p 9 a I O H 2 l M 2 3 p K 1 S D 7 J l J Y Q e T L G c z V p 7 r T l E A 2 Z L B m b 4 t 8 Y f t d L T U Y z 7 d / / k A 3 J C 1 O 9 m r P J c C Y 1 z d Y e v S Q y M O r P R g g n q N k M C S e M O a 0 z 8 h y o V C w N H p 3 P 8 h Y a E s J w 8 6 G k L V / g G W h t y c 7 p 5 U t X C p L w H r a P w q K Y f a t D Y n M y p o V w s 7 v 8 p L 1 0 S b E 1 Z w u h + L 2 2 / O 1 D q O i r V O x W + / w z Z K K c 1 C h H A 0 7 6 5 D u Q K K v A K J 9 h 9 Z 0 0 Q R 9 0 Y P m 5 v 9 S + F 4 2 v w x C A 0 5 H 9 y C Q m Z j / L K 1 w k z W g O P G 6 4 q B Q E k n I k J m q u y T d b o U t o k b 6 Z g m S l 6 N Z I M Z j 9 y R E E U y O w N 8 r G a C k k f R F E 7 d N I j H n Q e v y 5 d F r 7 Y W 5 I I N X a A 3 N b E O b K O M Z c O + l 4 L 6 F Z q B F m 1 F a J j o r 3 I e I z Q q M m j N R c i P 6 6 q 1 H u a I G Z / p Z n 5 H a 4 + v + C p u N v 4 v 1 K 1 e p V / y o P G j s P K M n Y S V G V Y W O X J n m P d B A D t 9 3 E h 0 j S V C P T V M h 8 Q z 6 B q Q T b W e Q M H J n M 6 i j n X w f + / Q N V G B 6 b w Q f P y H e 0 z 8 v f Z P g f Q k 1 J V m K K C S U L F g 9 P a c v / U w V z O Q a k b L J A N k O 2 O L T n k D L C 2 m A V h x G J V O B b / 8 D 8 M / i i 3 W Q v 4 X B E m O i Q y n Y I F i k D X Q g T x 6 C 6 9 9 P K v D O Q m J h G 3 a / I 8 D / S D + g w / K 1 i S M S L a y b B 4 I G H k R r q Q 8 V b J c o S M D n Y r o J a H p 5 P / x T J j 1 2 g / L g 4 a b f x j m e y 2 T w 6 Z C 8 w A y l q 1 M n 0 3 F q A i 0 F E a q i n o i i 1 F Q / r K 5 D Z V K k 6 g Q r a k G p m a 1 j y v m r y W Z i u Y D 2 U C L X 0 J A e Y R 9 O t g z B X F V O J G m m v r M 8 u P L N Y 0 r B Z k 3 z I 7 O V k c F S 9 N 4 s P K e 8 S h G o / i 0 j j h 5 C s O B n 1 8 e v h u Z F m 2 V 8 s G F 2 + E v b O L m T o V I f Z e 7 K H k I W / 6 b 2 f k o v a S u 0 X R a f b E L j G 3 2 j T d f A O a H X H 5 8 O K + h R W V w / A e l h L p S q G R J H Q 5 z + K U r c 2 j z e f U y 4 1 y N P J D E K D 4 d n Z e 1 V G 2 I i w c X B y s 0 Q E E n z J R U m j C z P d W X N T F f y U x Z X x A a T S + 9 D r n 4 J F 7 K l 5 t E Q u P H p 6 j f + V L T h I q 7 F 7 q h k O 3 e z v / N + b I G x u / s J H e K X s t c T X U s i X c w o 2 C W v y u G x v J N H H X O x 5 6 j v w v d q q a o I 0 v 1 o 8 H U l g 3 f A 6 5 A 5 x m w O m I n t m y a Z o x S C 5 o 8 n c + o R H g K R Q R S x O x C L F T e F Z F N a q N I J M N g p v y a A R p i M t z V K T P c w O T P J A x Z E b U 6 q H G w t 9 D Y t E t w g r z T y b u R R e f a X v L G Q 8 + H J e c x X g c q q x E N k U X 7 a U D D + G Q X a c H B P D R b T l + v M v p J T S f m O 8 V A U j / X 2 w 6 d / h H a b 4 z P m + e 2 B U W y Y v P + R / G W c b W k 6 y q U h Y 7 n n q R W 1 S W D L q H 0 O W u t R 0 w j y Y 6 o i R o e I o a Z 3 r y C u Y L V B V p 6 T 9 s s R B 9 p j K i F n E M c p p v 9 T q m z w Y R W Q 6 R h + t H r 2 h a k w g g j B 9 y h J r g F p p 4 V C 7 w E 4 f N U J G F i t h 4 L d / Q v J R j t / K / 0 B M N 0 u X / N d n k V p C B n v 3 Z T x D x r e A g 9 g O 2 b 5 I X m 4 S s h B 0 u c l N Y d J O M 0 r b p d / A w D 1 / g o c S v U R y E H 1 a 1 s h 8 W P n z v 2 D J M w + h P j d I l Q P V v 9 K U g p d M R s t S d b N k x I j 0 L f g + 9 y W 1 J G o 8 y 5 T g c 8 p y J d E 2 x b C A 5 V A I U + f Q 6 x l z f z P S T Y b / s z i M B 0 R l m 1 D p 8 V O j S A s 1 S I e W u L I V f x b C s F 7 z T r w O C 5 k g I e q f M J S 7 H H e 3 t u K k e + 9 S n 3 s H R v D q K + v U j v P r 1 r 2 C z Z u 3 Y O X K l W i s T G P n / g l V C 7 y u t g 6 n n n Y K Z m Y C O L B / L 6 w 2 G 0 a i J 8 L n s c D l c + O y k y 2 z 8 0 S i C S b i R l X Q o 8 P m l z t x 6 t l r k a R W l W p H 5 Z U + J C h I J D h q M / k Q T 0 T g s H r g 8 5 a p S k I y R 2 S 1 2 j A 4 M I 5 1 r 7 6 I q 6 9 5 t 0 o j O h q o y B e Z R f y t T H K a C l z L l D c w H u l E Z q C S F J 7 E m N e K 2 t K s O Z q g Q L H l h N Z F 2 0 S H Q n B 6 S h A O + Z E M h z H 1 2 3 t g 3 3 8 A r l / 8 g M K W Z m M 8 Q b r L o P r Y N p V 5 Y E A 0 X 6 q I I B K m l I w D e V c M + 7 / z P W R e e Q n m s A k r N x 0 5 / G 3 p v B e p p R / V P + V D 5 p v m 9 V G L Q D H 8 7 P I g E 4 K 6 x i m x t t K 6 y g 3 y y J j k t F 9 M O d E + C 0 D 2 1 z J K 0 J n i e 7 + X i U V t G K 2 f m x e V S l t g M e f b w 0 N 9 0 6 h v z h / I X F T w N y b X / C k 5 h T C Y S g z I q o 5 O j C x d C k 8 0 g j q X 9 s B C 7 m e / / A K 2 D b p w W l t G L d G W F B F Z 4 C X L 1 F X I m A + d 9 u 9 H 0 N S C q i u u h p W a s u e B + 5 F O e F H d k M K T 2 7 2 Y C S d R W z 6 N a 8 9 L 4 5 m d r T h n C a U O i W T i K N J T D M y M J e G y l 6 m q P g 2 N d e j r H V S b Z b / j q k v h K z f j 7 j s e x W c + / R m 1 w f d 5 F 5 y H 0 p J S t D Q 3 I j G d w Y 5 D O 9 S W q N d e d i J 6 I 0 1 q 7 Z Q U o R H s H 7 V g V U 1 K Z Z E b i a 9 v D t h Q a + 2 n o M i m E W W h D 3 6 M d p q j S T n j B l K j T l h q N G t j f C Q A s 8 8 K F x n K x T 7 T k I H T V o p E M g y 7 z a e q V M n e W C k K R L s s j Y l H q Q 9 L q K 4 C i C U C 1 J R H Z n 6 f a Q k 1 k h v J Z I x K l n R A T Z t U O / 6 T o D l O M m 8 1 + P U b Y F 7 S h v p / / S w e / O v D + O A H 3 6 / I V 7 a a F e T e x 9 N 7 M 0 I t s r d u c a j n P X K z F o Q z U w e P q 4 i l k A z w 2 a l F j x J K Q 0 l d 5 0 x e N a L 5 U b j U v R B H P d v M T h 6 6 4 G L 1 9 h A 7 p 6 S 7 C 4 H 2 d r S x Y y U c L D N C 0 m e + + 1 7 D C c 3 s d B 6 T M s + y n 6 1 A z p F B M M / s R 7 p 0 F T x k U D M J 1 h 8 I 4 8 1 L L s Q J 9 9 2 j z t v 6 0 E F c e H k Q J k r i R z 5 y E y 5 6 7 h F 1 f D J 2 i N e f / 3 n e L n L 7 w d 8 X h r e R Z k j O f J E k 2 M p + V c U w G g R q 5 r E G 5 w W l 7 0 x y n K Z u T P l E I U r g l N 8 G S 4 n W T / 0 9 k x Q u P r g o i J w c 7 7 C x n q w A L m r Z i B 5 s W i x c N I m s j j Y K M g 8 e f + I p h I I h V F d V 4 s C h D r z 7 2 m u w c d M W f O D 9 s r Y o h f 1 7 9 6 O K V k R F W Q n 6 B 4 f g 9 / v p v 0 T U L v 6 V l Z J R k c 0 4 y a 0 M X A g J S i g / a h 6 G m o x o / n 9 F k X B + L m I B J x q q 5 1 / x Y F Q V P i L E 5 6 S Z r B h K P l s T Y S R t C 9 9 c Z s U 9 e v l S m 8 m L 5 5 9 8 A 5 d d f T o l Y A Q v v / g q P v W R 9 8 B k q y C P 5 G u 1 I y F w 5 9 1 8 3 a X m H U R f x M Y n Y O O A G H p O m C r c e R g X 9 P T i Q W q e a 6 5 5 J / r 7 B / D S S y / h 2 G O P 5 f t + f P T D H 8 R 4 2 I 6 O O x / B e T / 4 N 3 E H s b 6 1 B W e / o e 0 O O N o 9 C t f j f 0 X w k U f Q Q V P m 3 N f W q e P a Z J 4 W Y B E z 6 B 8 J o e f C Y K i p A w m U r 8 y a F P 6 o l h l u o r 2 e o U M 7 O O Z H f Z V P C Y Z C F O 4 I L y 0 r x v o i U D J k J n 9 q k q Y Y t Z D O F O J H J E M 2 a q f F j 4 e U I 5 Z r G P C R q A M k a o m E i f N e D E c S o u K / S p Z 7 Z U U F g t 1 W l C 5 b q I + z T y l Z J y X j v 0 W w + v P q c y H m 0 1 D + W B T x p A W y 1 Y 8 j z 5 y b i 5 m p M J b U H 4 + f 3 3 w L P v S h D 2 L f f m 2 / M X E f h o d H 0 N j Y g J 6 e H r z 7 X c W q J I l P S U J L k O n 0 c m e z D N X U / w j 6 m 6 5 V B x e D + 3 7 / P C 4 4 / 3 w M D P S i q 6 s P l 1 1 2 G W p q q u n j v I q r r 9 J y 9 o 4 G g 9 R S k i k h J p 6 N E i t G k 0 8 a 1 k J G I s V A V m d 5 L n s X H N + 7 H a e 1 y J y Z m e b n C M K j Y f j 7 M / B W W + H 3 x T C d a k P D Z y 6 G u 7 + T v y H x n n w S T n 9 c 0 0 Y z 4 z O Y f s + 1 i C Q y W P 7 y M 7 B Y a V N b y x F L z y A S J 8 M 5 6 x C e o c k 1 M I R I K I x t 2 3 f i u o 9 f j n 0 7 h z A 4 N E w z 0 4 q T e T 3 Z q P v O O + / B v / z L + 7 F z 5 5 s 4 / v j j E K M P K L l q x x + / B n X 1 1 V j W v g w D Q w k 0 1 l v R R 9 + v r K o + v w 6 6 z G v o O W e y w Z r s C T U f h v x m 1 J e k 1 e J H K V Y 5 H U q h j D 6 h I C M T n d R O E 5 T Y u Z k P B l K T d l j K 4 7 C E M 0 h K M G q B Q M C R Y K G g N A o + G q i U L H J Z y r 5 I T B 4 K o G J 5 v i k l p m A 4 F I H X N 1 c b R U M B + n n z m 1 6 y E i D J d t m O 4 O f M B 0 n Y r S / R i 6 6 S p k Q Z S B + Z 4 3 1 I m y n o 7 O V I J F K w G l V T 5 4 P M p d G P m m U o w c B U D U 6 L 3 4 W B 2 i v 1 I 1 m 4 g 7 0 o i 3 d g s E L b C 3 X 7 6 z 2 8 i Q U n n 7 4 S L z 6 9 D e 9 5 z z W K 8 B d j a 3 e M W 1 X d B i k S K V n f x h j 3 6 / 6 U a K R K + l O j y 5 b C G o 2 h n h p I 3 G t 5 1 f 1 m P S q W 0 M d Y V Q u z 1 a y q d w p k M z X P 6 M t I 1 J 1 L d d a P 7 u X n Q t z o 3 t J S X L J v N 0 J k k D e e 2 o F j D 7 0 G / 9 P P Y C U 1 1 F j 0 I K o t d O L 1 0 m P S k a H U G K J i j u U 8 h 3 S 0 f L b S L E 7 H I t Q s 2 u C Z q e I l G m l k m q T S N p 6 T 5 A B T 1 9 F 1 K L U 2 I 8 Z / P m 8 R + y 3 H 2 Z U k W q n 5 5 g / 4 + Z f m W D S O 5 U s X 9 k N n Z v w Y 7 d y J 5 p X H w e k r Q T Q W Q A T T C B 6 e V p V d g 9 P j K F u t + V 2 2 v h W I 2 n t h j z U i X r s X F j 3 4 U 4 i F t J D A Q Q I z J 8 Z m z / G a 6 m C 3 u y i 2 3 h 4 x S z T W m d M W W Y Z f 6 8 p u 6 i b b x W S s Z X A O P 4 R o U z Z F z U C E A / y x R 7 6 D v i U p / G r J e 9 B k r 1 D L c j z 2 + e f o C i H D X O W a q 2 F 7 A 2 9 w L N 1 o 8 G h 7 M S 8 W e Q w l U T v Z u K u x 7 3 E K H Q v M T g s y 0 0 H 0 t b x X L d e 2 S s 4 O W 1 A x 9 i b u f p l O a y K h 7 F 7 J J r 7 s 0 k u p 2 h O z v s 1 C k M p A 2 f r l G i R S k i a H D + h M J Z q q g k w 1 R q a q o u p 1 z g R w 0 C I m G X D y / g G 1 + C 9 M f 8 j t N s x U + S Y r f T u v u A r Y t R s R m w 2 T 7 W 0 4 b 9 2 L 2 P 3 I J I 6 7 t s A e l k m 5 n N K / / s Q g v L Z a M g W f L x V E N J 2 t A 1 j 5 w G N w 3 f E 3 v F R V g R X 3 z z 8 H F h n x w V k d U A M V Z X d I V a R j 6 u Y 3 u 4 6 2 6 q s g F t q F I E 2 x Z D I 5 W 4 F H k P W B p C + y Q k G Q i L E N E y W w 1 Y W U p Z I L C Z / H F + l H G 3 A l y Y A q L c 1 M s y 9 / 4 r U Y p j r D K F + 6 s F s h b c 4 k p U 6 h T 5 m K Y d l Z P r I L y e q z N M F D Y S V l E A y F k a J G + d v h D b i 4 q W F 2 9 I W p b B R s x e C P e O F 1 y t y Y 0 L r W 5 5 W y 4 n s O 8 u l p s c h j q P k g q x m l Z K + B X H / L s J 8 1 K X 5 k o t g 5 a M M J D X O Z z h T u R s b d h g y l V t 8 l V y i t J U w V H B y h A q l C e 5 + W s L q f r b W 1 L M H l m 9 Z h a n o a 5 V L q i v B 2 / R j B 9 q + r 9 w Y O X 3 A J b K k k D v N i 5 7 3 0 P L Y / t x s n X 3 m i / q 0 O E t J k o g / 7 h 5 b g j F a p r l T c 5 p Y 5 m N T h D o x 9 9 G M 4 Z L H h 1 H W P I k Z N J h k J u b D 2 L k W y R f P J k k k r X N Y 2 2 v F h S j s b g o k h J P U Z f s n 0 r n C 0 c v B p 3 q b 9 K q x e N s 8 i v E J E I 3 s R y i H + w b 4 p N D T P b z L O g Y x 4 D x 3 x N i 3 3 T w r h x 3 K S o R d C M m W l Z Z L k b 6 h 7 C 4 I X F Y 5 2 k u D 8 2 m r 6 I J 9 x R Q E n G 0 j H O P b d M O k J z c M j o 6 i r z U l e p i + H e Q I U I a m / k V q 4 1 F 0 s M I T p j f + N k 1 f Q E m r V A l W C W N I O n 6 1 1 1 h y X F d S 5 u Z 5 H A 1 E K i 2 K o s W E / q u v y l 6 i 3 j D + B y c p r 4 H A e W T I d L Q L 3 P 4 D J X 9 + K / k A S a a + Z d j u f k E z R S I 0 l j u o h M t t l h / b D 5 q a 5 o d u L 5 i B t X m 8 + Q S q 6 y Z n r K r n + F p z y 7 u J 7 S E k w I j c T Y D 7 0 8 X p J E n / 7 q + t U m 4 x Q d b q 7 B s 6 6 P s S d x c 0 p S d W R 7 A K p s T E d r k S 5 Z 0 I R p i C e t M F u p b Z f R I Q 0 G N 5 b l P i H B y Z R 1 7 i I a F Q O T H 0 N y N Q P k I I W f u 4 8 U 5 C d a q P / l 8 j J R 8 y F x W S l Y D A W X u Q i o 6 V a z V l T M h d i X h v j m s i E F J O W 9 t y K 4 a Y P 0 b S f m 2 2 v s A A V R 7 v 7 c e h v / 4 u S 1 U A 1 5 e 8 H f W f Q P 3 L j i T U f V 9 8 X 1 1 D s n 9 z i q E d A m u N r 5 v g W 5 U U p G T U 9 k U 0 7 M t K Y D D z + w E Y M V l 6 J 0 v B u m C i h Z R G Z 7 L g g n S C v T P H L 5 m G + S G D H x h 5 0 e k + i y r e g u d S G N P 2 0 q s 7 D q r 8 m K q V 0 l W a t P L N s F Q I x b X C 8 5 5 w L 9 5 X / D w l q L A O D w 6 O K P T w 3 3 a L 3 N Q d 0 v H g W y B s b t 2 B 0 b A K T U z M I B M O Y n J 5 R Q Y h w R K J F W a 3 r + M 2 t K j t v h u d I T T y L l E i O W 5 H p o W / R N j o v M 2 m Q 1 m Q Q j r v 4 u 9 g s M 6 X T Z s V M g v m W j c x C t F k B M 0 V S W k Z 9 L j M V y / K W 6 Y 5 C Z J o H h Q O Q 7 M / 6 e K I 5 p 0 J l a u 2 X A W E m Y w W C R A G F m R y m u T V A B K K x c + f D D E x 1 R B Z g p v y 2 G c w k M M O G m X g / R n 0 n z c 9 M R 0 D X N 3 6 O i m f p 0 2 6 k Q J Q U v M G Z O U t R i i F v N 8 w F k O S 4 9 E a D 6 J 7 p z F J + r h M u 9 d f K K r U O l V 3 Z a p u y n W d P 1 S I Y D K J j X x R 7 Z 0 5 C / 7 6 n s W b N c b j 5 5 l 9 h 6 / Z d e O j h x 3 D 3 3 f f q Z x d H K D 6 u 1 m C l 1 J 4 7 G j q 2 d K B 3 d x + W n d G K E 6 5 e j h b 6 P N I i k X X j 9 K P K y F S R 8 n J K F r O W S c E + f + O U 4 + U d h m l z S 2 L O 5 m v e r T 4 L 6 u t q q A 1 M q D p t j R r k F v 5 g 5 J Z / V 8 8 p f o c B y a V r b m 6 i L 1 i F b d u 2 o 5 P 3 2 b 5 9 B 9 a 9 8 h r K y i r w 8 s v Z G X 3 b I 4 9 i S S C I g c 9 + G j O T 0 7 j 3 z 3 + H x U k h 0 p p f b z 0 X Y i p q i a Q Z R a g l r i A 8 O e u q Y t R O B i S V S 4 h R C E g w l r u W i Z h I D C C W y G d a l w R V c i C R 0 k Q 6 P M c U l Z J Z R c F + t D Q G k Y p o x C 6 R w n L P 9 O z a L y O 9 z M q / H p p d R p Q v J p s X L I g C B p a K T U W Q U X 2 T Z a B C G E V g o t 5 G t E w 9 q d 5 L m w K L 2 E z N w K q 7 b 0 L 5 J 9 6 H 7 u a U 8 s P + 7 N m H h 1 Z k E 4 D n x / z t y o X U G z F g e n X j k 5 n G V s 3 + H p 6 p Q F 1 p f t p 7 O B i H 2 5 u V i g n a 0 A 2 + p W S 0 n A G i 1 P I N 3 Y J Y v I F m V y t S f H i V 7 F m k Q V J q 2 I C h a n e 9 8 B a O v 2 Q N b d B h Z B x 1 8 O p m 2 q b j j 4 d n l 2 z + p U X + 4 i H 6 I h 4 3 G s T 0 4 2 d J Z z z 9 j 3 f A s e 4 V R D d s Q C f 9 O E t J C V Y / + C h k 3 7 e h G b b V 3 k n G r U T H l e / E 3 k A E 1 + 6 g m M q B h G v d n r k 5 b 0 P D I 2 T K W h X S t d q s u P 3 2 P + K z n / 0 U I i E y y N Q U n n j u C b z v v e 9 F e U W J 8 u X i l p w l C A W I J w P U Q n N D v 5 L C k 6 Q 5 U y z c r c F E M 1 B b Q j A R Y r 8 t o m a K P R m j 0 n Q g m B y G y 1 x F b W h V 9 R W C k 2 S U g h W q u U h H S R a y 8 r l g G c n b R 7 b t g k C n B b 6 l 8 z D 1 E Z C r 8 d r G H 8 X u k t P V e 6 m x 7 s x N v z p C 0 / e / 4 1 M o / 1 I C V R f c B I s 7 6 5 / N Z / I J 1 D a x e R O 7 7 K P k N L W X 1 D s 0 h K H c m L Q e G y R z l W R X t R Y y k 0 C Y K d d c q K X 6 z 2 M m g c m C Q M O / I 9 7 2 A S S r T i c z y c y z z k w 5 m q 8 Y t j y 0 X z G T Q J g p F z N k p t Y X n l X N l W 6 z k Z n k e o N L l 6 i r S y r c x k 9 + B u U / / p H K L R N t F h y f g D e l a Y z 6 0 i Q y r l a Y v V 6 4 r n 0 3 T r 3 y X H U 8 F 7 P M V L D T n T C T Q M q O R W I i 2 d I 4 3 N G L K f 8 Y X t u 4 H u e c f Q 5 2 7 N i O g D + M + / / y V 3 X u f C j G T A I r b e l c Z h q a 0 u 4 p R S c 1 U K v F O j E W o Q e 4 2 A J E e j Z G 1 G 9 G J D 2 u t J W F Z t N 8 h S k N m J 1 p p A P F / a J i k F y 6 Y g j M b i q d P + 4 m b 1 Y r H w 1 E M O S i u + p d q K B Q t y f p x + l 1 6 x e L V U / / A b V X 3 p P H T H P J M w 1 T t B + m 8 E F E w q Q J c U 1 k F c D s y 4 m M J N L m B a 9 0 W p f a i 4 s J S h g o s z V h Y H A C L U 2 N 1 C Z 9 Z I A j R 6 X s w z R e L W b E q y 9 V n y e i t D P p u K Y 5 I D 1 P 2 H H S + / K r y g r G P / z / k O z r U 4 E E I Y O l x x + H 6 K 7 d k P T d E p p k E 2 S o i s l J O C a n c I C t J y / h 2 o F e F Y C Y i i U w 6 b D h o l e l C K J J 5 f 4 5 + f n g a 7 0 4 5 v x W d k g + 0 U g w o v v Q H n h 8 J a i p m 9 s W A 1 O H Y i h f r p k t w 6 M j q K v J z 6 0 r 5 j c c C Y V p P p P B M l R 4 p x F O T M C d u y 0 P Y U T X j g Q t 1 8 O w D G R o j f c a h M E S G W p l Z S r O / T 4 9 U A J z 4 5 H L y O U i L v m A V s 1 F y C 2 t Z b d 4 4 L P W 6 3 U y R C L k 3 w t R j q h s I K E j N x g h k A w W e Z p i C N L k a 5 r p x 3 R 1 T q 2 8 R V N y F j H S S 0 P p a v 6 W f U t f K H f b I A 1 z + 6 g Y T N F e K p K W r A 9 1 J F T a l 5 I v n I q Z B I X M N B T Z o b / L R 7 z u M s V M z r 7 7 Y J 3 a R v W 6 F I e f j s O 6 c w P O O + 1 v 2 r b 7 B u h b C a r u u w c Z S l p j a r O D z A S r V S 3 r m B R m o s k 3 U V G h F q C t k G e l p D / 0 2 9 t Q + a M f o p T M k 0 4 l 8 N J F l 6 v f O u g I i 1 8 R H q P t r z O T h D c F w 0 P 9 N O G i q G 1 Y i r B / E o N D m l 1 u t n D w e e 0 Y T b m Z w 1 H 0 d Y 2 j Y m k S P Y f 3 q Z w z y W g v x E I R u k C k u I Y S Z s p d Q y b M J B B m m g j k h 8 H n Y 6 Z E w A m H q Z L m j 4 c m p J f N t s F G Q p 6 W i X t b K Z 7 5 + 1 b Y b V l T T w p a i j A T 3 0 5 C z b k L 9 Q T C T K a + 4 r l t x u p W A 5 H k l N J I E v a X 2 u 0 C g 5 k E c V 3 r B w Z F m x U Q p R B w D j M J p E J T L h Y q m O K 1 1 y L s L R Z N P D r Y y e i i k W j r z m E m k z D 8 k Z h J 0 o 4 k F 1 a 0 F v + a D n V v z J g L N u B K R d N 0 t r W O k V B y 7 o O J T 2 E W k 8 S W Y 7 s S U i S x z J 6 d 3 R / p 6 c P g m 0 G Y M 7 I R M n / j i N F k M 6 G 6 M Y P a 9 i o 2 I P t 7 d / d t C L f 9 K 9 / l N 1 4 y J 2 T P p C 5 R 7 a Y E 6 s 2 l b A A 1 W y q C e J D + V E k 5 a r u H E C V 5 9 P G 3 l 3 Q c x v B 5 Z y E d D K G 3 v A J r / v 4 3 V F e W w J K a x B D 7 p r a 9 G r I n r g y 6 + E 6 C F M 2 5 s a F e t L S 3 4 I F H n 1 L P t 3 r V K i x d t g w D A / 0 4 f j U F i c O D O + + 6 B x / 9 6 E f w + 9 / / U U 2 k f v x D V 6 v f q 2 B O T l 8 s R l P 1 T 7 S i q V J b e h B N 2 O G 0 5 R O 1 Q E q T z V f L I x f h K R P 9 3 A z 2 7 H k L x x 6 7 B s 8 9 + z z e 9 / 5 r 0 d P d j 4 7 O T r j d L l x x z d m I x L M R U J H 6 E p k S 3 0 o Y y 2 P J L 1 a T D l p o J i / s 7 2 h B g X y V 4 M v Z A s m A z 1 a L y I A F p c 3 Z q G F G 5 m s K V u n O m X f K w U J 9 2 j L w M H o b r i V 9 6 L T z N r T U Q j 6 U m J X i q x k 4 k m V m 6 t r c m 4 m H T L B Z P R j v 9 a O 0 w Q z z k j 6 Y 7 V o D C y X v / / 0 1 i G P a v Z j 2 J 7 B 2 i Q 3 1 q Q M Y 6 I w g G S i F w 1 I O S + U 4 l p 3 R p h z 5 o w I Z x d V 7 F 0 W G A 3 H v a U h 7 2 p G h B J d 5 H 2 F 3 C U q s + K + v I v T T n 6 n T e 0 j 4 E v G T j Y a b e r r Q T Y l 3 V d d h C g I n x v Z 0 w 1 v C Z 6 q r p 9 S O Y u h w E G V V p U h E S D 5 h G 9 v m x V h s E 9 q W L u V z 6 h n f M i m d I 1 0 N W K b 3 I l V + L L / X R 0 o G r t D w l p 3 S C w S M E K 2 R d F s I b 6 o S Q Y s W 7 p 4 O + 1 D m z o 8 S 2 t g X 8 8 3 z H A 0 c l J g x s 1 1 t m G d E 6 6 R m X W F k s B g s P U u Q a h W j O x / l C T + m b C V q g j q R 1 O a I Z G s f Y c x i D C W w 9 C 5 D 2 X I O M d u Q S Y d g k W 2 G F o H 5 G E n S v a T + S S 4 s i R B q x 1 7 G Y L 0 m 6 I 4 G C w Y l a M r B 1 Q I T / X L J 7 V P H S A O 5 U f F c m A a 7 u z P u k q z 0 C I 6 E 4 a 5 y Y t / 6 A / A P R 9 R C M 5 H o V o s T p S 1 u / H a T D 9 G 4 k E s G v / i s B w 6 p 4 P H P A E 2 G o b E p l J e U w e n K S o R o N I a R y 6 6 A r K U c T 6 V x 1 q 9 / i Y G v X I 8 D b E N d X x e m y B T 1 8 T h s p h h W b d o G 1 8 G b k K J Z G a + 7 G L K c v i f w B i a f b U H J h W 1 w W d O o t x 6 E y T O P K S F b w u R E j V z 7 f 4 L + 9 v f C Y 6 N m y 9 h p S i 2 8 A j Z F y W s p k L y F W w J V 2 J s w n R i e J f B o 3 A G n P X 9 F a L 4 f 9 M 9 D N D W l x t I h m j 4 H 4 v j L L o a F s B 8 I I e y i U G o K k A 4 0 A p L 5 q P g i m V 1 i m K Q c m H s r 6 X 8 W z + T I 3 V I n F 5 H k Z N 5 m B Y u F L T K F h L P 4 v S K h O F w e L W K t 9 b D W x 8 o K I 8 0 I b v n 1 b f j M Z z + N h x 9 + B C e c s B b r 1 7 + O z 3 7 6 4 3 j m u R d V 9 r n b 5 c K 5 5 5 2 L V 1 5 5 B W v X r s W r r 7 7 K 7 z + h f i s o u i X o 9 K G M k i h y q 3 y w E Z E e x O x t c C Q 0 J + y f A l 5 z K l Y 6 m 0 Z U i P A b G 9 H 3 H / + J A 6 E w 7 f U 0 T l i + D E N 7 9 y F I P 6 q q q w s j p 5 + G L S e c g J N P O R W B m Q m 8 / 1 8 + B N n q f 3 x 8 X K 3 s P a 7 y O K y 5 R N 9 d I i c p d Q 4 o 0 Y 1 d 6 r 2 D v 0 B P p W 7 W 0 U c L p y f n F H I U 5 G r w A 6 M W r C w f 4 / X F H v f y b 1 b j z S T 6 U W J r g F l M J f p N M R J o n P Z 3 l D 6 N y Z T 1 j 2 Q i 0 2 E p m Z 2 w X S x E C 7 k t c y c i Z f 7 I T 6 Y W 4 i 7 G N A Y k d 1 F 8 o f x n z M A W m 6 G 2 T C H F 5 0 k N l c F D T z Y R C c F a N Y x k S V o l k G Y S V q R s o m U 1 U p K 5 I y 0 K y M + S e w e Z f 9 O 0 o g j 2 R D y p C v U L Y r G 4 W i h a i I X M P P H b 5 t O G 7 a G n 0 e V + h / 4 p i 8 K A h 4 H h g W n U N Z Z p A R Q b h Q d d A h F 2 F o t d + d 6 S 8 p Q 2 U c D z t / J 7 e a W S F B Q W z T c v 1 F T F G a o 3 h L K W A q k h E Z C C H R h U X T x 9 4 u 1 t g 0 T c 2 T W I p U s X d j A H P v 9 F R N / a g 8 5 U i p L W i l X 0 8 S T H s I s S 8 4 S H H k K M m q y m u h Q u c x T T U Q f K y 8 t V c m W G g y d / n d 4 j + y M Z O q E m O s r O w b 9 g o P J U / a i G X I m W i 1 y G k o K c S 6 v I s M X 6 S k d v 6 H W 1 c 0 a V Y x U H y o Y / / u H 3 a m 3 X N d d c T Z 9 t E O + 8 6 g q V 2 h S L h / D G 6 9 s x M T 6 B 5 p Y G r D x h v l l 7 + k O Z G K w y 6 L P I U O u M q P a W m S s W Z T 4 a 4 W m n u Z x M k r U 6 H K E R h N 0 i 8 W n c 5 Y W K C V L O 9 g 3 9 a G p k n 9 F U / 9 v D D 6 l k Z V l L d O 1 V 1 + I 7 P / g u b v z h D 7 B l 2 2 b U 1 z d h u H 8 I / S O D q C i r U K s E 9 h / Y h 7 X H r 8 U Z Z 5 x B C y i f D B d i q F B i T F k N 8 8 E a D y J J s z 4 X Y y M B V N f O D Q 6 Z 2 d d G X R F 5 b t n U o C e 0 n s / q Q J M 7 n w Y W A 9 O f / n R v 5 o L z z 4 W P a v e x x 5 / m w F 6 F y B Q d f p 8 N m z d v x d m n H c M B 8 y h n X e Z i J A T 9 z 4 N 0 4 u J N m 0 M X X k I F k 8 J h C o 4 r X n s J g d d e Q z I V Q v m F I p E y K i R f a A 9 v e / w t n P x O b Z 5 L o j Z q n 9 + F E O 0 h V b U u K r h g o T Y r s 2 W 1 d O + U G S 3 l b J z s H i I 7 l x e C k k / + G c R v Z N 0 b N n k i T f 0 k 6 U x E I E 2 z M J X Q I 3 I 0 Z V I x 9 l R G + U S 5 E M b x W n N D + F q f a k m 3 M + p e T k t x z b 9 Y 1 I + 9 g M M V J x b 1 v b Q p E E p 0 M h s p h B r W w s 9 S s N O i s j W k D p C k s t n s d l W q S 5 6 1 P 7 g V 9 d 7 j e a Z W w i C Z S G L 7 + n 0 4 + T z Z J z d L D 4 s Z g 2 I o m 9 i F O P 2 8 s C 9 f S I d D M b g 9 + S 6 K O x V B u M C U 9 9 k b 1 J Z B 0 v e S L L 0 o u t F h r q y o x O 1 3 / A F b t + 1 U D x u P c x C T D t x x x x + x e / d u j E 4 m M E Y p O T Y x i Y n J n K o w e u k p A 2 I u H B V S Y W q O f K l 0 J C x / + Q W 1 M 3 o j N e N Q a B D e c 8 9 V z G S K R e G g h J 9 6 e m 7 h D 0 c m 6 9 M s p l N c E 6 + R J D W i P h J y m W n P s F V j J g E H o x h M 8 d E 8 T V K q L 9 k w z A b F T K r e m 5 i D l L L 0 K y U L X e Z 2 x G 8 p Z C Z B P j P J O A S V t h F m E h N P A g a F k 6 N H i 6 H q S 7 B q 6 n X 9 U z 4 M X 1 B M P G m n + i u s p Z t 8 w l w V 7 h Y y t Z a + J s 8 q Q s + c k b V k G W U 9 i J 9 + 3 O n L F D 3 4 O + Y G h o 4 W 0 x X H K 2 Z q n H g G Z g o l A 7 n M J M L J y f 4 t Z C Z B I D 6 o M n q m Y r 1 a w I l C c D E Q c l Y m n y S 2 G u u Y p F 7 D + I E g y p f l m 0 i J J B 1 / a 8 6 A 5 v g b R w t T u A u T k X K U V y 5 e c k r x R t k U o D e g R c 5 s J L B G n 0 b Q z h u / D c t T 6 7 D 3 / c e g 9 c u 3 q m M G 9 q 3 f j 9 X n L K 4 K k 8 D d / 0 f 0 V 1 + w S K Y S a S q V f h Z e t j A L K V M l d d y O A C l y M p O S O Z C 5 W C h g M R E s Q 6 U + l 5 V r o o a o x T w F j P d 2 4 J 0 6 i G B 5 / k 6 H g o V 8 G s H c O T p N i + Z C T c f o W R 6 J S A I B K R f R t v i q R n k o k N P t i e c x 7 H 4 f I o k Z 9 B 0 a R P N y b R 9 f g c d e Q d q a h E P W X 4 m m h Q O x 1 D T s p g r E M 5 N s e y u b u n i r T D 1 B 7 q J A q T 5 j K d g 7 S J D L T K Z 0 + G 0 z k w Q F e s a t R 8 V M W / r s q j S x 3 t 8 K D T l L N W L X f x 6 J P 3 9 1 l p n C 7 C D B x N C E x k y 6 F F 0 U e I / F a i h j 5 A o T U e d F k T 4 r L G A p m I + Z B M I m T p p / x W A w k y D X Y r B L w d E i k O c s z E w 3 N E 4 x p P R s i E I s x E z p c D F B M / e Z c w v Y Z B w x x U y R Q / T j a Z E c N Q p + 0 m W 7 F N s 2 d W D f 5 k 5 4 f c 1 4 5 u F t e O i + V + l v V + D 7 3 / k V p o c s e O L v 6 3 H / 3 c 8 i G j D j 0 f t f p 7 6 g T 3 j v q / S r j o J 2 i K J B i Z n u C E q P s B / R 2 4 U / E E C J F D l c J G R p u 1 F m K x c T 4 T F U u n X H N E 2 B U M T x 3 v G 3 Q Z x 4 r W h a f r f I k l C e / l v R q 6 d J L R Z O a y k 8 l k W s m 5 l n x 0 a F V I C j Y V c O 8 m h k A J P B c t S W 5 u / Y s R D C M R f c j n w z P I t 8 j S D z O N G 0 Z E l o g l S 2 7 p T w v m i x F M 0 g S 0 5 Q o h B t o W f Q 7 V l 8 z Z B 0 y I z q i q N f M 2 f 4 T 9 F Q E o 7 x B p h a 9 d L H 8 0 C y 6 W e m o y g t c 8 I q y 0 T 4 y B Y + X 2 9 v A I 2 t F Y i k J 1 F m X Y p M e g r m c F K F 1 s W c N l l j c J p d 7 A v 6 f q Y 4 f S Y z Y t E k H n v o J b z r g + e w b 6 R S 1 O L W R A l y Z H 4 W 6 Z w 1 Q E W h 2 / z x 2 H w D O D + O h p k E 8 z X F Y C b P 6 B + K M p N E 2 h I Z m V e q W D Q z C U T 7 i q M t k D 2 P F g O X m f 5 B O k o f a Y T + X L + 6 d z I d Q i T e o w g j H H 4 L 0 7 K J Q D F m o k Y Y l O 2 M O X A z q V F M 8 T e S Z n Q 0 z C S Y n 5 k E + S J b J k V z A w y y q b O Y i K K d Y p m Q v N O / k e 8 m a A J l 9 1 s W Z n K M b l P n S 7 T t i E g X J b F F w + m x K m a y 9 C z s / w o T l R j M R G Q S c a R o q g k z C U Q b h d m / k p M S d V t R M / 4 w M h b Z p C 7 J 4 w F q 9 G k k 6 N f H k k F e L I p r / u U s 5 R N G R N A d C T z P N r Y O v o G f F 2 e o k l Y X 4 u T i e S F z O Y Q U A x H H 0 n C q B e P j E 3 m f B S a 9 s L x E C Y 8 G 6 w 8 7 1 G 4 Z C y F u k s i Q B i F o j i B G Q k P o m h 7 A 2 q v n z w W b D y b + v t z e p i Y W j T m Z 3 D B y M f j p 9 E 8 k + j G e C W A c U b V u a S Y x h L C u A W S B X k o n 0 k w s y 6 S y C b X M W d W X a t u L z u b D q f / / c y C V f O e D B D S E u U S A S A B D / r o t F X n j 5 z C X q W T a X J j d 9 W y j a c H Q t Y E C U l A o s t Z x D l R d f C K m E 3 S q t Q + 9 2 x Y W 4 D a V t 0 n X g A R O z t K P Z p E 7 7 T F U c w n a Z r T 1 V Q K H 3 v e F q C i Y B M + F t / + X c A w 8 D B N N 8 A T 9 7 k D j f x R n K I u N a m 8 4 P y i R C 1 N 6 B h 0 d W l q K M d l l o K q q U v s s Q Q s + 2 O j o G D r 6 t Y 4 o t s P 2 f J g M m 7 X q r g v A R C c z U X 2 W e h 8 M z W j 1 w P l I k W Q Y Y 9 t n 4 H A t z A j F k N E X 0 D V 5 T l P O t L w k 3 F t i q 0 W l L Z s 0 K s E B C 4 l V N i p L i c m 5 C K S o u U z 6 l p S C E s s 4 x q O y B c 7 b K w e 9 G C R z J p f n g k x B U 7 V w Q l h C 3 g K R 3 j K U h R P C E W 8 D X M E B / d M R k J 4 r H u a r k y r R Z A N S F 1 / 6 3 p G T s N p y s g v D b 8 7 v u w v z u m k p q H k l M 7 3 D A n / Q s D w M 7 P e d Q y E c R N v U k / M X q C n I + l f g e L u 6 / 4 B g 0 1 c Q a 3 w 3 M j k 1 5 O f t b d + S B G Y O F Z c w i A 5 h 2 b I F 7 O K k H w m x 1 f h g U q v v S J O 2 h V j X 4 Z i z q X I x y B Y 5 B r y e U p g i 2 h L y K l c Z r N N v L 6 o l G i o X k h k i u 1 p Y z R 6 l h Q x I c E C 2 U S n c 8 X 4 h h P R a 3 C o c S 0 y n x k m w R + f 0 F s K k D 1 D R c S I y C z L U w g j T 3 E s U T I 8 Y s E i p 4 s U g V f z + g e h c r p J q s 4 X W T W G E s G 5 t H M M 7 9 Q 8 F C E 5 M I K I T t 2 w m I P U t 5 o P k I j q p f T J 2 L 7 r L r 0 L z q L 6 L Y g 4 K N x 4 U B e H t p 1 k X n 0 a k 7 V P 6 w X w s 0 N s m l C 6 n p j g Q U I w l O z w k o 5 T G S R o v H q 1 2 m k o c z C F A U 2 x Q e y M 1 C D K U N p I l T t J b L G R 5 8 n j I g g u W L a y Z Z m H R 1 L p M i A o y L j I u 7 X q v v X J W y h 4 t M h L A y I E s U B Q p t d D 2 l o t F g g w o C C V G 0 D c j V V 7 f P r E b k C U s N k r i a M K h d p T 8 Z 0 K b 4 y o + f s G y V W i b e E y 9 T + a U M p i D e R j K 5 y x + X b F u h K m 6 u j W h U + z + d S f w s s M 0 C X N k n y 0 Z h Y 8 M u V h Y C z J 8 x i o v Q / V k / m r u 3 D N s U 9 t h G 1 5 H r f Q f S D v n N 3 X N U z S t F k L l K p 9 i L F e Z A 1 a n B d M d d L 5 1 E 0 / L 5 T O T k W R 9 E X 0 p h x 7 f Z 2 M z k i m g 0 t 5 p E s q 6 G M V c 8 6 N 7 y k q T k N r F 2 P + 2 G C T t P 0 q m l S R W w l y h p U c Z 2 Q U K u l 0 f o z n 4 9 p B z f 9 0 H K o Z U J o a w 1 B K X K Y S j g E T X m r y n w u P I J s z + o 5 A t X M o t f o y l t D k u 2 X D 8 n w X 7 n A V 3 W X R X v h O 2 0 B E C N 2 Q o 8 Q + L Z T 1 I J d x i E P p q a q w n Y 4 l v W T x j 3 1 I X p O V l g b W 3 H c l Y G o l i S 1 3 m M S 1 z I T m O s n 2 o 1 G C c K F m b p + k d + t J 3 T / + v k S g 5 F o l 6 r c j r Q j C X L 8 K 0 y k N 6 r h r V t v K Y v / U Z C w l f m E s P Z h R D W / k 8 p o + q d K M / J e + T c Z J p J S O c 6 j e Y z A / f 5 n a G v W D J t X w n X + e + D E h G + k D w T U y G y N H 6 L h A K + o R e s c 2 9 Z C J X U n p k 0 a U w 1 2 K R j v T D H 9 6 X Z 4 o V L k V 4 O 9 B 2 k 9 T G Q D Y c l 7 p 5 4 p z L y 0 O f U u a u Z B O 8 f y 5 M q A t v g X W h m n 7 p 7 L M V M p W U l R a r p B g y l i g m 4 5 p V E I 8 l E Y t K J k b u q P H u 9 h Q i d Z 0 o n 9 4 P S 9 9 S 2 K e O / v k k G 9 5 l q U C S V k 2 a 5 m L j Z M 7 G 2 L R M f H 0 / R 6 j p i + T g x f n j Z q n 6 I w s l J V v i S N j 1 1 l 5 M p s c w O j K B M B 8 w 4 A 8 h E j 0 K a a g I J 7 9 T B L u H i t x b g h o C t R P 8 X G Z 1 9 v + V p m d + K F U U 5 3 D A q j r e U 5 M / c S z f y V V y X w a a v a e g 0 b s W F R 6 Z 6 M z p O N 1 / K D b R K w 6 u v D R b f W 5 n P / / Y D t z + i 0 f o T p Z h w / M H 4 D L X I B 2 s x P 5 D S T z 5 + B 4 8 8 / A W b H z p E L Z t 6 M I f f y 1 F Z Z o x 3 P W P a R a D X 6 S i q x S h F O d c X p K 2 J A x X 6 E 8 J s z l o J p o S k 9 S 0 R 1 e f w c C I 5 z T 9 X X H M W 3 9 G R 0 7 9 1 D w E 1 A 6 O 2 i h J Z r r D q Z W p y y U f + b j c / w Q C t c c g 1 d y J G d 8 M 0 j 1 1 M B 9 p 2 m c B D F Z e j J a x J + A d 3 w P b 2 B s I N P + H / s 3 i Y L n 8 8 i u + 8 + S T T 6 p i 9 6 N j E 3 j 2 u e c Q D E a w d d t 2 r F l z T J 5 U u P / + v 6 K s w o f d e / f g x L X H Y e u O n a o U s 7 N I + v 2 8 E H P N L O F 2 4 K V D T n R N W n F G a x F C O o L U d s V f R N x z h v 4 p C 6 + D T J G m + R n t g q d S N 0 G F W C T i I 3 + L R H N 6 g 1 v Q 3 x m C z 2 X B c L I d 3 X 3 D q K + X V H 6 n W h b f c a A P D f U N N A Y X T 3 Q n H H e S K u S S p m C Q u Z G x 0 R l V v / z A g Q O I x 0 n w s Q R q a q p w 0 o k n Y d u 2 H W h t a s f k z A Q q a t 7 + h H o 0 6 U K p O Y B o g f m T n q c v x f 9 K y R y e x T U b A Z O V w o a v t x i k b B 4 4 g w M o m d q H i H f u 0 v n 0 D K 9 d m u 0 3 y b R f D C I p M e u L c G O O J D S l k w h a G 6 h Z t O e V t V 4 x z w A i 6 S B s X U t h q s w v v L N Y h K f f i V i 4 B Y 4 2 b d p F y g Q s 1 i d X m R K h i A y 6 C z Z L m u r b o s p i y a I v S 5 H 4 5 n R 3 C G V t c x e E H Q 2 E m U y y j N 5 a v F j i k Z G h 3 z Z J U 7 O 4 E x q a D q l F k J U L b L K U o V 9 n E l O U S C U i 2 L h 1 F 3 b t e h O l p W X 4 2 E f f h 9 / d 8 S d 8 8 p M f x 6 u v r s d Z Z 5 2 O 0 f F B O E r n N + 3 M H F w 7 J X 6 c x G g s B 8 i F l O m S y k I C I 6 t B a j Q Y m u S f A S 9 N u 4 l M G R x F l t R L e P 9 o I p J H 2 j i g G G p H X s Z I r V Y C z o B 9 Y D X i j f v 0 T 7 y u t V w v E J O F m H 3 F N F U x v y s X b f 6 n 0 F 0 y d 2 M L I 9 s 9 P J h G G Y 5 F v D 5 7 / w V B u r T 2 L 0 X p c o 3 u J R g n 8 Q N / g m Z 6 Y h B N 7 o W 1 s S A v 9 S i d p g G j r 8 y c D 9 N 9 Q Z T V y 5 2 P L u M h F 1 t 6 7 T i 1 R R / 0 w n Q c s V t I Y E n a / D M J L a e t c E m G d + g 3 C N Z / Q f 9 U g O Q M 9 r 0 + i l X n L F N Z z E e C 2 v i M f p p t c h / S z Z e r 7 G d D M J q t F q R p D 2 d i g 5 g 2 x d W 8 T C G K b V B m 5 o C K V p C 6 e 8 5 U A j M m N w W V 5 j + G y E y e I l k N B n O J 1 p g v + f V I k I 2 m J x M l R a + / U F L t Q j j a 5 f h N Y 8 + g v z r r 2 y Y H X b A 2 5 L d n b r I s t W v C B G f B J L 5 E V u f L q 2 y b f B z d F c X 2 b J o L a + 8 y J J s 1 5 h Q t 9 v x j 2 1 F b W 4 P 2 J b W o q i 9 X V Z u s 4 B h N 1 c D d Y F b D L 8 u E x M S c P k S m X K 5 x e 3 9 4 8 x G Z K k 8 u H I m Z B N b 0 + D / E T I J Z Z h I Y z G R E 1 P j A M t E 5 L c w k 4 8 9 X 2 t g u M k 3 J E + q b n 5 l k r y R r K Q K D J B 0 y k 2 S o F 6 I / u E 1 / p 0 H t I u h o x N Z + N 2 J J P 3 3 C K O 7 9 0 1 / w x F P P q E W L 9 9 x 3 H 6 z O W p U 9 U Q h h g k J m E h g m l m x c F u L 3 B j N 1 j z c q Y k 8 W C e z I / I l o q v m I X i J e B o Q 1 i k E 2 m p b r S z n l Q s h 1 J T h x t D C Y y U j I 1 T a o 1 o I d 8 s p F P B V G Z 8 W Z S l M Z K L Y J u m i e Q H K E z 8 t n 0 s f Y a Z f C M d p 7 4 1 X h L L 6 l T 8 v Y Y 4 t m J k G g c T M s f U v U N a X v r n j H x Y j F 4 x g d D e L e P z y O P 9 7 6 G E r t L b j z k T s Q 9 E f w 4 I N / x + T E D G a 6 Y 6 Q j 0 u N + q Y V B v 9 x a r Z h q I R R N j l 0 I 4 b E I 3 N V v 3 8 6 X T Z d l T 6 j 5 I A / c O z M I r z M C n 7 k + r w S W w N 1 1 K 2 L l 5 y B V d p x + R E d i Q k V l p C z Y 2 O E x t B y 3 u A V h B h w j z 2 P A c i q q a 0 o Q j a b R 2 9 t H s 9 e H a C y M 9 q Y K + N P 0 g W Q l r g 5 v M q S 2 k 5 k P x u K 0 t w t H M o a Y N c u s k j 3 u M J f M W d t U m M W w 2 G p J / 0 y 4 K V j C O d k C W n R E U S 8 5 S r h j Y U h p O Y 2 L + B P + R o I N g t w q w x o y a B p 6 E o e q z 9 b P t t I f T a H E P f / K h V D M T S E T V s z u j D l h G l 9 B J s k g n p m A 0 1 K H m H 0 Y S W s U M 8 E A q p s c q H A s Q S Q W R S p p g l d f P 9 U f O A x b y g H b e A k q l v n Y i h T G Y w d R Y m 3 U M z l M y n r p p y 9 + 1 M a 7 x U k H O 2 h G u I j 0 X w w 2 9 2 S J T N b k z + h Z A w K R X F I p q N l L j W B b O o e Z n H 3 3 I N z + O a R K V t M H y 5 G 2 N N u M F J F D z w X m M N O w / 8 i P G S 8 / D U 2 x F 9 g m M x x 2 K 5 Y v a 0 d 9 X R X a W 6 U q O m 9 R k O u 1 E D M J o v M k V Y a j i x N G w k y 5 G k W Y S Y i i E I X a S p h J f p e a J y l V N M w / G 3 n M J K C m b R x / A f Z Q V q s u B F l p P R k 1 U t n U n z m Q k H 9 j z + P o r 7 9 a + W F O 9 f I p Z h r o m z 9 J 1 6 g j b 7 e 4 k X a b k W r p Q L K p E 1 F 3 G O Z 6 + v G u D N w + L z p l 9 3 s 0 Y v / B D j z y y G O z z C S w m e 1 I W G K K m Y L d Z E p Y U O 1 Y r W p / h J O T y r 8 S Z h K o X p + J 5 D / F D B 3 o w + N F H F h y o U z u V n v T c F N F v x 2 c t S R r 7 o k 6 L X V k V 7 0 a u X N S a D J v Y 2 z e 1 z 7 8 P K L N e o F 3 O v 6 e o d u 0 9 6 p S k Z b A u P 2 R A z j u X X M D F W X u I 7 c 1 Y y 9 F r C q 7 s L A 3 s E n 9 V U h M o l w 2 Z V 4 g 0 d R A h p p J t J M R z Z L r x X J 2 j X B T 8 x 4 J R h u 0 F b o i D x P q G v G 8 A v 1 S 4 8 G u K h k V I m R 1 q 0 q z x f D P n 4 v K h 2 E a x h J O x A O L t 2 T k m U U j J V X / 8 f e y 0 Y O p E n V 9 z 6 D N / w Q q h z d i o P U a / e w s A o l h N D Z X q 1 I A R w N f V Q Z O Y b B U G n / / 2 2 N o X 7 E C O 3 e 8 g f 1 k r M q K K v p V 2 Q h h r U e L X o q m 8 r Z F M X U w S h 9 L o y m 3 V b J y Z N d E c V 1 o W H c P j G c K d x O c D + m E r B / J T 4 Z 9 O 5 D O c i y y K L 1 l 5 g C J I I Z k m b b T x i y k A P / w O s S b 3 o l d f V a E w 3 H c + e Q 0 f v c f c 8 O y E y E z K j 1 H f k Z X / 3 0 I N 1 1 H U s 1 / P l V T w O L E B M 2 + I y G a m i F R a E w j F Y x E g z g s X s T T I d h M T k q 7 + T W b F F s x G M Q w 5 c z p B I L p i X l c c 0 p g a w 1 b O 1 c b y f L u 6 D x Z 8 t 4 E z d U C 7 f / P h u T B p Q + X I L n s y A L E g D B 7 y f g u l J r 6 M G l Z j W C 5 F r z I 7 p S o I V v 2 T M b p 7 Q l 2 A 9 5 E m H 2 R X T h Z F x h E o u J U 9 r f U u 7 D Q z A 9 z z E Q w 5 N N E P J h E 3 B + H t 0 F + q w m 9 V D q O / w 9 u R / y B A K Y h D 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 P o l l u t i o n   C a t e g o r y "   G u i d = " 2 9 a c 6 1 1 b - a 9 7 6 - 4 2 6 6 - a d d 3 - f e 7 4 e f 3 1 3 4 9 3 "   R e v = " 1 9 "   R e v G u i d = " 4 c 3 7 0 5 e c - 6 5 5 d - 4 9 f 9 - 9 9 8 c - 6 1 3 7 3 b a a 8 f f 5 "   V i s i b l e = " t r u e "   I n s t O n l y = " f a l s e " & g t ; & l t ; G e o V i s   V i s i b l e = " t r u e "   L a y e r C o l o r S e t = " f a l s e "   R e g i o n S h a d i n g M o d e S e t = " f a l s e "   R e g i o n S h a d i n g M o d e = " G l o b a l "   T T T e m p l a t e = " B a s i c "   V i s u a l T y p e = " S t a c k e d C o l u m n C h a r t " 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9 & l t ; / C o l o r I n d e x & g t ; & l t ; C o l o r I n d e x & g t ; 1 0 & l t ; / C o l o r I n d e x & g t ; & l t ; C o l o r I n d e x & g t ; 1 1 & 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C o u n t & l t ; / A g g r e g a t i o n F u n c t i o n & g t ; & l t ; / M e a s u r e A F s & g t ; & l t ; C a t e g o r y   N a m e = " N i t r a t e   P o l l u t i o n   C a t e g o r y "   V i s i b l e = " t r u e "   D a t a T y p e = " S t r i n g "   M o d e l Q u e r y N a m e = " ' A l l D a t a M a p ' [ N i t r a t e 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A l l D a t a M a p ' [ P h o s p h a t e   P o l l u t i o n   C a t e g o r y ] C a t V a l S o m e   e v i d e n c e   ( 0 . 0 5 - 0 . 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5 & l t ; / X & g t ; & l t ; Y & g t ; 2 6 0 & l t ; / Y & g t ; & l t ; D i s t a n c e T o N e a r e s t C o r n e r X & g t ; 5 & l t ; / D i s t a n c e T o N e a r e s t C o r n e r X & g t ; & l t ; D i s t a n c e T o N e a r e s t C o r n e r Y & g t ; 2 6 0 & l t ; / D i s t a n c e T o N e a r e s t C o r n e r Y & g t ; & l t ; Z O r d e r & g t ; 0 & l t ; / Z O r d e r & g t ; & l t ; W i d t h & g t ; 5 3 1 & l t ; / W i d t h & g t ; & l t ; H e i g h t & g t ; 7 6 . 2 2 0 0 0 0 0 0 0 0 0 0 0 2 7 & l t ; / H e i g h t & g t ; & l t ; A c t u a l W i d t h & g t ; 5 3 1 & l t ; / A c t u a l W i d t h & g t ; & l t ; A c t u a l H e i g h t & g t ; 7 6 . 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3 4 & l t ; / W i d t h & g t ; & l t ; H e i g h t & g t ; 2 6 1 & l t ; / H e i g h t & g t ; & l t ; A c t u a l W i d t h & g t ; 5 3 4 & l t ; / A c t u a l W i d t h & g t ; & l t ; A c t u a l H e i g h t & g t ; 2 6 1 & 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9 & l t ; / M a x i m u m & g t ; & l t ; / L e g e n d & g t ; & l t ; D o c k & g t ; T o p L e f t & l t ; / D o c k & g t ; & l t ; / D e c o r a t o r & g t ; & l t ; D e c o r a t o r & g t ; & l t ; X & g t ; 1 0 8 9 & l t ; / X & g t ; & l t ; Y & g t ; 1 6 . 5 & l t ; / Y & g t ; & l t ; D i s t a n c e T o N e a r e s t C o r n e r X & g t ; 1 4 & l t ; / D i s t a n c e T o N e a r e s t C o r n e r X & g t ; & l t ; D i s t a n c e T o N e a r e s t C o r n e r Y & g t ; 1 6 . 5 & l t ; / D i s t a n c e T o N e a r e s t C o r n e r Y & g t ; & l t ; Z O r d e r & g t ; 2 & l t ; / Z O r d e r & g t ; & l t ; W i d t h & g t ; 2 0 9 & l t ; / W i d t h & g t ; & l t ; H e i g h t & g t ; 1 1 0 & l t ; / H e i g h t & g t ; & l t ; A c t u a l W i d t h & g t ; 2 0 9 & l t ; / A c t u a l W i d t h & g t ; & l t ; A c t u a l H e i g h t & g t ; 1 1 0 & 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N i t r a t e s "   C u s t o m M a p G u i d = " 0 0 0 0 0 0 0 0 - 0 0 0 0 - 0 0 0 0 - 0 0 0 0 - 0 0 0 0 0 0 0 0 0 0 0 0 "   C u s t o m M a p I d = " 0 0 0 0 0 0 0 0 - 0 0 0 0 - 0 0 0 0 - 0 0 0 0 - 0 0 0 0 0 0 0 0 0 0 0 0 "   S c e n e I d = " 2 6 f 8 c b c e - f a d 9 - 4 4 6 3 - 9 a c 6 - 4 7 0 0 5 3 b 1 9 3 3 0 " > < T r a n s i t i o n > M o v e T o < / T r a n s i t i o n > < E f f e c t > D o l l y < / E f f e c t > < T h e m e > B i n g R o a d < / T h e m e > < T h e m e W i t h L a b e l > t r u e < / T h e m e W i t h L a b e l > < F l a t M o d e E n a b l e d > f a l s e < / F l a t M o d e E n a b l e d > < D u r a t i o n > 2 0 0 0 0 0 0 0 0 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A M S U R B V H h e r b 0 H g C R H d T 7 + T c 6 b c 9 7 L Q a d T R D k H h A R C E l E k Y 2 y w s c E G / L e N j c 0 P D D Y 2 O Y M k Q E i I Z F D O O Z 3 C S b r T B V 3 c 2 9 u c 4 + Q 8 8 / 9 e d f d O z + x s O J l P m t u Z n u n u 6 q q X 6 9 U r y / H x n X k Q r T U n w W Z z A v L J o g 7 p s P C l D s J q s S K X y / M v j 8 l h g f a V 9 p f I 5 A C 7 V X u v Q f u B / J v L p 2 C z 8 B 7 6 U f l s 5 W c 5 P c v 3 Z s j v c v k 0 f 6 d f W N 3 f s X B b A 4 V v B X l k M 4 D V b t y P b c n F e G 0 3 b G x U H m w c 2 D g e z 8 u X e Q s s t j w s f B 7 5 v b p G N o 6 s 1 c 7 7 2 + W T e t 5 I e E 6 9 N z B / 1 I K K d R l Y r T b 1 W a 5 r y W c Q T 4 2 h 5 z E b a i + Z 5 j 2 T 6 A i c h X y e 3 6 W n E Y 9 W I p v K I c X H 9 F R Y k Z z w w t Y R Q c C R R h p 2 O H N x p D I B h P p s b H c U s Q Y 7 O q u z f I A A r 5 F l G 7 V 7 z R 7 M o W a L F X O R Y w h n L e i o X K u O W 3 j v 4 c w I a h x d 8 D h q Y M m G M N t T h a q 1 E f Z b B t F s A q H M J F q s L u T c 6 9 m m E e x 9 O o K 6 9 T W w N 0 b Q P P E o s m s + q a 6 V S U z D 7 q 5 X 7 6 M p C 3 x O 6 R 0 g z e Y 4 c 5 P I O x r U 5 3 w + j / H j x 9 H c V c + + y y F v q 2 T / J W D J h f X f s G / 5 X H n 2 D X s a k / f c g 9 x 3 b 4 Z t 0 0 b k P / N 9 1 G 3 k 2 N v t b P s A 8 v Y W D o 0 D n o F b E O / 8 O C y Z I M Y P W J D s H k S X y 4 + c o 4 l 0 l U F o b g r z t n r U + 6 1 w h 4 f h C d 6 D g c w X k O n k 6 d Y i w l s M 0 g K s X v 3 D 0 h i a y 6 G 9 2 n S t X B a z i R h q v A F E x 6 y w 1 c / D x X G R Z / K l R + F 1 1 i A T T y E + F 8 M C Q 7 l z 7 a i p q U Y 6 n Y H D 4 V D X s f N h E 4 k E G c 3 K Y y T w X A 7 Z b F b 9 l d / I e 4 H L p T M i s U C Y O v F m 2 B h h U O l w A 8 I Y w i w G D C Y r Z S o N 0 m z 5 Q 6 L P k 9 D 5 n H J / C 5 l b G C F F C n U 6 n W x 3 m m 2 y I 5 V M 8 j i Z g S f l e W / 5 n b y X q 1 i t F m T Y Z j n H 6 / X q 1 7 G o 5 z P a j 2 y U D f L p H 7 R 7 R Y I T H O A J N p z E L R e z V y I 0 H E V 8 J o v G 7 R X 8 V e G p d 9 / d h 9 O u 7 8 Z Y d B / 8 t i b k h l v h b u 6 F y 9 P I 8 1 3 q N 5 b 0 D I m v i p 9 t i t n y 9 h o O 1 C T C J D 5 n d R S J 5 D q 0 + o P I O 3 m O C e k Y m d h p Y 3 v Z 7 i y Z n A S d d 9 T y G y u G I q + j 0 b M B 4 2 E H m Y y C h w O d d 9 Q h O R d C e N K H u u 5 Z p N n v H E X k e N 3 9 D 0 x i 0 8 U e e C s r E I 6 F 4 P f W w D b 2 G F J 1 F 2 I u 4 U K 1 N 4 c d O 1 7 G x R e f j 0 w m Q 2 Z n / + V G Y X c 2 k + O C q g 9 E W C A 5 j f k x G 6 q 7 p R 0 6 y F T k J D a L x E t h Q K m F / v C L G H v b 5 9 D F N r Q 8 f T + P J x C b S S M y R 8 b t n E F 1 O o a p 7 C i y T j / a v F s 1 R r Q F M H U w i + 6 K H w A O G + a 9 7 0 b c y f 6 0 T s B u q y A N Z T B z h P 3 e 7 k e v V 5 i a 4 5 B L k 9 y S y P F c M y x Z M p P N o 4 1 f C d i N a v h K v 1 H P x 6 N C I 0 p g y L + 6 w D b Q k E u g w x a m s L H B 7 e A v D I Z q q d n K R m q E b c C a T b I R b r 7 j B S i 5 p c E Z E o U h v c t B L m Y l U e Z t I g m k G W w I H 9 w M Y S i R 6 i J 5 T w x O n s u r 8 g G F g X J k m E w m q y S T S E u B j e 8 d T g e Z J q 0 Y X o 5 7 3 B 5 q K E p + M o c w k 5 w r w k J e S n j I u a r D F 0 s v x V C i o d h x s E p f F C D X n j 2 Y h r e F H U l N F x p K w F V t w f F 9 A 9 h + x T a E j t t Q t T 6 L i c g o k i Q y q 2 2 e 5 2 R U H 3 V 4 T i J R F h h 3 Y l 8 Q n o 3 z S G T W o M G n 9 0 s m x N 8 I w 2 r I J D M Y 7 x 9 H o D O N S j K S J Z c k 0 9 R j K j q G Z C a G d i 8 1 B K V w x N K p a x V N q A n m h s h Q 8 0 7 U n + T D 6 / f 1 4 7 R 3 d r M 9 N v T 2 9 q m + a W l u w e 2 / + h U f M 4 S h s X k 4 X A 7 2 p Q 2 X X H I J z j z r L I Q j h 1 D l X 6 + u V Q D b y T Z k w r N I p a v h q 5 i j c B D B o Q l k 5 C g g l U A j v X C s h y + 6 F A 7 2 W f M T t y H n 6 u I P N M I c m O 1 H w + Q x x P O X o G Y z h U y y D x l H G + / v w M T e B B q 3 8 X p s S z g x g I C 7 X Y 1 X h t o + M u C G p z m O Z M C H A 5 l C P w n E Y l C M z d 7 O 2 / 1 y R F G j 0 L H c N q 8 0 l X b / 5 S A 0 m q c l Q J K j g J Z H E 1 r L U v j b S I t Z d N q S a L P y m j o s 4 7 3 3 5 G O + Z r R W b 8 Z j n / w 0 T n r 0 c R 7 V b n T o I 3 + G q 7 7 y F U Q i E f V Z h k i + C X j J W h a R t h Z + F 0 b A w w 4 T S i f 2 H + q n x n K h s a E B k x N j a K y v 4 J C y Q Q 4 f n n n + W b z 1 r V e i 7 / g g a m t q 4 f P 5 2 L A M 3 C 6 3 k j Y i C Y U J 5 H w z D A 0 m L c j R T L N S 4 5 H O E Y 1 H F F N V B i j t 9 d Y d P L A P A Z 8 b L W 3 r t E 6 w s k M 5 7 k I 0 W g t L w Q t R q h n a o x Q L D L U a k I B i k Q w i / V Y 0 n O w m c 4 T g J k P M J I 7 D a X F j L j W E R t c p m I 5 7 0 F o p x A 4 8 c d S F S 9 c n E T p m h X c N R Q a 1 j x m W 1 C j b 5 i V R V H E g p a 0 J T O 5 N o f E 0 7 Z k t 6 V l K X 2 o z S u w s 7 2 V L T 2 E 4 3 o Z 2 z y B / z 8 F 3 t a i + P T 7 7 O n w e D 6 a e r M P J 1 1 R j N h l H j Z s M K A Q v o K Y E N Z o l O Q 9 r Z h 5 H Y u u w r l 4 T h M a 4 G 7 D w H s L I p R j f G 0 K T 0 t h m a G f n a O l M X v k 2 P o s V T c 8 8 q Z 4 j x z 7 J U J B V H f 0 m Y l u + q H 4 t p u r o g T j H P E B h 5 + M Y W h E j w 8 p 1 P I E a p M n w n k A d A m s S O D D u x N a m F M Z S M + i z r u V z 5 p W w F / m o k z D u + P q X 8 O F / + n + q F c V P U Y C F C s B C m l J u g C g Q a l Q 6 N t o 1 e E i 0 k s W e x 3 0 3 / w j v / M Q n 1 X f G t e o 5 p u t o 7 R h Q G k q + a q a G e v E v P 4 l L b v + V 9 g 3 x 9 D / 9 E y 7 + 2 t d w z d u v w Z V X v h W t r a 0 4 c u S I k u x n n f U W v j + K g Y F + n H n m W 5 R p u H 3 7 y R g a G s Z L L 7 2 A Q K B S M a L f 7 + X n l 5 X W u P j i i / H + 9 7 4 f v / 7 V r Z i d D / P u V j S 3 N F F K H s O / / u v n c d 9 9 D 2 B m Z g Z V V V U I B U M 8 P 8 r 3 Y o a m U F / f g L m 5 O Q w P D 5 E p r 8 K L L 7 y E c D S E 0 0 4 9 D e F w W J l 9 g 4 O D O O f M k 7 H / j Y P 4 5 C c / y 4 7 l o 4 s C U l 2 g + S C 5 L H u I / y u 1 X U b r l E J j K B l Q w e I B E Q J Q x E w H o 3 / 3 E Y R m c m j r 6 k D 9 l g p q E J q P Y k I S S b Z g P E H T j 9 q 5 0 X + a O i a Y C F O L e f L Y 2 5 P B K R 1 Z O H 2 6 d D c h E j u G 2 b Q F r Y F 2 2 D P T m D n W T D / K g s F g L 7 8 V P 4 q c K P e R Z 6 H G k D Y N k a k 6 3 L 0 0 7 9 o w I u Y n f Z r g 0 R y 8 9 S 4 0 e M P I V a x V f l d e T D i R 5 r r V Y U k X f C T P 8 R 8 i v u Z T 6 v 0 i 8 D 6 l Q m i m N 4 w m / B r p t X + t H 9 F g S U 9 g 9 / W f Q H M o h M b H H o b F X e h z C 4 V O c m 4 v 4 h U d q H T R E R J Q c E w f G Y c l E E B d E w k 7 M 0 W x R 7 O e J r T A i T D H h E J 4 v g p J m p z O T V V 4 I y 3 m e B Z 3 / v i 7 2 H r m O f S 1 Z j D W 1 4 t E P M 4 x m V Y + 9 P r t Z + D l R + / H 1 R / 5 O B 6 6 / R Z c e O 2 7 8 d Q f f 4 s z L r s K 2 8 + 9 E M 8 / c J d i o h D p z E N h v + 2 c i 3 B 0 3 2 4 4 K I z X b T s V j / 3 2 l 6 i q b 8 R H P v 8 f Z F 5 x f 3 L I D B 7 B W 7 p 9 8 J E n r H Q V l H j S u F e w m G A E 5 5 9 / A X b v 3 o 3 x 8 X F 4 K O V E s + z Y 8 Y I i 4 L q 6 e t x 7 7 7 3 q v U g G T T r Y 8 L n P f l a d + 7 n P / g N 9 s 1 o 0 N X L g 9 O v n r U 4 0 0 c T I Z e I 4 f r w X 8 X i C D J n E 4 4 8 / g a e e f B q j w x M Y 6 B / C 7 O w c X n / 9 d W z c u A k P P v g g D h 8 + r J h M 7 n f o 8 E F 4 q N l 6 e n o w y 8 7 r 7 + + n H + D A v o O 9 v L 6 L D M O 7 U R q K o j e Y S W C 1 8 T O 1 g E i d P F y m Z 1 8 O w n y 0 z e n 7 K H W n w 5 I i 8 Z G Z d j 3 4 O q Z H Z 7 D u t F p s v b A L 1 R 0 p S v o h / o C m L Y l T n H U n p b + H f l O D b z v P o z 9 G D M + T y U I W + l s v 4 5 T 1 8 4 g M 2 u l z k l B L 4 H c 2 o N 1 X A 7 s w r 6 O R T K 7 9 p p N O c q e f x M 9 O D 5 H o I u l x T M b 9 O B 6 q o B 8 y T r O q E 4 k 0 B z 5 9 K o 4 9 M g 1 f T Q D 1 d S 7 4 Z n / N Z 6 H v J s x E i L i Z j B 3 U 3 u v M J N j h + B z 8 f f 9 F 7 U W f q R Q G M 2 U 1 6 2 V + I A x f H Y l e Z y b 7 3 D 7 4 B r 7 J f q A Z y D b b Q 9 S i P G 4 w U 4 T X F L / M N 3 I T n P U X o J L 9 a G D 6 S E Q s P P g b H f S 9 J p R 5 m L F V q + 8 c 2 X F a R / T B v R 4 E u u l n W Z K I T F I 4 i 2 K n H 3 P e 2 6 7 D 7 m c e w + H X d i I 0 O w t / R S V N 0 Q o y 0 + k I k r G 6 N 2 8 j E / 0 G 6 0 4 + n U z m g I v a p W P D J u x 9 8 T l 1 f a v N A b f X j 8 q a e i R j Y U w N D S A e j e D A K y 8 s 0 E q M T G q j u S z u w t j o K M 1 r v 2 I m g d J Q w l V t t a f h o Q 9 / G N t + 9 z v 1 h e A Q m e K q b 3 5 T v R c p r 7 M D X 7 q Z o M O 4 k X x / 4 O A B b N 2 y V T t Q A u O 7 Y 9 R I 7 a 0 d S t P B l l k w 6 b T r 5 L F z 5 0 7 s 3 b s P b n Z + R 0 c 7 L r n 4 E v 2 b P L 7 2 t f / G B 2 5 8 P 7 q 6 u m k u S l B B O 8 t G R z Q D L 0 a o w W q q q 6 k Z f U o b W W z C V D q M Q A g H R B s B i f z x M F W 9 W F N y L a s E K E x Y 0 e Q j g + 2 + + z h O u r Y J L x z 0 4 Z G X w 5 p g 4 X 8 e l x V f / q C Y q B I B E z s + q 5 x t i W D l a e 7 k y S g 9 r w 3 Q 2 r I i T s 1 T 1 9 p A p 9 + K 4 O w w s q E 2 b L 6 y H n a H p j n k P p a M M H Q e E 0 f 8 a N h G c 0 g F N C o Q T o 3 D 6 2 h W P o f g 0 I Q D m x v J d C R a S y 6 E / s M W 0 A 1 A 9 7 Z 2 P i N F D A W Z 8 m s d A c X 4 e R f 9 E g V 9 J J X m 9 p C 5 L b D T Z P Y d + 0 9 E 1 3 1 B + 8 4 M 6 T S + Y k H + n s T s r f P o X x T D G u 7 H 6 B X X U F s 2 o O W 5 p + n v B e F i u z 3 9 N y P c + n E + o x U T s X 1 o c r R g 8 o g P t Z v p p + f m k L D U 8 X d 6 m y R g p S i V o G W T 5 P 2 M 7 0 I 5 G / Y n + S z U Q u m c l W a z D A B H Q B 6 a 7 b f o 7 s h K Y C + x B + h r Z + g b T w z g m b t / j 6 1 n X Y g t Z 5 7 F 4 9 q 9 T c p c o S E 3 h b U c s / n + G F 0 Q m t / z s 5 O q V f 5 A 9 U L Y U Q 4 s 1 w S N F D W U + 6 3 G f E t f I Z v J K R V c C i p Q 9 o N c U f v O p o e K D W T 5 n c 0 w j v l r e U h R 8 9 Z s C h m L R 0 U A F 7 V F w r i 0 i 8 V O z p u i d + a W U 4 b z n d a R 0 m 4 j l K 6 + W 4 G h + l 7 v Q + O a R k T m o v j y v X b U V T s o w b J o q n X g 6 G A C P / 1 M N Q 4 + c 5 h a q Y 7 9 y + c h U 0 e S k + g + o w 0 V t X 5 E s w 5 U 2 y c x n 6 t B q i + K u o 0 0 F X U C S M a S O P 7 q E A l W c 3 o 9 P m F M J 1 y 2 A F L Z M N I h H 5 l y H m 2 b e W 2 7 F / 5 a H 5 x u s X E p O E R o i B n I Z 3 7 j w U m c d H U t 2 z C O e a T h y H v Q E P k t I n W f U d d d g P I l C y Y n L R r V p w J r f B T 2 4 E G k m i 7 X D k j / q S 5 k W 6 n u x / Y G 0 X y q K d J n w s A P f g T H H / 6 I q n / 5 R 9 R 0 H I H N S V + z 9 Y O I 0 p T i E y C c d 2 K O v p E v W g M H r Z d A A 2 9 K 8 z X B 5 s j j C M R 8 z s m v e b t I 0 o o K t 1 A h j 2 c S S M / d h 1 e q P s 6 x t h V F 4 A r Q 2 q o C z j L m E n W m p V I M E z 2 Q D i S S K o w r R w v f S Z S P V G e 6 R 0 d u H A F M U / C 4 4 L X X k K F m x u T q J 8 R Q g t X 8 p g C N B b N s j M C 2 1 E M r S C x x a Y Z c P M 8 l M J g r w 3 9 N 4 o O Q T r R a a a 7 R T F J S R k X y C q 3 X W m a G d k Q Y W z R c L k P f 6 L V + O P w 2 V H e R 2 B c Y G h j t m c T I w V G c + d Y q 9 r 1 X a Z z J v Q k 0 b K d Z k 6 E Z Y g / o v w T C y R B c 1 E J O H / 0 d M R t F 1 J E p 8 u k Q B 8 i p o l L z I 5 s w 6 U t j X S O / K 3 l + Y Y a 8 U / M h B J N 7 I 7 y P a D 0 N 4 k + J L 5 V O Z r D v 0 d 2 U 3 i 1 q T s 7 p D J A 4 H J g P 9 q N + j Y 9 a q o q a q Q r O / j 8 i 2 H A 5 T X i a W o p w c p i N v I 4 q 7 6 l k I m r V 1 C h y N N U W o I v l w M B / I d z 5 r + q 9 G W O 7 5 t G y n e N A o r L R 8 s h l s + p v J p 3 G z g s v Q R t / U / X I g 9 T E E + i c u h 2 x r n 9 g V 6 d o D t a o v y A j R Q Y c c D Q P I p Z p Q c C d 5 0 i m k a T G G Q k P o t P D 7 y w U u N S c e X s t P A e / q Q I 1 R 5 p P h 5 s m 4 Z h V M 1 9 t F h d S o R z c l Q X B A F o v U E G 0 x U j M p 9 h O N 2 z u J C i X a R 6 T i c 3 n E p Z 8 Q p m Z v D r S E Q u c X g o q 0 k G e Q r z B m k Q 9 z c 7 + 0 A s I O D p g O T a y I 1 / n 2 V D E U M t B A i F C U + X I X b E E / x G G U J D 3 Q p 9 8 Y 1 P j s f T 1 k 6 m U i u 5 J I E P s U 6 f T w b 9 2 F f W T l 0 Q A x Q S M 0 3 6 V d s p n v 9 + v G C W e F I 1 n V y F x M f X E J x N f L x q N K r N S Q u k p D q y c n 0 y y c 9 g u L 2 1 w + V v 8 H N L u 4 i O l G m p 8 3 z z N Q g s i m T n 4 K y 1 o 6 O q k l J R w M Q k 1 G 8 N s r w X V 6 z 1 I p m N w O 2 m W Z e b V d 0 O h 4 2 i v I D M t Q O u c H M 0 V p b h 4 Z P Z A G r V b i w d T I E 6 9 + C F m K A a g 2 1 O 7 h X 1 K Z s y l w 5 h M h t H k o w 9 E 6 W 5 N 9 t H 3 6 N Z / r S G Y H M G R h 0 a p A a q w + b z 1 c A / 9 F o n 2 G 5 W Q k h C w s F U q 5 9 B M J k L 1 T 5 m B d g 7 d z S / 4 2 9 b r 1 Q / m a F J W b 6 I Q J B P m n S 0 0 4 R z 4 w r 9 9 C V / 5 j y 9 i / / 5 D c H / s z + l D O n H k y 1 / G C y 8 + j + a m V s z T 7 7 3 u + h u w b u 0 a + t / D q A h U Y e e r L 2 H f 3 r 0 I h s L 4 r / / 4 N z L j H G L 5 e l Q 4 o m T E G Z r Q Y p r S 7 z r + N U T X f F 6 1 L 5 Q a V M f E U 6 5 w t a r 3 g p l j I V R 3 i 2 8 j / c M H p N B Y C m L 2 Z m 2 t v F + W J m c U P g 8 F p C + I i p a A z h M y V l l U j H 0 T 0 4 2 f Y v 8 U B J k g L a a x a D 3 e e s H k 8 / o q 9 J P L 9 K A J 8 m P z L 4 R 5 s g l K E 7 c c X e 7 c 0 j O L I V F C t 8 e t I i c y T + S h r k 9 z p K X T 5 u f n U F G h z S X I w M j f V D K C L K W V m A T Z V I x K 1 s s H k k l a m 8 6 c T s R j C V o w L r g c F s R i M b i c L v W M O X a O g / 5 H z i V E a r R p s a 4 S y G 9 j k Z D + q Y B D j 8 y j r t 3 O s + 1 w V M e Q m H T h B 3 d + S 0 U z h Q m v v v p t K s J 0 6 m m n 4 d l n n 4 G P z D 8 x P o H z z j s H P T 2 9 K n p 5 9 M h R Z C g S h + j 3 X f v 2 a 9 H f 0 4 e K u i q c e / b Z F A T 6 j Q h z m D r O d n s c d X y X p 3 R N I D p B J l z n I H 1 T A 5 N x o y k r f H b J C K C P J u e q s 4 o h 2 n f f w 8 f Y 8 k r Y K s J Y e 3 o H H N Q A Z v T P 2 u n r p L C x n l c o x 1 U C m t O 2 6 B B G + u r R t J 1 E q L d T w v R 2 a t 0 c h c r 4 7 + 9 F 9 i c 3 w X X W m W j 4 1 j d U m 2 R Q p Q 2 + g e 8 j 2 v n 3 C A 3 m U N n J v u d 9 x C w W Y W k h E 1 i o 0 U v D 8 / 7 B b y L S Q e 0 m T 6 Z P M K f p l 8 b S k / A v + J F a e 1 O x N O J T U V 6 7 U v m b o m X z d i 2 4 I d F F m V w 2 B 2 E E M Q q m q d g k W v y N Z B I f B t 8 Y R m h Y v K s o N r Q e h m f T R b A 4 K T x 5 i z R t 0 k M 7 e 9 k H t a S 5 e f g b 6 a / P z 4 z z G Z f p N B 1 q o J x K 3 S j k 0 j n M 9 M R Q t 4 l S e B V O n 4 q I 0 S R a C u O x X W j y n q 5 / W g z J r L A G D 8 P B A c z U n 8 5 r a R J b U m P 8 9 i T c w 7 9 F r P 3 P i h 5 j 9 D W a I W f w 4 U s k V D x j h c e e Q + D 4 f y C 8 5 o s L A 7 N a p O I p H H i y F 6 d d W c V 2 S N h Z k Q n 2 v H o U n R t a q C E 5 i D Y P j v S N o r 6 6 C Y 1 d f k p X O 4 4 M T K G 5 o Q 6 7 d + 3 E q a e e x i E 6 g r l h Y O 2 a T R Q a Y V R V V O O 1 n W / g v I t P V S b T i u B z z R z K U 0 s V + 5 o K N C d B S a q N m 9 a + c v D 0 / x S x z r / C w M E x z B / P w F W R w d q 3 t M L p o b W Q 1 N K O r J I l o p t M S h O b M L U / Q a 1 K Q U X z T N G R + G 8 U b n 6 a e Y I n O C C t b G f 7 M 0 + R y b U x W B A Q P D 7 5 R h i S P 9 B 8 C q 0 I S w V 9 K H 5 P a R 9 K 5 t m H 8 8 j x f q J / 3 I O / Q p Z j n m 6 6 U l 3 D g D F t I T 6 l U 7 I j S s Y y F 5 9 F e N q J y v Z i r W L A n N Z l 4 I W + H A W X B w 5 q 6 n T W o l L A T g 5 9 H / G 1 f 6 O G e m 4 o i N B 4 B L U b q v D i K z t x z T V X K Q H x 6 9 / 8 r q C h H J T e b k / 5 m w r y 9 C f k Y k K w i x 2 6 1 U N m q 5 U v Y 4 K Y L 9 o V i 4 8 L j N 9 b s x H k S C D l z j d g o c T M 2 2 T g a d / S f 7 C q K J B B T O K b y U v e a b C K D 0 O n f a n r G Y h F Q / R H h G C A 4 U M j m O o L 4 t S r t 5 A w Z k k Y k j d H q X b I h b o t f I 5 c D F H e 3 G u S f K G R C D I h L 2 o 2 L 7 7 P c O w V J S z a f e e w X V Z E g 0 n 6 i H G a T S G a s Q G 2 j 9 K V v q F K n c n H 6 U P Q 5 9 G z U A R T B 4 O o 3 1 K J C M 0 t l 4 1 O v c p s M a F E m J T C f + g L i G z + T / 2 T + K g q P I M D z x x G P J T F l i u b 4 f P W L j x r K e I z M 3 B W V d F 3 Y f 9 Q K y r z l w Q + d u a 5 b K Y X I / y N 6 N P 2 Z x / n d 1 P q n L x D f E F p f x 7 B Y y T 2 N W G M 7 Y / D 2 x R H Z U M D w p l J 1 S e V T m 1 e y n f 0 P x F d / y 8 L z 5 H K R e C 0 F m j V m h p C z t m q C 2 3 N z 5 y L W 1 H t y S G U o F C w Z R G Z i K G y b W n 6 N k M m 2 w 1 s p j / b W p l F Y P i / E W 7 7 v H 5 U Q 5 Z K 5 Y G H H 0 F / / y C 6 u z t Q X V 1 D m p K M R 0 L m b B T I N c o h F 8 O a f y 1 0 r u V l z d O 3 A V / 8 K 8 R t 5 U O p Q V 4 g 2 H J Y / F 0 5 4 h V C K s d M g i y d N m s + q p h J U H q + + H Q G 8 n o 0 T 7 S n + N A a A 0 k + o X g H G g E a z C S Q E O l K z G T G 9 O A 0 Y l M 0 4 8 h M I o m F w D K J D O b 7 a l B 3 k p N O q h P z Z C 5 h p v H Y I X X O s Q n a 9 q 1 + x U z B X m 1 6 g A p O Y T p x R J l H r Z 4 z 9 D 6 g x h 1 O I O f 2 Y j L m p 6 M r 4 e E Y p u J v K M 2 Q p 0 k z m j w s D V + A C g 0 T f v o u i 5 h J I E Q o c 2 j 0 E 3 I 0 L / W A 4 Q J i O T e G o i / q n w g y o F g c J 1 2 6 G a 2 X b k f v k y m e l 0 M 4 V 4 t 9 o z S n K N H N s H o q V O R L + l 2 B p u f o L 2 6 H f X S M Z s c E V K Z h P b W R m F t s / w B N 7 + H g g J a 3 m U s g k 0 r w 3 A i a t 1 e j s r E F k w e y N L U 8 q M o 7 Y E 3 0 I h 8 b R b z p f d p z 6 L D L J K K p E 3 L O d k T p d q T t T Q h T q w q E m S z Z e V S 4 O c p U e 5 G J J G J i I l N j C 0 T z z M W E L p b G e V 3 U k N a d C I z 8 z y J m C i e t 6 r r X X 7 U N f / 9 3 f 4 3 z N l 2 I c 9 9 y J m w b N 2 / 5 U m 1 t I 6 a n Z u h H e Z V j L z 7 A f f f f h 3 / 9 w r / i 8 N E + n H / B p f R F P O w Z l 5 o 0 l Y l Z I Z 6 c T F w K K b A T J T g g f z X V Y K Q K m c m 3 A N E y x n f f + M Y 3 s G X z Z h V E K A Z J X S Y N q X H k X g a M c 1 9 4 Y Q c + + 9 n P o r I i g P X r 1 6 v P f / f p T y M a z + D 0 U 0 9 G H 6 X G J z 7 + c Z V F c f r p W m b C o U O H c P v t t + P c c 8 9 l e 1 O K A V e D d D p J a R 3 D k e d H s O X i t Z g 9 m q T Z R 5 + v S i a Q b X D X S J v Y K q p v l 6 0 K Y 2 E 7 z 2 m k G Z J H e 0 1 h y N w 1 W Z V U G 6 P P U N H m h d d e i y p q H G u O A i s 1 h o y 1 E o E G F + J j T t Q 2 y v d O e K x 5 + N 0 d S u D l M 0 l U J S L w T N w J 0 I e M u y q Q n n H D 2 6 A 5 X M o s p j m l k l L N t q + Y N D S D L P R P x O e M 8 l 5 O / s Y x 9 g C y a / 6 C A i f B e 4 k e 4 a k m 8 7 1 n 0 o 5 T t w e x 6 7 4 J 1 H R y X D 2 7 M T L v R I N T 8 h 5 p L d A v s b n 9 N D s j 8 D X R 3 B K i 5 / F 9 7 3 s / / O k M + j r a I d O 1 b f f f w y Z o Z l V Q J n r 5 n 0 Q 9 J b / R n W q B s 7 b g 9 / j 4 L J E e H z w 1 M Y 5 7 F d x T j y P T Q L + F b V a T y b y H h b 6 z 8 X s D T j u t m F y I / j J p k 1 0 u W l 3 m 0 r L U u O G E F Z U t H o q s P K K D U f g q o x S l c X h s k t f n Y j v I H L y c d J l M F T Q F 8 m i r S s P n c q D C R U E V 3 Y N J + z Y 9 u i w 5 f C j M j y k a r Y C z O k + / k U L g 7 L e c h p b m O u U Y S 9 R M X i M j I / j W t 7 6 F r 3 z l K + j s 7 M T Q 0 J B 2 c g n k w v I S J h u e C O K 0 s y 5 R J p R o L 8 U M f I B y M G u F X b t 2 q Y C B h p w i C h q + 7 B B J x B W C 5 w 1 M k H O D 8 / N k p s / h X / 7 l 8 / j n f / 6 8 y r b 4 F J n p H / / p H 3 H r r b d i 9 9 5 9 + P B H P o x P / s 0 n 8 b O f / Q y 7 d + 9 S 5 / 7 b F 7 6 A b d t O U u 8 V 4 6 8 W H K F D T 4 y i c 1 0 n g u k J m n a U o O 0 e C v P F 1 5 B B a a E f 0 l G d Q b 1 / 8 f N X t P n Q f J o f t 9 3 6 K 9 x z 9 3 3 4 + R 3 3 4 q 6 H X s X 9 z x z H 7 / 9 w D 3 7 H 1 0 9 / 9 2 3 c f 9 8 D u O 2 2 X + K b 3 7 s Z w 6 M j e P L p Z z A 5 E 0 G 2 c j P m G q 9 A q u E C h A 5 7 6 b 8 U h I 1 K O h a T R 4 h O r A f x J 8 r A J 3 4 f m c y d 2 q P + 1 r o 3 q u N 5 + j 2 G 7 y M 4 t Z 1 a m L 8 9 4 1 3 r k Z i h e f l E D R J J F 2 L w 6 H 5 Q n T K z G j f G M L l f M 4 k F l Z G Y E s o C 6 Q G L v n p B 0 B r o Q m I q D x f H t r l q D Z L h O Q z N z y G Y G t a s D b a 7 e m M O A 4 f i u O u e P y D Z f i P v I V M G 0 m a n y l o Q L E x f 8 K 9 E 2 R K J L F 7 d 3 S M H F O 2 I V m a P q H k 0 P 7 W U k z L H 6 Z V 2 Z K n t a / R X N X 9 u V c y h L k f B Y q M 1 5 H f l + N K u L / 9 G m z + F t v E f 0 g K Q h G F 1 W C F D L S d R T Y H M Q w m s k p + X o 9 S 4 6 M L z l K k n X S A X l 7 Q K C W P / + Z / / O b r X r M G R I 4 d p J 3 a j r a 0 N T z 3 1 p C L S L V u 2 q M 8 3 3 n g j n n z i C R w 8 e J B E c D v u v v 9 J t H Z t p u b Y g L 7 e o / j Z T T / A K d u 3 o a G h H j d c f x 2 6 u r p w 9 l l n 8 n 6 S / Z 3 E 2 6 6 5 G i 0 t z d i z Z w 8 e u O d O t H d u w L r 1 G z H Q N 4 R b b r k F p 5 x y C j o 6 O h T j C C p p s 7 / 4 8 i v o 7 u p W U T s J j 8 s a r f P O O x + n n X a a M l G e e + Y 5 X H z x J W p g J V y + b 9 8 + h M I h n L z t Z B V F W i o Z d h H Y J w e e P I 6 O D Z 2 Y b g R q A x K a J a i F o 9 E p S l r t 4 4 l A n v v 6 d 7 0 D X e 3 r c N L a b b j s / C u E G 3 D W 2 a e g r q Y C 7 3 / / e 7 F 1 3 a n o 6 m y j w 3 s N g u E 4 L l o X h C t + i K b b D F z O D l o D K Y 6 T n S / T C O u w z e 2 G Y + J Z T S u l J / W j G s S E H A k N q P e S e m W G / P L w 9 A x N V M 1 3 E W K S a J + g o b s B p 7 9 z M 7 K 7 R z C 2 b w Q 9 Q Q n G k G n E G i F z N G 5 J I j w 1 j q n 9 M V B X q W U y N Q l a L j Y 7 9 u 8 / j I H B U Q y P T O D z n / 9 3 / O / v 7 4 Q v W Y N 7 7 3 s I F e 2 D 6 N l z A K F J C 7 7 1 7 e / h G 9 + 9 B Y 8 8 9 h S q 1 z S h f c 0 p + J + v f x t 7 D s / i H / / 5 C z h y t B d D o 9 O Y m W V f 0 C x + 4 c V X S K c e j I 4 M w U t m 6 R 8 Y x l N P P 0 9 T z M P n d O D H P / 0 Z t Z x o n 4 J g q 1 l b g e h M i d 1 r Q A Q 4 F U I m G 1 L C S J b / 2 G d 3 w j / w 3 4 g 1 f U T / U Q F 2 C V q k 5 / V P G p Y I S u T x 6 z v u w G 9 / + z v s J S G K p H z w w Y e w c e N G M l U X f v q T n y p z 8 O a b b 8 F P f v I T X H H F 5 f j V 7 b / C O 6 6 9 V m m c d 7 3 7 3 T S 3 / h L D w 8 N 4 4 4 0 D 2 E y T T s L i E k r + 6 7 / + a z z x x J N 4 9 7 v e h e 9 9 9 1 v 4 z O f + E V / / x t f w 0 P 3 3 0 w l 3 4 M k n n 8 F f q n N H e O 4 b C + f + 3 d / 9 n d J e Y i 4 I L H D g 2 n e 8 H V d d 9 T Y y 6 f U L 9 5 b f f e i D H 8 K Z p 5 + O z / z D 5 x T z / O h H P 8 I n P v E J l Z x 7 + + 2 3 4 a t f / S r O P G 0 7 L 0 K 7 v g x B G s i k N A 0 0 f n A a l Z 0 2 z C e D q P J U 0 w + h C e H m d 7 J g T f f t y i G S G Y f T 4 t O i T 0 t A m C t P C R y h 9 5 7 L t F O a j 9 C c d K F q b Q A 1 w R 8 g l W y j 3 n a g r 7 o N b f 4 z 9 J N S m N g f R N 2 m G t i c M o m V I e P Q h y H z 5 5 0 + P p e m E f y 9 X 0 Z k 7 f 9 T 7 1 W a E j W K l l A L d F R 2 I z D 4 X z h W / w 7 U u b a o c P M E t V P y G P 0 W f t 8 6 N I j p q B 1 N 1 L Y G 3 F / 8 E h J f / i K y N G U P P j K N 7 v P 9 O B 6 r o j T P s z + y q P b m c e z z / w r 3 r + 6 A j Y I 6 Q Q K t + O y / o / E D V 3 C M v 4 1 / / P 8 + i / C w j c 5 8 E J W t F A i u a r h m 7 k K y 5 l 0 c W 9 6 V z 2 U V B s 3 E M d P j Q g 0 1 l U W S M s U v p u n / w g u v 4 q K L z q d g p G n L Y f N Y w 3 y m a g p N C 5 k m w 7 H U p l V k r l I S W p V E S E 0 j Y 6 s r Y q r J / S E 0 b C v N i i + G 5 9 i 3 k a 4 6 D 5 m 6 s / Q j 5 W E E a y J J m u b U a m W p S e a C 3 k c 7 + I E H H 8 T X / + e / c d d d d y v C f O W V V y h t 3 s B H / u z P 9 F 9 q 0 D S b e q f + T Z E B n q a J E g y G c M M N 1 / O I L E i 0 w U s / S R J l B T I R K / a q Z A h Y x T w Q v 4 z 2 q T C P d m 5 Q P 1 f T l u I 7 m b M U f k p G b m l p x a c + 9 S k 1 9 6 T N o X E s R P v k L X j q 2 a d x 7 F g P v v + D H 2 B y Y g K P P v o o m f 5 2 1 f 5 n n n l W + Y E q Y 7 o M J O o o T y I C W J Z 9 1 K y n T 8 L r C z M l q e Y r 6 f C K q b A c M w l S l H K O o n S n x R g K 9 W E 4 E U f F m h Z U b c i i o i l H D d S I U K 8 V 4 Y b P I t l 2 A 9 K t 1 5 B o 9 K G i K Z O J R e C q d G r M J B D B 4 K x E 3 i X z I w X z K r L 2 i / A e + E / 4 D 3 8 B / p G f I P D P 1 2 H T f 3 6 J z K S t 8 s 3 k / W j 0 b N f m b o Q Z e S x P z Z J k P 4 + G i p l p 9 N a f 4 t i T j y G Y C K o + 2 f b 2 R j j d T m R e O Y T Y 7 n 2 o 9 d E Y 5 / C M 3 v F r d Z 1 + L 3 0 W K s D m D 1 2 J 4 b k 8 P n b t x z B 3 G E h U J e g n T Z P I 5 s k / 7 J / 4 U U h u q 4 y v d e g Z + M d / B G v 4 I H 3 W a V i T x 3 n C I O J i n u e t 6 N p m w 3 T 4 G D w k X I + T N 5 O 1 Y n l q k f S o a q O F z 5 B O J a g 5 6 C 3 J 8 2 Q p g K 2 + A n 3 S l R A I M 0 3 u K z x b K W z z + 5 B s u m F F Z h I Y k U 8 R K u L n l W W o 5 5 5 7 V p l 5 5 5 x z D j X R v + H D H / 4 Q 3 v u e d y m i v P X W X y y Y X v L 5 7 L P P V m u f a m p q V I b C L 3 5 5 O 6 6 / 4 Q b 8 5 j e / w c 9 / / n O V H U 5 q 1 F 8 F h h C I A 5 x I Z v C B D / + 5 8 t n O O X M 7 r r v + H S X n a h D f S e s X C 2 Y m 5 / C l L 3 0 J d 9 9 9 N 5 q a m j A + M Y 4 2 S s T t 2 7 e z T Y + g s 6 s D n / 7 0 3 + H l l 3 e i t a U F D z 7 0 E J n 0 K X z v + 9 / D u n X r V J B C 7 G z l u J a B r C O y Z c P K n D L P s Y X o 3 L r 0 L A I D l q Q 2 m O V Q Q 9 + k V G Y N h l 8 h c x T 8 D V g n k c 5 T e + j X s V L D O D p I T D S V g o l + 3 o B M Q 4 L v 9 K 7 D a P h 1 j O 2 Z x 9 y g B V W d q 5 k 3 s y C 2 9 Q u I b P p P h L v + H d m X 6 F O 9 P A x b 6 B i J i 4 I s L V n x o 3 D 2 3 w X n G 1 + B N T N N Z u L z t f i x e f A f a T Y + D a s 4 T 9 k k R m 7 7 P S / n o D D R J k Y F k j d 4 2 n U 0 W 6 / Y g g M P 8 X d E h 8 6 Y E r y W H v 7 3 / / c f W N t M M 4 q M d O v D P 4 A j H 8 Z L O 4 7 i 9 7 9 9 m l I 9 h W T 1 5 U j N 7 q e c C O H u P V l M V H 4 c U c c p O D T z B h k q B m / P L a g 5 + k M V a X O G x T / K Y T q u Z c Y L h I l U 4 q z c l Z r M k t J C 8 w o S 6 q W W N F L V U n k t 8 C W r B u o 2 p T B 9 d H G O p j C f e / p h 5 P y y A L I Y s f R y 6 + J I n 4 5 G W O Z m x v P D Q S f a a u y o C C w v T c 3 Y 9 d q r + M W t v 1 T m V C l E 8 5 i d t 6 U g R C 2 d b o Y 2 3 y T t K D 5 u w M g I X g p a r Q h e d Y U G a I 6 r F r + W o I o s d F Q J L M J E m S i y F q / y x e z 0 Z o 1 5 K L m 0 i b / + p F j I 1 W M 7 B k d 6 4 A 1 2 o W 6 r h z 7 a E A K S c i P a l O 0 M 9 5 G o 1 2 p l C J a G R t T y 1 8 z Q o + e f R y F B r f H 8 C + q z 9 c h 3 E e r 6 D K U r c I z m n J + a 2 / 7 D n 6 H u Z E 2 D m X F E A h a p e a z / 9 Q c Q 7 / x b O v S F R X U C I c Q X T 7 s Y l 0 7 0 o a e 2 F p n q K o z H 4 m i 9 6 0 7 8 m C 7 C N 7 / x d d x 1 5 9 2 4 6 5 6 7 8 e 7 n n 8 c N 9 U 5 8 + d o P o q r C j x v f e w 1 2 v H I Q U 7 Q k P v K R D + B / v v F 9 X H D + O b j o 7 I 0 c G w 8 i 2 Q T 8 k g k j m Q 0 2 L U s 9 0 f p + 6 T R k 7 c 3 Y P 2 b H l s a M m o i V M b V Q E 0 k W / l I 0 Z C A Y y y M V j C D v z i s T M Z I N Y E 3 k I a R b L k U o 7 U Y 4 Y V F z U A a y d D l s J g u g F J b k C A V Q d h 7 t V R k 4 j T D g K i G m 2 / b t 2 / R P x V j d l Y q Z y V g m r y Z v 2 Y E W i f a V h c w d L Q 1 x 1 s V U 0 4 h J I z q T p a i w 8 J m S 3 0 L b W y Z 4 7 d J Z f I X p F o X S P q S y V k T T Z C 7 9 p + G k F i 4 t B 2 u C p s k J Q D R U S t I D T M i q F B s + G a W q Y 7 o J q Y o k n e M c v v V 1 m q l v H M K h n g E c 7 x / C j / / w d f z z v / w 7 n n z q e Y y P T 8 B u d y n z W Z A h I Y V S w x i N H G F 7 B x S R m y H + i c U 0 B S E + i D B T M m N F k M w k U 4 / Z 7 t J l 7 h o k 3 u q + 7 g O I r f 1 H x U z u 8 b v p r H 8 d r s H b 4 R q 5 C + 7 R e 1 E R H k Y P p c 4 g N Z d E Q M / d + T S 6 6 6 z 4 5 x 3 3 w n f G O p y 7 5 m L c + e U N O K v O j h G O z S U 3 / j s + + Y e 7 0 H H d + 3 H d W T X 4 2 E c / T E H s x J 9 f 9 e e 4 k M w v 2 R S y G j l A P 0 p L r a J 5 R b M q 3 v 0 3 F D 5 8 b 6 m E b / w O n J 3 9 m W K m H O 8 5 H P I g Y 5 V s D g 6 W C F b 6 O L 0 z d h y e d O A Q X + N h K 6 Z j d v T M 9 q H S a 4 E 9 V I G G K h + q q E z a q 2 h u Z 3 e z o + i H p f I L z P T G G J + H X b k c M 2 n I w u q R R r 4 J d K / p p q N f v D L T g K F i S 8 a T K B x Q G s I E V V h F R 9 4 m q p k E L G Z X N q a 9 a C t r U j m H E P 0 r i e x l a S P H o t R o 2 Z R y R C V i K E E G W f c v N S U y d J 4 T 9 E / E d E w m N Q I O h a h t e J l 4 I o l Y P I k o z b i M x Y c c C S 2 r y I b t Y s P l X I H 6 w 1 f A p X V u I r 2 Y q 3 K O B m q v p W 3 y U l j J y E 6 V 0 V G A V a W / C B H Q Z / T S 5 H R l K N l v x j u v f j t 8 L i 9 2 v 7 Y X w 0 N D a G t p Q 3 t 7 G 8 b G a K q 5 X P g i T d 8 s / c Z o e g K J l A U V z j Z a b J t Q 4 e r i c 0 p N B Q 2 5 l K a N L a b l 2 o m 6 6 8 n Y E b Y l i z o 2 X 9 z Q x o A m h A w M R V 9 G m v 0 t T 1 / 7 T 5 J D p y H R d D 0 i n f + E Z M d H k G y 9 A Y n 6 K + G L 8 R 6 8 R p b t i o V z O P T i M J n C h W l L L X q c D W j 6 0 X / i 0 F 8 8 g o y 9 G g 3 3 / B H n d K X Q w 8 E 4 p u a V 2 B 9 k n K k 3 E m j c x I v I n K b 4 P O w X G d O E J i W R M W W g 5 O 0 e x J s / i H j 7 n 8 E x + S x 8 g z 9 D W 1 V W V W d S o O Q U H 2 d t T R S b q 0 a w u S G N J j 5 f n T e D 9 T X d i j 4 r u j O Y H y S d 8 e c S z Y u 2 f l q d 2 u i X F Q r a d M 5 J z X y v D / v Y P G k q r d H G I p C G F 6 J 8 I u U c z u U n O h M Z c e p o Y 4 q 6 Z 2 t U h S S n x r W W L N W s Y o Q C k i Q + l 6 P 4 5 j K J a B c p K U 7 9 a i G d a f q 9 I 7 w P 6 c D J + q d i p I N W O P R 6 D U V g M 6 y p G b 6 k e l E O Y 1 i L e i 8 H U a 5 L c y q c m Y U r X Q u n T 5 f g v K e Y B J X e H F K 0 9 a W c 2 J K Q L A G R X i I U T u S 5 l s D E / g g a t / m F C 3 g 9 j q Q u G c P D C Q T a C m M k e Y w 2 2 x z c t i r E 2 f 5 Q Z h S N b m 2 e L Z q Z g s 9 e S C w N v / 4 6 o n / / O V R 8 5 u / g V c E e e R 4 L 5 m N W V A S f w d j 7 t G h g 6 3 N P q 7 9 m T D 7 5 F I J f / g r W G 9 9 R u F n o T + S d 2 m S w 4 O g / / Q t c d / y a g o m e 6 d o 1 c N F X 7 f j F L U j M z G P s k r c p 2 m m s q E V s 6 B i y b V 3 o 3 P k s X r j 1 X n T + / G u w O / x o e v o J d R 3 J + B 5 L v I L 2 w D n 8 R A 2 T H F N 1 M Q R p a n a H B F C W A z W / c / p R p B q v 1 Q + U I D V J 5 0 9 j S u k / y V X s Y 3 + f 1 H A 7 I o 2 f Z I 8 s F p i l + Y G 7 h p w 4 v T 2 F g c g O d P r P 1 4 8 S 9 N / I U B P s 2 T I X K U H f / D F 0 V 6 1 D L B a F 1 1 v G 1 y q p 0 C O Q 9 A y v I 0 s 1 v v L 1 z Z A l 4 q U l t M y w p G n 3 c h A M m H 2 b y F A a / v b i T k 9 k L B Q C 1 D r k s 1 c H b Z S M F G E 0 J S B 5 c s l B R E g g P n b y a / f 0 o + 5 S N 7 q q 1 m K S D n B D I K / 5 g 3 k y z A r R u m J o x G r A Q m 2 a l 0 w Q m T N L T 2 M 2 f Q z t 3 r P 1 b x c j O B D D Z J q m D T X o G w c O q v k 7 0 b A N D Q 2 o q 6 v D Q H 8 / I t E Y 3 n b V W 9 m 3 B U Y f i u 3 k d Q u R q b H 4 H j S 6 T s J U 6 j B C X / 1 f + J 9 7 H s 1 P P i Z h U / V 9 k v 0 i k 5 p x W t f z F 2 x H z l O P V p 2 w i 0 D h m Z N l M 0 7 2 m 2 m N l x k 7 z 7 k A j Q M D m K f l 4 u V z N j 7 8 C 1 T 6 u r H z 4 s v R k s l i g n K m L Z N A K O a E q 8 K O y T u e R / 5 D 5 0 E W Z D Q / / S T 7 1 0 p G e A 4 x / 7 m w u + 0 Y D L + I j s C 5 a q r E J i F / + p d 9 w T 4 e 6 + R P y / j Q k k 2 u s v A L s N D n y 0 t m e A n 6 h R F 8 5 1 O 4 j p B Z t X n F d J z K Q Y o N L Q f T P Q b m p G 5 i B o H J H y C d o s / o W g t 3 f I c E J S b y E u 2 S m n f L Z Y 1 n 2 R m y E O v N Q N I / z A N v z I m U h 2 i X l a W 8 Y / Z l T H v P Q S U d S i H g 3 c N O n N a W R i 6 d o s l X 8 B O E a C Q + I U u 5 z Q j M f A / h A B 1 b l c 7 P 7 + j w H 9 h 1 H O l 6 F z p r a 1 D t 0 7 S t m A U S / V q 6 v c s g x Q G g F J f s g 5 G T t q L y x z 9 U h 1 U A Q s q A K U J p V s c y 1 I J 2 q W 9 I j O 4 P o m X b 0 l G 8 + f 4 o q r o 0 B g + m h l D p F L K U 5 y u M X 4 Y O v N 3 i x n x q E F X O D u x / 1 3 t R N z W F Z t E y E u B Q G l X r 5 y y Z Z e j y a 1 B 3 f g X 8 / 3 O P O m Y I I W 3 x n z D g 8 k L x a E s H 5 F c D 6 9 Z C 9 M k G X Z v t 5 b P X U B O k q Q n y g 8 N A U w v W v P A U L T k b e i 6 4 B D 5 e t v L e B z F 2 d B r r z u p Q l k A m k Y X T W y D u W G Q f v H 5 a J P S H h h I R a q 8 O / Z t V g s 9 g n 3 g M T k c Q C d / F c E e e Q a z + g z R 3 Z f 4 q r + h D g l 3 B 8 R y i 1 p D E 6 7 B n z 1 5 0 d T Q h E Z r C 2 e t C d C v 4 u / Q U z d U m Z K r P g 3 P y c S T r r + L 4 F S s R q x R H y e a K w 8 O l y N N H e b P M R O F U x E y C 5 Y l z Z W Y S p G v O R t P 8 7 x F M D m H / q F 0 x U 6 T f v c B M s b j m P 7 g d F s x E p c f 4 f P o r R V M 1 n e t i J 8 p x C U v L U g U r f r e 3 F k / t r F x g J o G c I l H A p Z C h 3 x Y N z p I h E k j T X 8 u Q o b O 8 v o K z l g Q 9 g E P 0 B Y a P H t G O K V + A 9 + U g m x c N G s y U S w X R s J b E J 5 y 8 g D x N 0 j H 9 P R a Y S W C 3 u l X 2 9 X h 8 n 3 5 E g z C T Q J h J 4 J 4 m 8 6 p 3 B B k q m i 5 I + d 7 / + m + a j n n 4 / u P 3 c E 0 9 o t p I V t S + l P k 6 n Z k y M g c m y 1 o J c f Y N i H / m I y M 5 + a q m Q J R 5 P I H M a V W x L x L 0 h a U 1 u W w G F q f 0 u R W H v / h l e H j Z q i / + G 3 z V X j R u X 4 M X D l n w 6 O u S I k R m E j N a 7 k H / W T G T g P 6 Q Y q Y l U q q W w m x 6 B J n m a x C r + y C 1 c C v G K i 9 B N G m B 0 5 q G b + Z B e E d + Q k 1 I N k p m 0 F x j Q 2 N D H d 5 6 5 W X Y u G k r t r / l Y s R r r i X z v B O 7 r J 9 E q u H t 9 J m r k W h 9 L 9 V Q w U c 1 Y P V 4 3 G p i d D l Y b M U m 1 L I Q 0 4 + d o F 6 E O L p F y B S n a i w C z S 8 h o N U g S 8 a s d L V j W 0 t W B Q t c D R F M R a w Y n L N R o 2 Z x a C i K U J j + S C C n F h u G w 1 F E a S o l 5 o 7 T i X 4 n p Y t k Q W v P L v l b 1 1 f N 4 H P v K T N Z K 5 k O S w Q d 7 E 4 X f J U 1 Z A g 3 H G 4 P / Q E n b A 5 D u l p I 0 J 0 k e g + l t H 4 + i U n W h U W z v I / h b 4 k W 0 G F 1 V s L u r U J o o J A e M x B 9 A b P J X o T J b A Y m j k 7 i + P w u M l 5 O L W V w S E L s M v C S Q R d 6 l a a 5 + A 6 S h y e Y 2 6 G F 0 b M O l 5 K 6 Y i o p p i e M S k 8 D w e M Y D g 8 i m K G J r E q N 1 Z D g t X m Z 1 6 5 + h 7 p 2 v q q K j G N F + / e / j 8 j I N F 6 9 7 r 0 U c H b M e P y K x T I d X b J U G s G + L O a e e U a d 4 7 3 8 M r k E A u 4 M z t u c x 9 t O t 2 B o 3 y S G 3 w g r B l r o I z M M f 0 Z o T Z A c 1 / 4 a n 0 t Q C x G Q m l A Q V D p b 4 H N p q 5 M T 9 W S 0 l k + o C G l l J 3 9 X s t 7 L j M 1 N E p 0 t X M d m r O 8 z M u 2 J M q 0 t h a y g N c I m q 4 D 4 U b J e R 6 3 Z 4 Q 1 4 / 4 X T J e p U p s G P P P Y k b r 3 t 1 3 j m u R 1 4 5 v m X 8 N r u f Z i Z m e b n F 9 S x m 2 7 + O f b u P 6 j q 7 e 1 4 4 W V + v w d 9 B 1 5 A q u Y i / Q r A s W k 7 o u M Z j A R t 6 K j O I m 6 p w O Z 2 H w J + a U c e H o 9 L v W 9 K 3 Y q K h g 3 a S S U 4 9 R 2 a 5 p Q 1 N I u g o p C a 5 D 1 R K G L T 3 i 5 A C H o B S g t o U C t L c z F U t U Q Q 1 S e 2 O 9 2 S L W 9 B g M x m w G 2 r x Z q q 0 6 l M N J M x r S J S e T L f D v W 3 F E Y b x C c 0 C M 9 Y 8 N m k L 2 a U 6 K z 6 n a s G / t G f q 2 O q 1 D O F T p O 7 E 8 1 u T a v 7 R c C I E K C k F m Y T D S X n t f 7 h d 9 j w 7 N N I V W x C f e Y u 5 K i 5 5 X Y i o t L x m B K u a x 5 5 E I 4 2 O 5 p l N b a o / z J o P 7 k B b d u b E B s 9 g J 4 X Z Y n 7 E j B 8 d l 0 o y m e Z K 1 I R Q h P y r i a 8 v m c f j v Q c R z A U x f D o O A 4 e O o r H H 3 s U S Q q 6 P M 8 f m g + Q 0 Y v H V 5 a V l E L K A / S Q 1 o p g 8 q + 1 K J 9 0 j m l Q i y A a w 2 j w m 4 B 0 d P l u I 2 R W W 7 T E K l F c q C S P I 5 M O r K / P q K C E E M N 8 D z X C e r l j e d j C h + G N P 4 Z w w 9 / p R w r Y 9 + h R n P z W 8 o y 2 A J F E J x C c s E Q P I O / b i o m P f g z p 4 3 1 o K x N B 0 y A D W Z B t o m 2 l T v b w n n G 0 n W I 8 L 6 H 7 Z O p t N K 2 K Y h o B m a n E I T J V A g 2 e r V o U t Q T D 5 5 / P H z p U F M + a H F 2 I n A k G 9 Q z z D n 4 X p D D R / N J i J J M F o e p y F d P D E M / P J H L o p G + k K g K J V q F G 7 7 / o C g r j N F w O B z w 3 X o f 6 T / 6 9 + v 0 L l 1 6 B Z p q C H X f + H v a G Q h j c j F x 8 A I P Z I X R 5 T q c Q c O L 4 r g G s P 9 t c k 0 O D J T 6 I v I d m o D C S H g 2 1 x P v 5 f G 0 8 J k t 0 P G r K R Q T i f D C E a r d M 5 L Y h K n U C K a A C F q E p r Q 2 y B j C e s x U L O 4 G U b y 6 J Y C 8 F q 0 X U 5 V L M J H i T z D Q z o 9 n Y C 8 x U L m 1 D m O k E 5 m 8 M Z n K N 3 s l / L T j 6 y g O 4 4 9 e / x d E j P d i 9 5 w 3 c 9 v A P E R q J I 5 4 p 3 M s W 7 S M j a q Z S N r A J 4 f r F l V D 3 3 T u G k 6 / Q M q y V v 7 U U l D m 6 S l A L C D M J P O e f o w T L 0 i j c s + d Y H 4 J z U 9 j 5 y i 7 Y G 2 3 K F 5 T s 6 s e e I D M a Y W p e 2 + L R J r 6 F m c L p c f h l d 4 p o J 3 Y 8 9 x q k W O P r 7 I 9 v f e f 7 l M p 9 O H i 4 h 3 6 g Q 1 V i l f E w M 5 N A 2 m b x a Y L C z E y B 4 W / r 7 z Q m M l 4 G Q r 3 0 v 7 7 x P + p 8 q 8 d G f u V 3 Z C b 7 z C 6 8 8 t 4 P q e M T Z C Y R F w Y z S R K s J S m Z 8 v x Q U b 7 s m M B K b d P l P x / 9 8 V 0 0 o S 1 Y f 5 Y 2 P m / c N 0 k f t T A O i p k U C n 2 Y 9 9 C 0 l M C L Z F e o J 9 a o s C d Y h x x d h G w y C K f b i x e f f 5 L t L v S F l V L Z I j U G S 7 H A T I W + K X J x T V i Y h z J D 7 H J 5 4 m S 8 B 2 7 P B u X 0 i i r 1 6 N U 7 l 8 N M O A u v M w e P y + R 3 6 W k z y 0 F F v F T 6 f B k f R o c R e f I P f Q u R 9 s I k o 8 A a o a R y V y B P + z p 8 P I k c B 9 Z T Z 0 X N x N c R W f v P 2 o 8 M 4 Z B l p + m L C 4 + 8 O I C N 5 3 K w q H 1 k g t e Y l H 5 T y A b h f d 9 f Y s 8 / X w v X l m 5 U O N p Q 7 e x C Z m Q E o z d + C B 1 P 3 k M z q W C 2 S Z q U S v j V x p v a Q b L Y Z T i 0 4 x K Y G D s 6 g 5 a N d S V B C g 2 R s R A 8 F R F I W T Y V N R T B S K Z P 5 e z K N F F I z y M d y W P 8 n T e g 4 U f f h 2 u b K b u F Y 5 p L 5 T B 4 x V V o + s 6 3 4 D 7 9 N E 3 j c b y V V F f m k 6 y x K r R 5 O L Y T b d 6 z E B l P w t / k w v G L L k R 1 3 o b 8 R / 8 M N R / 7 K L y j v 6 R P 8 l E 8 R 6 0 l A W k x W t 0 0 R z f s 2 E n / g 3 7 L 5 C A m 3 v d R O L u 7 4 f / C T 1 G 9 Y Q l h n p w g F 2 t B m 7 w E M 7 S y W f z A 9 8 l J 9 O x J o / s k B 8 m l W D i s C r q l Y U w b l C I y k Y C / 0 R y E k w E q / p 2 a h 6 P J O z a X R W 3 A B q f S z G a 2 1 i G M M x Z / X d m P w k w C c X p X w 0 y y v F o u X s R M k r g o z G S K C p W D i v w Z z M R 7 x 8 t k J K g w L p F J a X 6 Y + R H z T i e m M z N w z D y H m Z o R R O r G e d s s j t f 9 P U J 9 V h J A Q R P 6 p 2 / G b M y K P f c N o P 6 U b h I 2 i Y c d / G a Z a X B O P 9 E S w P z k N H L 3 9 t D n O F k x k 6 C K z C R G R T q q t X g g / C L N U x K G q B f T Y z p C G c T G J U p m w T 7 x G Q 8 c x i z 7 b R d 9 y u d f 2 K n / S k M q x E F v D m A i x 7 5 w N X O 8 d M e Y Q m O B m Q Q 2 F 8 I H D 6 m + c n S V J H z S R O r 5 + j f V d 8 J M A m l S j u M t g k n G J O 8 U f 0 n T h g J h p t B w T D H T Z H Q c k 5 m s m k s S Z h J k 7 F K B D x D P L p O T 0 p R 8 / r d d p 4 4 5 b R a 8 R m Y S j d V + 2 y + W Z i a B z k y C B W Y S 0 H T L u 1 u w 7 u x O k k s z j j w 7 g q R k a K w C d 9 1 9 P 6 L x J J 5 6 b h f 7 d C / 2 7 X k d s 3 O L A x n Z S I G Z Z I J 8 L K Q N k r E f m B o 3 Z w 2 F n A X N 1 X Z V V U s J I b p O V s l c G A y / p H 4 o k H y l F q k + t M L S h H J I R M q Y d Y Y 9 r 6 e 5 r w q 8 9 0 I d G B V m L k B m t 9 O N F 6 r 3 h y d 0 x i U D i j l Y 6 + x A L x k r H G 9 G t a s D U s a 4 P m D h 4 I / C T e s i m U g h T G K Y t b 0 P f Q / 1 4 J R r O 1 H j l T U 3 y 5 i 1 Y j + v g I 7 q n J J 2 4 n X P U o K m X 3 w J L l t h f k J y 8 + U V 6 d N y / j z 9 J 2 G o Y n H o 1 9 t g R b j q A N k p j 3 b 3 R m z b u g k d D a 0 4 7 d R t u O C 8 4 q U E u 9 5 4 g 7 e j c + + V 2 o V k Q v Z v m v a / F l 0 1 M Z T V g + k n n 1 J H r D T 5 S j H z v A Q x B P o 5 Q h R G 3 y v Q D D L 1 w W x P X C 3 f F 1 S 4 K l V W + T G d 4 f y D 3 0 G q 4 X I c + / F P 1 d X G R c v y b 8 M X / k V 9 L x A j z 9 Q 6 B I / p b x Z B + 9 V Q + G X 1 d x F U Z N S C j R e 1 w u V 1 I j g Z w u C + p Q M Y s n L g 3 e 9 6 J 6 S a 1 J m n b 8 P p p 5 2 C L V s 2 o L q q e B 5 J I K t b V J I 1 I d k m z R U a D c p O L w L 5 T p m u l j x 6 p 6 m d + T 4 n y 0 T I O z Q b 3 e g I n K M K d c h M u 3 a G n F j U q w p S M E W k p w H z + q R j v X 1 o r K / W w o o q n f 7 / h o V k 3 Z K w q T i M K a + W w L m 5 U Q t j 2 i L D W g f T T 2 j 0 n I O T a 6 P w 5 Q Z 4 T M o w e 2 H 1 t q r w t s v t R K D N Q 8 f T T Z t 8 6 U y M A t i G V T q j h u m Q p w S t k z V Z J s g 3 I k 6 G K S E F T o 8 P W + r L z 8 U Z q U N V 6 7 T n 9 t d 4 M H e 0 o C H m + 7 X I 0 z n n n o H k 7 C i f z 6 W m C W Q k 7 F b R t E L s x W O X f O 5 5 7 a 9 U s y 1 B T c L w G e h t 6 P 6 0 1 E Z P K x o i o d D c y j s q E O 1 3 K q e 9 Z r 0 U C M 1 i J n k M B 7 / 4 z 3 D 3 D W I N + 9 1 / 0 S W I d H x W R c D W / t X H E b d 7 0 E D 6 K B a H f H a + 2 r 7 / H e 0 D U b m O / + h D X Q z t G d o D S 2 S U i D l q g E K 3 s q E C H S d 3 I B 5 O I B 5 Z 7 A e J G y O p o N P T t G K s d A l 4 z 7 H x a Q R D E U S p 4 X T + W U B k 0 G z y F W C 4 b 0 Y P r 6 3 T g m I G F q h V y l j V O v l 0 U u S j T C B C 1 J 2 s X z p 2 r B f z w T D m + J q e m V V M J q i p r e M g U M L O T / K m N s w e j S I 4 E F Q p H W Y o / 6 x 8 D y 5 G S d j S I u u D e K 4 w t X f g J 2 p 9 k s O a g 2 v 4 b h y c 1 J x q F 6 2 D w V Q / U n Y a W U Z E j j 6 c V E 6 S N U a / u P U O 3 P / 4 I z g + O 4 B f 3 f F b 3 H b 7 b y g M + v G d 7 / 5 Q h e f f O K h P w C o U E + Z S m E k c U y + B P J 2 8 0 p E 4 Z g + l I X X c x X y V b g q / / B K m 3 g i T W W y L J r v N M P t L F q r q 6 g 0 F E 7 q q S 7 M c 8 o l p H I m 3 Y v 5 o H l U h M f f M o q 4 Y W Z o 5 k t w e H 9 D q t 5 s h B G 4 c k f C y 9 0 M f w d b 5 A 6 o + n j y / 9 N l s b w K + z g Q C P d p S H a l j V + t a h / n b 7 l F T m 0 9 m U z i u t 9 k n u / j Z b N j + 1 E P U n B b U f O i D 6 v r y / P N x K 9 w P / D e m 1 x Y T / F x P M X O s C u Z o q x K 6 2 v 0 9 n i Q 8 f j d e v 0 t b 5 l + M H L q 7 2 u H 2 V l M L 5 7 F u T Q e q K v 1 I y e x Z S e c F u p L 0 U Q v t l L Z r z 6 G N p R k v 9 h X i A 2 W D E q t B a D B N a W 9 H s C / N P k h g y l 1 J c 9 2 C r s o 0 J i e z a G 5 3 K u 1 B g 0 Q r h 3 s i E A 0 p 6 / r t 1 W X D u F I q q j I / i p x b m 4 M J T P 0 A 8 7 W f I p F K r 8 h v S 3 p H s p Z V R j P w 2 p 0 H c e o 7 1 y M s u w t u O M F 2 l Y E w S 9 8 0 N U t 1 D 2 r d 6 z D 6 g Y 8 h 0 d + H N S 8 W Q u S T f / l X S B 8 9 S g c 9 j w 3 P P a M f L Y 9 4 d m 5 V / u q J o E 8 P i 3 e X h O 1 T 8 S g G L n k 7 8 h 4 v u u 6 9 G w 6 f D f Z L L o f l i s u R + f c v I E 3 J L c w R + K f P I H n X A / B 2 d y H 9 u 8 8 i 2 a I l n u 5 t 6 Y D s y u R Y s 0 4 x Y B O v b 0 k M q 7 B 0 E S Q q S a E m 3 u F E s g / J c B 0 O H x j A 3 N y 8 W i A 6 M j K M r V t l B 0 2 7 K s E t 2 8 U c O 3 Y M b r c H b 7 + 6 u L C l w k K y q j b O A 4 N D a G 5 u g o v n a n y t 0 Y s s 5 x j c N 4 X u U 1 u U k B o a H k V H P R m D g q M c V N 5 m C U l I 8 c 9 A u 1 U r R R a U 8 t u F s Z F S Z H I v 8 b 0 N Y 4 1 v l + Y n 0 9 w 6 P / A T W X P + m K b z K j o c y j n z d 1 p R v b 4 C G 1 p T W F u f I V P Z F D M J x D m O R H M q N 0 s Q n c g g O p V C M p S m 5 i p j F s r E r 0 A 0 p F 4 y t 4 i Z Z E J S S u 7 a 4 y Q C m n G D t 6 j D e d o n i p l 4 f j 6 h z f 5 L B 8 4 l + t R 7 Y V C p 0 j P w 7 F 0 4 4 4 a N k N o V M o P / Z m A d H V 2 o D B Q e z i B + P I E O S w S Z j B f z 0 2 l 4 P / g h E g Z v a V o A 6 L 7 4 I q W 1 N B 1 S 3 K d I m 6 Q z s Y i Z Z O 6 p D I z U n 3 L R v 3 K Q z a E V k m O k H C 2 A Y b d x D D l U a 3 5 / K 5 w V T s z R n y I 7 I P V 3 n + L 4 U G C m n o U / 8 h i O 7 t q N E H 2 P Y / x O m G k u G M H E g V 7 4 + T l G y 0 W I M N l U g 9 H o X j 6 A E c Y 2 w V 5 B H 7 e e 9 2 p A U + A s d L a s x Z U X b s e N N 1 y G i 8 / Z h K t P f R c 2 b j 4 J J 6 2 r x I b 1 a 3 D K y V v x 7 h v e W Z 6 Z B P q E 7 q H D R 1 X 2 i 4 y n h W 6 G d P n + A w c h 6 X S 9 x / v 5 N 4 W G j d U 4 d K A H O 1 / a p T b s m 4 6 V N + U E 8 h y l 3 V m 1 x q 6 Y S Y b N z E w C W Y O l Z g o 4 r L J m S m D t e f V 5 H N j x K I 7 t 2 k E p w g 6 L h D A W 2 4 s x d s 5 Y Z A 9 t 6 B x V H w e d Z w k D i b l i Q A b T n t M D E b S j Z 1 J 0 u l N T K s x u w O Z 2 w O 7 W z v E 1 2 p H 0 u R C 2 u X n M i d B A H h m a h P I Q x 0 c y C E + W q v u S z 7 w H H A 3 4 5 n d v w n / / z z c x V / N B 3 P z T H 2 P E 9 z E 8 R c f 7 v o e e x m T I j p 2 v 7 G Z b y e j u b i 2 D g G a E P X w I C f v J G r M K 7 H p U 7 A Q x 8 c l P o Y f m U 5 7 9 I h q 6 Z q M L / i Y f G v 0 t q K p z o O r y k + h H U Z A c 1 E q X H e n p R f j S S 1 U B / N 9 d c Q V e e v l V 7 N n 7 B r X 4 D J x 3 / B r + y x Y T z c y s K b h j W i J h Y D J + U M 3 u W 8 h s q 7 G Q h E a c G 2 R u h g L L R a 2 u H H p q r l t + r r 6 z S y F K o v c / v 8 b P N P M q K 1 W t 8 0 T V F U j U v o 0 S 2 I l Z E k 0 8 K 3 N 8 8 2 g N / g 4 H P v w + 9 m 0 O Y / U N l P w j O P S X n 8 T t P 3 w C 9 z 3 w s M o + + M a 3 v o d D R 3 q R o t P x / I 6 X c d M t v 0 C C x 2 + 9 7 Q 6 1 U P L e R 1 7 G s y 8 d w H M 7 j 2 L O M Y r h g T 6 8 s n 8 c + / b v g y U z q w T g P B n 3 t V 1 7 V J T z v v s f x u N P P I P f / O 4 P e O G l V 1 R 7 N 2 9 a j 0 D A i / a q C B x O q W 2 f x 9 b 1 a + E g r X a 1 t s B F j e e 1 z W P T l n U 4 6 5 z T k e 1 3 o L Z 6 6 d Q i g a F p S i H p U s P z B d o 3 Y J h / P p c 2 E I t M v i A 1 k M 2 b J c G z 7 6 s 0 L V S K 0 b E J t L H B U o l U 7 F f p 5 F h W a g r k U e f e Q A b R C q o I w 0 l K k K S x b W j I K N V 4 z 7 0 P U p W 7 E O f B r o 5 W 1 N H 3 m p q a w v H j x 9 m B Q V x w / n l Y 1 9 W 9 U I A k O B B B P u V D T e c s r 0 7 N E j w A j / U Q M l E X J U c E Y z X X o s L Z C P v 0 T m T q Z Q 1 N A a H U K O a T A 7 D R x o 8 d b c T 6 t 2 z S v 9 E Q 7 E u h s l u P Q p o Q o m L L Z Y O w 2 W p U 8 q u r N g d 3 l R 2 O B x + E 5 1 v f x l H 5 z e W X Y d M X / 0 0 7 w Q Q p R X z 8 0 h s w 6 H b j o s c e 1 g 6 S 8 P o v v g z 1 P / 8 2 f O t P 1 Y 4 R k Z / 9 A p H b f 6 V M p W J w S O h 0 y 3 y L W s Y i g s Q M m b j W N X i I P C L V U X l n J T w W 5 f T l 0 u i 9 + E o 0 f e X L 8 F 2 k R U d V s i p V 0 3 N v f S e a k 8 m F d U 5 7 q H k l C t d u a k / 4 j Q O Y + 6 t P k h e T a P r 5 z X C f s k 1 N r N 9 7 x j + g i w L P 0 d W q s s w 7 h M g N 8 S 5 U y f e W h M w N F j S W J C U 7 D c s g E 0 Y 2 T 9 + D v 7 M 5 X f Q t Q 0 h 0 H k I 7 N Z g s J T e W V b x I A S T F f g Y H B 5 R w X 7 + u G 5 V V t T j z j F N 4 L i 0 f Q 0 C a k E 0 W r B + b n n R s / F a u E Q v F 4 a 8 2 + W C r R D Z F S 0 i S e 4 m F b P w S v C k f S s L M L + 9 8 V d m / j z / + O D w k n q r q C s R p x s l e u J d c f L 7 a x u T k 7 d t w 9 G g P b e R R X H T h u U V m k E A 4 X l Z Y L g V x V q v X O 5 C K p t T C v 8 F 5 d i r I i F V r + U Q j s K f m M U 7 1 3 x S f Q q Z W m 0 d x D d 6 F T M V G Z K s K u y g m w x m M H 5 t E J 2 1 p 2 U 0 j M T 3 N 8 W y B 1 R d H N m J H o C N D m l 3 M W K X I H D 2 A 6 b / 8 F I 7 T Z k 9 3 d e G i Z 8 q s H a L 0 7 7 v 4 r Z C a 3 u e b C F P 8 m O y N 7 8 O 6 T x Z W O c e f f Q 4 z / / 7 / i l K S J F V H 7 U x f A l l o J 8 i L h t E R m 4 n D X e N Z 5 F A X Q A s g H M H A N d e i 5 Q + 3 w t P Y h c H o i 6 p K b J 1 r A 1 4 9 / x x U W t 0 L S y 0 G L r x Y L Q B d 9 8 Q f l A Y E m f n F K 6 5 G d Q / 9 m Y 5 2 z Q d T z J L D o Z Z 2 I Q T 4 u k n 4 r g A 2 3 X o 9 Y p 1 / o 6 5 T F q a J 2 i I I o Y s A U b m S G q R E c r W 3 Q C t T i S O o 1 4 t x L k B U c 0 k E e D D 6 M l r t h f 2 L F 5 h J k B z m / Q u + X W g 6 h I q 6 x S H z 5 a C F w 5 b s b I W i F l k S S 1 f w M U M m Q s 8 6 8 z R 0 t r f g + g + e h 6 v e d T r O v n Q 9 L r l m K 0 5 6 S z 2 l Q B Z b t 2 x A N p 3 E 2 u 4 O X H j + 2 Q V m 0 r P Q L f E + N A e S K u h g Q O a Y B D O H Y h z Y p G I m g b G K 1 j 1 t U t f u F j L O V k r k T k z p 9 Q Q H w y 8 j 2 X G D Y i b H z K u I j G o + W c 9 L g 4 q Z B B I G d l M r V q z J w t / o 5 H j S x C l h J t s h r S 5 5 K e w b t s r Q q + 1 y 6 o 0 5 C X X E B L H l + a d A 9 h r k 2 N Q 9 9 / H 7 g s / k P p c a 9 Z h W Q c q A 7 I V V D s J I Z m Y S Z O b 9 1 P R a n 0 m e 4 2 J Y E C E z S A u F m Q Q d v n M V M 0 k S r U c t b O e 3 M o 9 E R q J d g c q 3 3 0 C t Q m a R 9 C Q y l Z 3 P K k y e l F V z f A m S w S g c 6 z d g e t 0 6 9 l 8 c 1 X + 8 S W M m 5 a s u s b S C z G T J F F y B i c R + p D N B a s s o B m I v Y y T 8 u v 4 N i p h J I r 0 F Z j L 1 t T C T Z O C Y s M B M l D A F Z t K v Z T C T n u r m 8 r q U B V U O s o Z M F m e W Q p h p r k e b k + u Z Z F / I / c W l E J r m e x F 6 R Q w l M 9 D m V H T x Q 5 S N S K n 0 2 B P P 4 d V X X + d b 7 Z R j x / v 4 H d V 1 3 g P Z N e 7 h u 1 7 h c 9 B B 1 S d y V d Z 0 e g Y P P v Q I 9 u w 7 g K m Z O f z 2 9 3 / E G 0 e G 8 O j j T + G p V 0 a w 4 4 V X K C E L 6 3 x k j k n m O m o 3 e 2 k e a t u p m O F C l a a d J G o U H c N 8 b A Y j 1 H L V X i 2 j w w p q M X 0 i M F 1 7 J p J z M o + S w 6 a L C 2 a H z S Z 7 R B X M B F 9 r c V j f 8 f A j 8 P z V 3 y B G E 7 Q c Z H j a O L A W q n y p N 7 F I Y t n 8 s L c 1 G c O 4 A P n s i H M w j A R O 0 T g 8 X w W 8 d W E j d T K k y u 1 K G A t p 7 X f W x e H R E z m 1 i k k m Z t Q Z d + S u u z U y N J f X I i y p i 2 i J + m F 9 2 / V I 5 5 2 I D U 2 Q w L K o / Y f i b U K r O c Z O W i I N n / 6 k M t m l E t C e f / h H j r 3 W b x l H B Q I 1 a z T i 5 P j n H Z X w D f 5 Y f V e K v F 1 P F i A j N V p p p t s q 6 O f 4 1 O p Z 1 5 B M S J W B k W A g 9 9 N 9 v 5 i R R U M a M T Y A V x q L E E a y 6 R p e I o 4 l O o M H 7 T x n U j F U z w v l S 4 z L G r J m D 0 1 K E 8 S y E V i b 8 w j 2 0 v R s 4 P N K B p C Y 2 D L 3 x / c i 8 J Y 1 + a b p H E s B E C m O U k F H V d Y Y 7 d r 9 O i 6 9 + A I M j v e w 4 Z S y b i c S s Q x k Z 8 l q 5 + J s Y A N F q 3 Q l W s d G K M d a u P 5 o C v H m c b T 4 S f g m + u y b 0 S o N S d T M b s 1 h a s / j t M F J z A 4 3 V f Y E G t r X o n X d S b A 7 L R j v 6 0 M 0 N I v u k 8 5 E / 8 H d m B 0 d x q b T r l A 1 D g L 1 f g 5 4 K Y k X I K s x Z V d C B W q I s U s u R y / P O / / Z p 9 Q h 2 7 5 9 8 H z q 7 z H 2 k x 9 h / m 8 / j R w J P + 7 2 Y N P z B V N N I M J H 2 j t / 1 z 2 Y / M 6 3 s e H 5 5 x b C 4 A c v u F Q R 3 d Y d x e d E t 2 1 H 5 b 9 8 H p k P 3 I i e 8 Z 2 o 9 6 1 H V a A 0 q 0 S G y N Q x h G y 0 5 m s s m I b T 8 R 4 k s / N o c 6 9 X 9 e W F c S e C P T h y 3 c d R T 9 9 l 8 w 4 j I 6 I A I 6 t d s P N v P 4 u a / X s 0 f 4 o E P 5 m o Q Q 1 9 a V t O 8 u g 4 A G L q 6 c i G 5 j H 4 k 9 u R e e A u V U h n 7 Y t a A K Y U j t G f Y L T m Y m q Y z f o R E 4 y V B q Q t 3 3 t v x M x 3 b 4 K 7 T b N A J E H Z Y u t B j b t Q z i z H 3 4 + m j t N / 3 o 4 a e w S j m U G 0 e j W N J B P S W X s 9 x 7 A g K M v 1 m Q E J j G z a t F G N u + g P X 5 1 H L e / Z s m m Z 1 Q Z C s 3 p 0 c S J M 0 U 3 r p 3 p j s W U j W M R Q U i h Q L b x b B p T 7 m J W q n i W w k m g l K d V K w q m y N b B T h I M L E r f c t a e P x h F p H E G X m j J f G a l I G r E x W a Z h x 8 C s H Q 4 6 h i 2 + C M J D P r g b 6 X 9 4 C p 1 6 6 L l j 2 P I W D z W v 5 u A a k I I m 8 + k h S q H t 6 v N 8 T 4 7 X o y R j u 9 P Z B C Y u v R p i / L 5 F 9 y 2 y 4 x O Y f u / 7 0 W u 3 Y / u / f Q H T X / o y 6 n 7 5 C / j W F G + 5 S e W q p L i s V B 3 8 5 F + g 8 + Z f F h 0 v B / 8 F F y N M Y s 0 / + z i G a P p Y K U H D w 1 5 s 2 a C v U i 2 z d E A m W 3 c 8 u x O 1 D d X Y + c p O X H / d O 2 l e J 1 B V U 4 e J 0 S F K 3 w q V U i M W w c n f / y 6 S i T T q 7 7 0 b b a 2 l h q g G 0 Z a H v n Y L s k 8 8 j f h v X 8 B p b a X p R 8 W w 0 B / K 0 4 Q 7 T L + w 6 6 a f w N v h w Z E P f g 6 n z s 4 i 9 P T j q n 0 G b J G j y P j X 6 6 S t X 1 S 0 j e 4 z 7 b r o U l w k / d 7 e i e S v t f 4 S H J k 5 i A 0 1 G 8 n H 2 n h O x Q + r e h z S s A p 7 G 5 l N s s 9 N T C O c Y Z 7 s X Q X S V B Y 2 m x U D r w + j + 7 Q O D E V 2 K i 0 t Q l 4 r E r M 8 I j M J p D x e l b 5 m Q G M o y U h Y J n d v b n 6 W A 1 S Q m r O J H m q X Z X p c h 8 y m L 4 f w e B C B p k I m 8 3 L I J r O w O q 0 4 O u V A Z 0 0 G f W S q F r p I A 5 Y E T l 5 n m q m O 7 E f e v w 2 v 3 3 M Y p 1 5 X H N U r B / H 3 R L L J n l J S f k w w e O k V H P M M O n W G E o y T e I T J T u O x Y + d d i r H a S l x w 3 9 3 a l 0 Q f m b u l I q v m 3 k q 7 x h x 8 U Z Y R v 5 c C N g F X D s M X X 6 Z M v l Y y l D D T S O w V S t 6 3 q N 8 u B 7 l O P J S B z z O r / B P R f g O h l 9 D l 3 Y I Y q j G f G K L G S i B 8 9 Z / B 5 f R g A w l d I N J f s t p b K r O Y o q T t c M q a r Z X 7 q Q A h n o J 0 k I n t 6 v F b 8 f I H b 0 M z 2 9 D 4 v H n i 2 o J Y I o W + 3 h 5 s 3 N C N + V B K l c e u q a l G a 1 u 7 2 v Z 1 N x l K v J v G Z 5 6 i i 7 E E T c k q b 9 P C V C k x U F g V T Y h p Z 5 5 M X o a e / 3 D n P W h u a o b H 6 0 H A 7 8 d x u i 5 S Q / 9 9 7 3 s v H n v 0 C T Q 1 N + C 8 y z a j y m W e T y u v 7 Y K 9 e V S u 1 Y 7 L e A w H a X G t J s o 3 M T m p y i 0 L R M t M 5 w u O p 5 0 c n d G l i B n C 5 T W u g s p W 0 C W T S j x k O 8 y 5 g A v Q W z M / G K K 5 U c O P J E S q e N k G R m C W 9 u o x J W + Q f t u x G T s 6 S L R S w + L 4 E x M 4 6 W p 9 4 Z q y 9 X l S J q o y q I / P O p X 0 l e K e Z q 2 R m u u H o 6 q D b b I i M z a K o f d / E D P b t + O M H 3 x X f T 9 K h r I e 6 8 X A t q 2 o j y c w y J t f b D L 5 J K B S u j D N y B r Y R 3 d p U 3 0 S T n u B 8 Q 3 0 v v M G Z O f m F i J t M r s v j L U c p F J T a J b P V 0 O i c G n 3 H C L T t h s R U 5 l v U m v c l l C L J e g P H a P v S w F F k 3 u h m G O Z o V H B C 1 M I X y w V W c E r w z k u a 7 5 s 7 k V l y M R f F X N b G F 4 V I Z X r 8 5 j Q x 6 t X X Y 3 W i B a o c P / q A V R 1 r k 7 D i A t i 1 L I 3 w 5 K Q c H s j 3 9 g x F t u H Z m / 5 U n O l m B g d R D w a R N f a d X j 9 g T G c e m 2 J 6 y L + U x k a F 5 R W S 1 q i x 4 s J o 7 G W J o f u l I n J Z t Y 8 o a g + i C Z I J y 9 i J i L Y q 9 1 O J N F S z C R r U Q R V H X R 2 u z K o 6 M o v M J M g R s I 1 J t N E O t o j h 9 X 7 d b U Z p R 0 8 u S F s u M Q U D Z S O I M O F y Z z C L O s C V O / U c K U m m N P v Q T q m P Y u 9 p U V V P b 9 4 7 1 6 A E l Q g u / B J T C l H Z h I Z 3 S Q i y Q Q z M 0 n e l 8 B I w a n w 9 G I 0 I v s f F U w D A 2 v v v W u B m Q T R a B y z Z D C Z C A 6 H C 1 E x A + K E T w 0 0 I d D s V v e R 7 X T G w h Y 0 + H l t + j M F L D G 0 O g Z j h V 0 L u y r W w S V J x A Y z C Y o f T y G e k B k 4 D T L n J e M s e O X a d y J D Z q r 8 h 8 U r o S V D 2 4 i m S T F R e W e J j a v j G T K T 9 E j j E 4 / C V 7 9 Y 2 K h x T s + q F D Z z d 0 v O q B l S c E X y O p V p T z p N Z 2 M a M 0 l / 6 3 U z l k N j S w e 6 u t v Z Z R 4 8 F G n A E 3 v z e G S X a a y W Y C Z B a e m x 8 r 1 e 0 p m x F E / S L 5 r I z a t M Y w N e / 2 L H T J Y T G E h S z c d n t O h M Z d f i b G f B t D 5 Q o b 5 8 y c K u U p C 5 3 N o u D 7 K H q n R y J l B c D v r g 4 z 4 4 P W w T N a n A k t S S J G W e W A Z m L M l O N 6 3 o X Y C t U i 0 p D 4 3 E 1 H X r / u 5 T k K c c 1 E e y 7 v v f 0 Y y d 4 S F k 3 G 5 I r f O x 3 k P o 3 / 8 q D u x 4 B M f 3 F J b A V H l y G I i 8 o L b 8 N G M w q K V C S d 0 L B Q 6 + O L h m B A I B 1 F R X q 5 0 Z A 4 E S s y W f x u x Q B e o 2 O J H K a I I l Q D p s D u R h t 1 A E 6 N v m r K Y E S L v 3 H A z E d r B H t b E K u N x k k O X h 8 R b m 9 m Q C e T q p P V 9 i P q S 2 r A 6 8 7 T K 2 s Y R 4 F o H t d j d g / P e / Q R s d f b l 7 M p 1 e y K Y x Q 1 m A j p p F Z r Q k Q J v v I g V X K u y S i k W N m Z E d T / T J b Y l I G 4 V U B C p 1 T d v U w A x V h 0 I v / P K F D w T Q X m u B P z Z F e l m a k c w I 9 h e W t 9 C + I X F J 8 i h h V M F R B f 1 M k G 1 o j O L 0 b m u V m v x b D k Z U O j Q Y h K v C C U + t E P i E a r Q l X j z v I r A P a d q s o r t k S E 1 z N h o K 3 4 v p 5 8 / P s s 2 0 p 2 Q u g J A o 5 K a r N K K S C J I l R a 9 H L 6 c l y y t k Y J o C p D Y 9 y 6 A I e v B E 1 v r k e B 3 n J d c g Z 7 e r b Q l y M u C t r d T O T k T o E 2 x 8 + A F s e e E 5 N H Z t Q P u G 7 e g + + T y s O U V z Y s W X E n T 6 z 0 N d y W S k h P x l Y a O Y p Q o U U q W l j 4 u Q k r C v a K 2 o i p I m o 3 n Y m j k W p K Z j 0 9 r u 5 A Y k e 9 p Y l O l w a M 8 y p j O r z C P J / J Y w j 9 T r E w z F X l I r i k V T J X M R F Y l U / b U U y k j 6 O p f 2 f C 2 8 r V Q n 1 m r U k f h T Z Q R W C f p + d A v 7 t w J N 3 / p H u H 0 + t T p h E f Q 5 y 3 J Q T 2 p e + 6 V 8 L K 2 i 1 J L g / d J G g M e 0 x k u Z u U b 4 n d f b S M P i / A s a M X 5 o m Q I x J l R 2 e R A e 1 t w g q y I u P R N 7 o T F l 1 g C Z b V Z v m f w y M 2 y D m g 1 a 0 W E E H D j w k k J D 5 D 3 F p m B s K o m q 9 S T b U s G m 7 F a z C V I g H h G C 9 b 4 c b N E B t r m F F E / p n E v i 8 K N h 2 I 1 6 c k T e 0 c D v Z X 5 G G F M n 3 J i m D Y f 5 s 9 H E 6 7 w W j 5 e U N r M 5 b P D V u u H 7 8 c P q r J 3 0 p w T W 9 j a I q 7 r z z z 9 B X q A f w D 7 J U F M l E 1 F E a a Y J x J w s h T C S m j 8 j R H t 1 1 h S e Z S l Y 0 h Q U T s 1 k 9 H l p 3 g 3 7 4 a I 1 Q M u U T J 3 G l i Z p m V A x r 0 U B J x u T y S Y L C + D x Z j K r m i u j p J Z S c W K i G f X 6 G p 3 n o d r R h W b 3 d r j 0 H d V l L d e S W C Z o J S a r M Y U Q k a K g z m r 4 p 0 p 2 Z W F 7 1 H a v R C 6 Z h O g Q e Q L 7 m V e r Y 3 b T 3 O A C D E 1 T F n w w 9 X 2 J E B a I J l o C C 6 l Z J T Q u q 2 1 L 0 X F S K 1 K x J I b 2 6 0 n W v K c l I e v s k h Q a 0 + p 9 V v x K E q S n V n N L y p t 8 y z R I E L A 1 U S K W 6 Y B + L S 0 + 2 3 G c A 2 j H 4 M F d 6 N 2 7 E 9 N D b A Q J V 5 Z x z I z 2 4 f D O J z E x c A S j R w 9 i 4 N h z c F D y L 4 L 5 + q I R 9 c / K r t b 7 0 J E 4 z E f k A U q e 8 H w a W 6 + R n d J N z K 6 f k 8 4 V H H S L X X t w m f J o c Z + q i K 1 c a T N B 5 S a 7 8 q U i w 5 r 0 c m 7 d o n I L 4 v 3 a l M H B C Q f m s h W 0 t F r g o 5 l W D q q 9 J o g Z s 2 D y C U q Y W V l M J L 6 8 o x D i D g 9 4 U d m t M c K R s T R 9 M o d u y v J i 8 o y 6 d p U c y S w t i d A M z d 2 s d l 2 Z X r P b b U p D y W Z 2 B i L x N O L Z I J x W X a M T N M b 0 d 2 W w L H E X 4 N e L + U f q / x b J D E 3 4 s R / Q K m F / s Z 2 G j / b 6 F V f h P P 6 1 r + n G n X f f h + n Z I F 4 Z 2 q n K y d 3 y s 5 / j k U e f x N G e P k x O l S m b s J A R U o a R D K j 5 o p K O X w F R i m J x Z c z u j C B q H 0 P d u g x 2 P 3 S U F k K a f l q n K n w q d d 3 l v d q s j v Z o I p t E f D a 9 d J R P q y 8 u n V O + 4 V K Y X p w / 6 0 A b c p 2 a a W K G N V K J 6 l p t z i l M s y w g R K t r Q s m G i I y G d Q 0 m g 8 h 7 6 G k t y y G S o m 1 r c v 5 l H 6 e 8 z i B v P P s G T r p I 3 5 C 6 B E L U y h 5 f C h k O n L 2 G z y y F 6 Y v n a o 5 d q C 3 V a P z d f T T / M h g 4 Y z t i j Y 0 4 / f V X 1 b o s I 8 q 2 H M Q 8 l f s v 2 Y b S M K 9 + y b m j W X i a s n D T b J 6 O y m Z v O Q Q 0 3 k E w w R / l r c p / W G q O y 4 z j M 3 a s q S 3 W n v P p Q V Q 5 O h C L x e H 1 c m y E W B f K t B F G e 0 u P n y B 8 Q z 9 C t P 1 v 9 U / A L v a p 6 N 7 6 + + + l G S P B E L u i C a k 6 l O Z f 1 9 Q L y F e t U U t 0 T h j i r p i F 6 g q I Z C a R y p G O K M R s I s h E r I i Q N W E u U o V E y o m T m i u w / 6 F R b H 0 r F Y p p 4 d T I y B h a W 5 s h W T l L D o V W r H 8 x B Y S H s q o m n C N U q y j V z E x S Q S A 8 r 9 m 9 B j M h O U J m q u F v q S b T s 5 g / K o v W L K h o F W l F o h B t q D O T z J F I F M + I k p V C m G l U 9 w u s 0 c E F Z h o 5 M l L E T J M R S m 1 Z e a x j L G z S C G b / U P e 9 j L o X p c w E m i Y n z c w i E o n A W + u C t 6 U a O X b k + M Q E g s c z y E / Q T F i C n 8 b j e / V 3 5 F U 2 u R w z C a M J g m l T k m Z q C u G x O D L J D K o 3 2 B Q z C e p o 4 h r M J K h 0 y 9 a k q 2 M m Q V c Z U 1 S Y S Z C y + N R j W M S X L h O J / L 8 w k 0 C Y S T Z 4 s C Y m 8 B q 1 k 7 C J 3 M 9 a W a G Y S Z B J a v d 1 8 I F y z R c o Z r I F j 8 I x / Z w 6 r q B S i V a A Y d I J F v y i p Z H M h h Q z C R x 0 H c z M 5 N R r Z V T 7 5 9 F c M 0 n t 1 Y t t V 7 c o Z t p z 9 4 C K K 4 z T d R J m E s j x s s O R J S H J + o / Q 8 R R y q V l V B 2 2 + V 3 P i A u 0 2 O L w 2 x H x D i 6 h E l g c H q r Q H y h u 7 j 0 s a P u 2 Y 0 H A F n d B q + L r m a e u H E I 3 J t o 4 8 3 2 R u 1 Z J o v G Q a 8 T M 0 l K F W n f n y 7 P j h i B Z Z m z x c C F 5 I n l e D n x 3 k q N d X V K r b F y C V U A 2 i M T p f Z y g F 0 7 J 7 C 8 0 k e 2 0 N o h U 0 6 1 z 0 X w a + A 2 t n l 5 K u + W a n W m Q p j 5 C Y T y h t k p H J Z 9 0 X a H I V J k v D Q 2 m a b Q k k Q 0 l k U 7 K h g d Z e g x k q 3 X p 7 O L C h y U o E m j 2 w O u 1 4 e d C p 5 o i M l z x G I r d E 8 q k J f b O 6 A D E F G Z b S j q P j E 6 q / 5 W v Z H V A m T b U 6 6 b y b 3 L B k l / O y 0 E N w R p 5 n O a T p p + X c F N J h W c I I 1 H z n W 9 o X O q J D h U F S e a B E t n I D 0 n U X k r D S s E c O w k 7 h a 5 9 / B b 7 R m 2 C N k 1 n K + D 1 F p q k o B V N u a i n M i c 0 H X p t A K B G g 2 e Z B K k y T m o y e M s 2 5 u V R N 9 7 x i K n m 1 X 0 2 B S g f 1 4 C v P Y 2 h 4 X P m o A 4 M j G k M l 5 l O Q z c F T 0 + J 8 0 d l 3 u W i z 2 1 C x x s m B r V F O e t U a o 7 P y m J W F h G V g h D a V p l K h 6 b x K 6 5 E a e B V d V n 5 v o b / U o L K O f Q F t R 3 N L Z n E Y s 4 A C F f T O 2 J T p J t k I w h B S G b T N r + 0 h l L M U O u 3 o l E g 8 X d r Z t A 5 r 0 3 e i C 6 u 6 D x a a d p R 0 5 j k b c 1 E Z W V 6 t Q 6 6 i z t B X A b / i u x r J q k b E a m r w y g t P 4 o 7 f / A E H D h 1 B z 0 i / 0 i Y / u v k m 7 N 6 z D z t e f B U P P / Y 8 B q a P 4 8 C 4 n U L I g Q O g F v K 6 E Z Y Q q x 7 g k Y y F I r D P s t T S U u g k k 7 P g 7 I 6 U m i O S V 7 W t R f W G W 3 w e n U j E 5 C y H b i P o I Q E b H b J z n x l J M s 7 h 3 i G 0 N G n B I s H r B 4 Y w H w 5 j r C + u c j g H R G C Z N o Z 7 5 b X d + M / / + j p e f m U 3 H n r k c X z 9 m 9 9 V T C R C R N K c n n j q W Q w M j S E c l b 2 W f 4 W b b v 6 F f i a F B 3 m 8 / 3 s / Q L O k n p F h x t d q c 5 m v X X y Z W g F t N T b g J s x + s F Y 4 x o G M f 4 v 2 q n o L o i 1 / h Z y H 7 S 4 t 0 C r + q G g b M p o l E 4 Z 3 6 G e w h f v 5 s O U 1 l d S L F 1 g o c b d v 3 8 D z r H B Q u D h c N i T m T O Y A k b R p 9 6 p 1 t K H W t V a 9 h C 8 u f + t F e P S B x 9 B 7 f A A J K q J V Z U o Y C 7 5 i 2 W m 1 m H A 5 l G Z O 1 G V S y P u 2 a B 9 E o h R 1 A m 8 t F W W X 3 E U x p + Y C J N y 9 d 8 y B t f Q B p N E Z U I r Q g p E a 5 p b k M H Y 9 N Y 3 T 3 l a c H a x B H k 0 j u s m I V Z v 8 L I L I K D J n 7 C i V 1 W b j p 7 w t N Y g u n S R D o o 8 d 3 n b / b x F N t q u 9 X M 2 Q + S C p 0 B S l Z p Q C J a t B 6 L g d j g 7 6 R + Y F a t S M Q g S p X D 0 c b r u a S x L T V R a y y X P n 6 f R K b q S Y G X n 2 q a 1 k c z y Z l 6 t e 0 O w r I 0 6 T 8 v D h Q y q X T Q r v r N t 4 E k 5 a X 4 9 M 3 q N W E r z 6 6 m v 4 s w / d u N A n M j l b d j L + B P C S 7 j u 5 T j 0 F j f / z B T r 1 d X i F x 8 T w 9 P z 6 I V S 2 i x + n J 8 0 a t H E i 5 e e E m U y 0 Z 4 Z j 4 l l k A 2 u Q 8 0 o V Q b o X J c G H R e D t p y c i a K z o o v + U h K M q T I v C j U o y l J V M n n M 1 q T 6 R 1 8 O v A d v X e z A w v g q G s q R l L y P N h i 7 X i E z c j o m R M N r W a 9 v X S 6 f n 0 y 5 y O S V i f w u o t d V x a z 5 O f q I 5 p T q L k L E R N W o 2 t w y o j q F G o y Q b T T S h O Z B d W C E p F W J z k p W u I 0 m z r m f H / o I P J R N 3 Y t a Z I F E 1 Y 7 9 U h V L H V b S V 1 U O C n u K z 1 l N i p R V h u W a e R 9 8 7 / x 4 p e D F 2 y d t x / n 9 9 X v 1 8 k j 5 Z g 8 x n 6 Z B Z + g r D b D N B m E J q D p R C 0 p S E A f y T G V S t t 2 C Q J l p 7 R Q Q z h 3 O o 3 e p b 4 G u B B G L I X x R U 9 D X 1 i d v h 6 C 5 V O 3 H J I I c J M r c 0 H G 8 v e v 5 Q k u 3 V l 2 w X Q Q r j 0 O w T h C N R + H 1 e z K Y X z x v K v I 3 s K n I i k F B 5 H / 0 n E V N S Q 1 1 8 q p m h e c x + 5 M N q r N c 9 / y T d i i i q 1 h a y Y j S Q p q Q W u w T I z N M o b x p 5 e P u / i 6 H m d + i f i 7 F c / m l a G M u p a + y S / E I R / N P B Z Y I S B o S Z Z K 5 m K Y 6 e m 0 q h v b 0 L 9 / / + R Y z 3 p f D A / 7 6 s K t f 8 6 F t 3 o C e 0 G z f d 9 A t V p u v H N / 8 a 3 / r R b 3 D 4 6 D F 8 + S t f 0 8 p 1 y Q A W Q Q a Z / K 2 k D B m T R F / r z S n z x 1 h u b E k X Z 1 u 4 q L 3 W b h G 7 W S Q a p Z u Z m f T r L x C 7 R P P k d y Z m k q Q O L R / Q z k G j c 8 m / E z N x u O g z R a r O x e C W 0 9 h Z W Y w 9 8 L / Y + e p u 3 H P v A 0 X M J C g N j R v Y L c t 2 y 0 D S l M Q M r V x H j q B W q o p T O 9 k 9 a t f 3 d E S q S B U u K I E Y W b p i M J O g z b 2 h L D N l 9 X 1 0 z c j b K o u F C V G W m Q R k p k h U M y e F m Z b W S C u S z S K 8 e O X b 1 C R 5 X i 8 W I z t Q 1 n S 3 Y N 3 9 t y p m 0 r A 4 / U j R g f j h Z K Z y S Q E L M J v t y 8 K y w E z u 2 D g 6 J r R a i Y L 2 K W 2 L n a V g M N P U F I W 2 M J O + J k w g + x S 3 1 J D 5 l 9 R Q p l D p a k w 9 2 X l O 6 v Y Z y N O + r 6 v Q J j O H p T I t T a h 2 a x 0 7 U g h e b s m X c i p 5 j p h X E m y Q b U j U b u g F y O x / l t / 5 n T l F u M 6 p F 5 B p k F m M Y o R n Q g j U U r q q O T S a g p K I K V / o m 5 p J 0 Q / R P g o S l K B U D L G N F U b Y 2 0 w 7 1 J C 2 S C 9 N h A 3 8 a Q a 9 F 1 + O Y 2 T q t z 5 P y b o E j V E J L / r u 5 X 4 X z u 4 q X l V a i i O T d m x s 0 A b G Q l N T i v q n Z b 6 D Q i l O r V x u J 4 x y M D O T r d y 8 X h n 0 z k Z R 6 5 + G 3 9 5 E p t W J W Y J J + l z S / P w 8 s t 7 i r B m B g 6 a P Z F k k 4 l G 4 P a U a p T x 2 0 L S T 6 J 4 s o x + O v Y I 2 c 0 Y 9 n z u R d c J l 1 2 q R L I s y F g h k p b k s j l 0 W 0 o 8 W x C P 7 E X M U T + q a 0 T H 7 N O Z q / 4 x K Y f k + z G S y a n 5 P Q S U j a y Z 4 e V E j S 5 V N o d K V m E k g z G T T 0 5 M E 1 l H N V h V H u 9 l 3 O t p 8 Z 9 B m 5 j F 7 g L 4 f b y 6 5 U 0 L g o i 0 o R R P Q P + v o n Z G O z c N D v 6 R / V s t o F n 5 V t S P E J C x B 7 w 5 d 2 9 k r M J 2 s R d b e S J 7 h f f Q 0 q Q V m E u j R K M V M J i k j 8 A 7 8 E M d m X I q Z B J K B k C Q z t W / o J M G X R I y E M U k M x 2 d s C 8 w k I X / J z 5 N t / F d i J o E w k / h H A m E m K Z g 5 n X E j M R Z D l d c C S 3 Z 2 I b x u R N E S 2 c X D Z i M D a q / V M Z P A 4 z 2 K Y G a o k G E u E G a S 5 0 q N o a q K U p i E X g r Z N k c s l t U y 0 6 s f / q g q C W B Q h z D T S P w 1 C k o + N / v f M b 0 T i e H o y s w k U F F a Y / y F S f h a k Z k E 2 r W X Y y b B Y M 0 l 8 K R W T j k y m C k l E V v S W S a q m S M L I y N 7 6 i y o T W O p M r G i 8 2 a C s U b K E c / A s z G q n W u v 1 m a T 5 c F 1 h 9 F q C k w Y m 1 c p k 0 7 P K R S s r Z X O I k G l x 3 B S k y x p 0 K N a N g 9 s o R 7 t R w u g c 0 h p L j g + a 4 e T l 5 T f i 7 l j X u B Y F v o 8 i M A x + E v E O j + F d X X F T C a r b L f + 4 p f Y M x l W S 8 B l 9 2 + V E y c E z m d b U 1 t g 8 O r 8 M Z W f t 6 m h E M p f C f F 8 F L Z Z b Q p A 1 u G I m V v R 7 l W b V j / 0 x G 7 s f v 1 1 B M M x / O S m W 2 B 3 u r H 3 9 d c w O D y K X X v 2 I x S N q 5 f 0 l f Y q Y K G G v u Q 7 l o F k i t R b T l t g 1 A X I Z 3 3 v 3 1 p v h / S u e l 8 K G d 9 y 9 C E L L P 0 X X U q a 0 s Y z O i D F d T i m z + i m H R m y 1 X M G G Z l a k f 2 f b j g f 1 l w A s 9 H i 9 p d H g Y 7 U + 5 J n X g 5 5 Z f I X Q / l M + l S M Q D K A K A t V / u N q 4 N S X 2 9 t 9 1 L / p e c 3 k k 9 S Q v G c N L 8 z H V k y h 3 S C R n U c 0 s 1 j l l 4 M E H t y U 1 g 5 K j 9 h 8 J X J 1 2 m j K Z F n A Q n v c V E 5 K Z v 3 F j 1 i I c q 2 w w F E g U b p q r 0 R V x N K O q 7 U 3 C r o j f f j 5 I 9 h 4 / o Y F K T c a s m k h 9 u V g c i x 9 I z / A T N P f q b m h 0 g 2 u N Q h J W N W s u t O 6 O s l s m J Y S n p W i M w 0 e P d p J C B H L i t H J i E M t 9 p v r e w r V 3 Z d i 5 4 A T Z 3 V o f R f p d 8 L f V T D l l g S v r Z 5 F z 5 c 0 I 5 K Z 0 X Y c L B P 8 i U j g w a 8 9 y 0 T 8 A G z 5 b a g j M 0 + w r x s X I q J 5 z K R o / l J N 2 v S J s 6 G + G b R 1 y X K Y x c R c 4 1 y D n Z d e i Q v J V L w 4 U g / e h 6 M X X c w 2 5 r B h x / P 6 r w q I Z i b h t d Y j M H c T I r W F i l B l I c U 9 T y T q p 0 M 2 V Z C N 4 I 6 + 8 j z q u 9 Y j 7 S 1 M 5 t Y 4 1 5 Z 9 D t f Y H 5 B s f o / + a X V Q 6 7 R k 3 k U x k 0 B J K l 5 c Y v / E a p l J I I 2 y p 1 O I D a 9 D u i a J 2 Z i W h Z C W p E 0 T M w l k 1 t + t z x G p O a E V m E k g y 4 w d J H R 5 B T M e t a m X g h A L z a R N F 2 z E g a c L y y V K 9 / 2 R 1 Z R q h w w z h J m o F f 1 k p m j b p / k M e V U Y R p h W X s V g 3 2 R j q 2 c m g S 7 5 Z W 1 Y o 1 W c 2 A K D h 8 J R 2 u E 5 J G c H + D M n H n 5 5 C k e O H s f J T T H s 3 X + A H T e N R I x M Q q v B Q r 8 m l a T g E A t C T F T d k p B n U h D / R 5 h J 1 0 Q i f A z 4 7 T S R y k V S C Y O Z Z P d D y R g Q Z h I Y z B S n u S n M J M j b C h K 7 v b s W G W 0 3 g U W Q O c p k J q b N 3 1 1 4 v h A G 1 j / x u K q v U Q 4 + e w O t 5 q x i p l A 8 r 4 J E Z S F C 9 0 0 w k 0 A W b W Z S a V R s r E H K M 7 f A T B n e d y k z U 5 j J G p P 5 y o L V t B I k g d y 6 s A G w G a 4 m O p z F a 3 n K 4 f a b H q Z G q k Q A d t R Y f A h a S N x 2 M h U b 7 7 K 5 M B d t p B S 2 q 5 Q i w w 8 w I B k N a k 2 T n l F d D p Z 0 Y U L O y C o Q O h f f x 5 6 W j Q M E 7 B A 3 1 T Z / m w 0 W O l z M p l y m Q A Q y y V t u s N w T D y D S + m n 1 X j b n U 1 k D v K S 8 9 o y U E K L M w l M L S 1 L p i U J 2 D Z T 5 P I V M G A F P F m 6 X H b X N H f D P f B 9 n X n w R N m 5 Y A w + P n c K B F 9 / S L g R O Z p C s + f F Y N S 0 G z U S K k P h l t t 6 Y s F 6 A m G n 5 9 K L 5 N q l l a I b 4 o y J N j b V Y U k R F C p S a k S d z x s h Q B t I l / q M 4 5 Q L R 2 K V o X t O O 5 O Z O J D + v b X R n E b 9 u C c I V R E c 0 v 6 Z x 9 j Y S p X p b g C z R o H T z 3 f h x O H 9 W m C g + E U i h H D F N Z X W A G Y m 4 7 G p P o Z b K q F c p c l 7 S J l 0 M 1 / h D + p G V U T b K J y W T 5 l J G y n p 5 C G e n Q x V 4 8 c W X 0 N X d i Q f u e x h V 1 V V o a 2 v B 0 N A I m h r r 8 d a r L 0 H G N q f s 1 C k y l S y 5 E M n f P 2 d D W w U 1 j o 2 D Q j V u o T 9 S j r F k q X e e P o W U H s 6 k t 1 H y F b I A / A P f R a S z u O T V x D H 6 L x 0 S X u Y P 7 R K E 4 G / 1 h F w D k o 1 t Y 8 d K Y q 1 j Z i d S j Z f y R v q X Z S B M O J s Y R z Q V p e S u V R F P y f E K e M p U 8 l k J u g k 4 H H k V b f 4 z 1 S G Z k 2 q c + g 6 Z W n s W W Z Q o 6 4 y C x 6 O o X F O s D W U t l b k g i E D W X 4 m w W M R c J b A k h 9 i X 7 W q r 1 t r a G v T z v H L 5 f f n 0 O G b z 1 A Y r Q B a R y q T w c l j K n C p F b D o B b 5 0 E k M T B N w V I B P R L X r 3 s e m g p y k D E t L p 5 O Z T z 7 X z p O K J l g h I 1 p M 8 U G U o C a w 4 j c l c C / 9 T N i N R / Q v + 0 N B Y x l N i 0 i U X z Q 4 v h z K a R k j p i J k h g w G G j e i 2 Z r Z Y 0 D R X a d O m T c 8 Y d F 2 b F i 6 F J c k k v a s d g 5 C U 0 e U / D v t E A z m g r + B O B 6 R 9 h 2 P 8 p l b 4 z F 4 l j e 5 u m T V 6 / c w S n v k s C t C Z Q Q P i G f 4 x 8 M o d U 3 Y X I V J 5 M i U t J T 2 K u t k + y D c t n J 0 9 z c M i C b H a h q 2 T p Y a W r u O q R G e Z w + A K W q M z j 7 / 1 v B N s + R z v f j k R u D t l Z L / w N H o T 7 X A h 0 r x w p F B y d t m O D O Z g i 2 l 2 f M h B I W N 1 K B 1 o I X J Z y B J O O R c w 5 T y G a V Q t U e C p N y 7 Q p Y L M 6 S P 9 o / S Q 1 I w Q i T I O p I V Q 6 9 a h v C Z L B J F y V e s i e c E 4 + o T Z t U 8 i E E D 7 Y j 0 O f + n u V T V H / m 1 / B 1 r a 0 R W N G N p d S 2 f S r h T C V l B W z L e z 0 V w b U B u 6 R 3 y P R 9 n 7 9 o 1 g z x U K l i K H E e Z b O m J l N o 7 a y C j v f 2 I t N r Z 0 k A h s c T g e 8 1 D A g I a b T N o Q i M U o 6 K 6 a m M r A 7 r P A 4 v c h H P U g 7 5 2 j K u K h K M / y 9 N j i L Z p 9 5 R 5 n B V 4 s D l 4 M e c N D 2 n i 0 e f O / w L Y i 1 f Z y E o 8 1 L y I S v Z + Q O x J 0 b E L N 0 w F t b C 2 t 0 F N n q k z A a s q J F d q G j q b Z r r A 6 n t x V H c G S + R 8 L z z x 1 3 4 c I 1 G g G L W S R d O 5 n o o 7 m 5 t P S X 0 m n V J e Z S e W j E Z o Z R + U h y G 1 U R S J p r k Z k U P B U 2 2 P R V t / P 9 U V R 1 a U w o w R z x P 8 s h x S a a 0 u E 4 2 H m M j g 6 j t b V d M Z O E 1 E v v b 8 Z 4 v E + z G H Q Y J e H + L / B a G 3 G s Z w T b t m 5 G K B R R d C G T / o b S E m s l N s L P t R F 4 3 J p A t C R m E E Q l K i Q 9 h H h R T 0 0 S W 7 D N i B K u A q s J q B m Z P Q I p T + 2 x a Q G q l W B J z s I 1 + z Q S z e / S j x R g 2 d 0 z m 5 c K Q J I i o 6 l J T b Z I t q 1 U B 5 U b y k p P q T 4 k H W D j u x w 1 k C X P Y x a p Y c Z O V 5 N E 8 o d O m Y W a J S f f F Y i 2 V l a E 6 u l L y u y R H 6 8 G y e P I O d f Q 1 r e h u S R i 5 x p 7 i I 7 j 1 f C M 3 o 5 E 3 d v J n A X / a e 8 9 Y 9 h + X T O Z d o T H i 7 W V M Z + l Y K Q g m e h M 0 p S c z j 6 O 3 y q i a z q 8 m Q Q 8 v s L y E U n Q 3 V C f U e a i r J g 1 E 3 o p o g n + Z o T 9 4 Q r C 1 0 A m k k 4 m F u a T + H F + I E 6 m W n 7 + R J b J S x E Y l 1 O I t u D 7 S V m A W I K O N a 8 T c I X Z G C 0 c L s h n w 5 j P j C 0 w T j q X h M O Y 4 P 0 T o N 6 z E X f f e z 9 q a m p x 6 i k n 4 4 k n n s L G j R v Q e / y 4 e s z 2 t l Y M D w 3 i 9 D P O R E t z g y J w g b / / O 5 h q + R x e v + 7 t c E U i E P v B X N J t O U h 9 C G N e z T D 7 J C g h 9 f g j y S n 2 g T Z p H Z q L o 6 K 6 u E + X S z t a C p 6 p / 0 X S c x a 8 c 3 c i T V 9 0 Q U O F M 6 O U c v r 6 I M K d T S G h Z 9 h m U h 4 8 t + t l B H x + B K M h r O / c S J 8 m g c m 5 G T p z S V x 0 + j Y 4 x 9 c i 3 b r Y b h V I w K 1 S A g d 6 6 F k J 6 9 V A D 6 e L / y X S X M 5 T i + S o z g O j P 0 C 4 7 R 9 U c E P C 7 2 Z T X Q b m y E v H s P m U F P J 6 Y Z F s e h J p a w 3 c N r t a H y X 5 g Q t Z A a Z z D Z S z w S N J m m K u Q h + Z 4 e Z z + V x r d I b l c 1 I Y H R x 3 Y E s d N a g I k T K 1 D m Q r z 8 r 5 e G E H E L Z b l n e U m 5 y d 7 0 3 C 0 2 C B K 7 D 4 O z H h Z P m A G W X z C F W E M M k / Q c x C i t F Q W F o K g x H S s 7 I r 2 d b V 1 F 2 U w E Y 0 n E C g 0 q t c B Y n Y m b E S g U p B n I p W 0 3 I L I k E r w h c Z h e v j / 0 G 1 O Y 4 3 e K z q A z e i 5 q 9 X 9 l 9 K U W 4 M h T Z k a m d q L o l q f d m 6 A V E d 5 a p 1 n Q g U Q 0 k A w q j d X A 4 i g W O y v 8 0 i W O D L x B A e a Y O 1 k 4 S z D M S E q K F K z Z d 0 + m r w 8 o A D 5 / t e h D N 3 h I P o Q q L p P b T e B m C r 1 B I 0 J Y J o R A E N 7 H / q M L b T b P f + 5 S c h J R 7 P e f Z p x X w S T h d B W P T 7 E t q Z S / W z P x Y 7 7 O W Q T L v h c m j Z G M s R k I X S M e 8 q + I s S j J i l o K i Y z q J S 2 z J Y l Z 6 W e h M l j 6 J g a N a Z I x H U b i y e Z j C b L q U o n l P S M J N a T G j G K o H Y a / u x 4 V + / h e F H b 2 W j V 2 Y q A 9 F 4 D D 5 P M X O I 9 V J D I b M U p A R 3 0 U 7 w s r k c / d m Z m z 6 O i T u O 4 S 2 8 / W 4 e N p d Z O x G U Y y g D 7 n Q c i T I B C n O b l + v X p W C V m 5 Y y k 7 F S 0 U B 5 Z g K Z K Y 7 I V P O K z C S o d q 9 R 4 V 8 N b G h q T J l k W t U i m W u Z 4 P t x d q o 2 B 6 Y g N j C / 2 1 6 7 E 4 m a M / F a / q O Y q n 6 f 0 l z + 6 A 5 e R j P L M v p C Q j O 2 X b o J h / 7 5 m 2 r 3 d b l G O h i E l 3 6 S z E W Z m S k s U S 3 6 j t I P x m u 1 z C Q w m E k g u 5 I s B T M z S T R L J r b b p W q R r v E k m 7 6 7 l s y k P 4 o w n B n G c W G m U F 9 x M M g Y 9 I H B x S t a S 5 l p L l W a Z a J B m E n C C e N f / C 7 b l 4 N t f P V z k I J S Z h K I m 7 A U Z M l 7 9 f o S b S v B o e Q o D t 1 G a 4 i P d I h a V 5 h p P F F Y / V y 0 4 n o Z y B z a c l D M F C 1 n b R Q 0 t j V R f t 3 f c r B W 2 B v h t z U i N Z L k w N h g D 3 t g T d V z n C v R 9 9 Q u V N n b k B t 1 w D b Q i V y / H 7 k Z J + x D 6 1 V E L 8 u B t D T P w 5 G Y Q + f k P f C E j d 0 M 8 m i c f B p t 4 w / A m k 3 S B p b O L k S M 3 K N 3 k w r 8 y r + Z y b T S Z M l z Q O k Q y p 6 5 z k a a Z 7 J L N w e D j q L F 6 o C P p q j D Z l F r k c S J F z P Q k k n y G t q A u B 0 m o i G T Z Z J z / J v E 9 y 7 6 B t L 0 6 x y U / D u v v U 5 9 L U z 1 n G m T 4 X x 2 n q 0 t d O K J Y j J U i B D O U L M Z N d + F M W W z t 7 I w h Y Z 9 O p + V b t 5 l L p x Z i o q u Y o F n o L O j E A E z / B E N F C S x A 0 o z a W t z y 4 N i D r l k C s J y 2 a b C c 7 V d / h E 0 / u W / 6 J 9 O B E v f K z x A e 9 T 4 W t / 7 S s H V g v W X b k e 8 q o b + X U Y t P m x y b t I K v Q h M K w U M A T g f P 4 x 8 e m b h s 7 x i Z d K M F s H n h Y d K Q S A p R 2 J h m E 2 + h Q p d Q o v 0 z R Q k K 0 W 5 L u V h D W U m E M l O w N k q + + V Q 7 Q e o C p 3 z S E / 5 0 H n y B X y o Y V h b 0 s h 2 D s D a F Y G 1 N o U p z x 4 6 3 m v o Y 2 m E m X D U 4 l j N u x E P G K F R C y Y a L s F w 0 9 t R 7 e q A l f 6 W b + J m e I Z / C / v s L i R a b q C 2 C t A M m k Z H + P t w W J J a g Y x Q H 1 y z j 8 M X f g b 2 m F R K k h r W Z J q a i 3 j N Y g J T C b Y L M A 0 c m c z u q u Z f F z 7 z 3 j r E v v p 9 V P m 0 7 / M c I M G F p l B 0 O f P q R N B Q U Z C Y 4 o / I g s X j c 9 o K 3 6 w q / 7 g Y U j Z Z k J W 9 g V 3 a c 0 g Z Y W 2 w y s O o u a f A t 6 G R p W f w R b t l 2 X e x u D B R j 8 p 2 i J Q p A 1 0 K C 8 3 y J g p J p V d 0 r Z e Z 0 R K j H f 3 F a 1 E M f 6 s c 0 h J y X A q 5 B P z n n 4 / m D 1 9 I a 0 S / R k k t j 8 a v 3 o H 0 n 1 2 M O N u g L A y Z 3 D a y e X R k d e t E k L X a M W t s T X u C i N P 6 8 m Q T q H S U D + s r k N l U q T q B C t q Q a h Z q W P K + a v J Z m K 5 k P Z Q I t d w s B 5 h H c 5 2 j s N a V d 8 C F t D c 2 F 9 a m 2 G w 5 O O w Z P m T h c j I 4 q t 6 b L Y C s f w 2 i j Z 9 A v P V G Z G p O 1 3 / B 6 7 j q E G n 8 l C p 4 C I c X e V 8 X k j V X 0 r x 7 K 3 I + d q D F j k w 6 D S n o b w h c 4 2 + i 7 Q P w j 2 h 1 x 5 f C h u Y s N p 7 l o 9 L K Q L Y b e / 6 y K 7 Q v T E j / H 0 P D 5 V D p 1 e b x l v K p p A Z 5 L p N H d D S 2 M H u v y g g b E T Y O j j l L R C D + n x k V r R 4 E + w v m p j K d Z Q q B Z n Q 2 d w i D o T k K K Z G k x e e V g 0 9 P r 5 l 5 5 H m V U 5 G 1 2 + D S z f 4 D H / n / I N U / j v / t h 3 i l w r U q j N 0 I i + W c g k P C m j w u 2 x t J 9 N G M k d / c x a 8 c q s J R u d x D A + G f / w 7 i I E Q d 7 B O d u c 2 Q T d H K Q X J H M + b 6 h C t A U q j i N j e S 8 f K m 8 A J K a 1 U a Q S Y H h b d k 0 A j T k Z Y W q M k Z Y w d m e K B m 5 c Z U 6 u H G U l / D J t E t w k 4 z z 2 G t h N 8 I l R u Q f u F L 2 d b 6 e / N L 0 b b x W W o 7 8 K 9 K B D a 9 V A U j / X 2 k 7 T P w j 3 9 / 4 b P / o k t g P / t 8 b Z m 8 n M j / 8 + 4 u 1 P 3 H / 0 f v n A Q 6 J Z s 8 m + 5 N b f J / n W s p R o G 6 1 H T C E p g 7 R p M 2 k 0 J F 5 x I 5 j F Y b z W E S m 7 R f l j j I H l N 5 M Y s 4 R k b b + Z J a f b N H E 4 j P J y m c m j E Y r c c M 4 o j R p 6 y w h 6 m V F j v d p X D S v 4 y T k c V / m r r v S c V Q l T / / G p K 6 W b r p W / + C 9 J p 2 O K + / k r + Q 8 S 3 h I L Z D t i + S l 5 e E L A R d b f F S m H T T j L L C 5 y u O p P X f f A s O k Y h 7 A p L R s j T O f u g F d D 1 y J 5 o e e V Q / U g z V v 9 K U k p d M R s t S d a s k q o r 0 L f n e / J J a E g 2 + d U r w u W W 5 k m i b c l j G c i i F G n X r c D t S X g c s Z l 9 k G U j K y X S 4 g q 9 a + j 8 y u g V I h 1 Z 6 t y K w j P Q x 9 v x Z E q I + H V q O o f n q g y M T e O r B 3 y C e T O P h R 5 9 Q K 3 9 / 9 n w b n n / y j / j B j 2 7 C 7 O w c U s k E X r 3 8 S g w O D u H h R x 7 D 4 0 8 + j X t s l 5 I / I + i c C + K F S y 7 X C 7 k I p G f f H F 5 5 u p e a z 4 9 0 x I v 4 j A t u e o q 2 b A W c 1 M g + e w v s + U o k M w k 4 3 W 7 2 l 1 1 p I l n x O T U V x h N 7 H 0 b a y J Z f A R b R W v Z q e P 3 0 L S n Z J X g h y O t r 1 G o 2 0 m S p 1 j S b 1 9 2 D 3 B D b M V m L y X j x I r y 0 Z H + b I N o m O R Z T 7 Y + O J x D q n Y F 1 P o 4 0 i T 0 Y s / H z N O Y O j S G a 9 6 D h Z 9 9 Y O E t e m u Y r Q D a 1 k 1 e c L k C F Z y O s M m F f Z o x 9 7 3 k / x G V M k + y a H 7 x P O 7 g M b G M P K p + 3 H J b K v D A g g t L s L w p z + W m a a S 9 N I 4 v P K L l 8 A o t U U B Z t U 0 o T Q o s r z M 0 Z + x 8 L b N / 8 i 8 4 v u X I H E A 1 o e 7 C a k c 1 J t c / i G 4 w N z S N Q 6 Y b X l Y S P r 5 J 8 Q 1 T l h T H L V 1 F d D V Q U r k z 6 x 2 t D T m z t r M D a d W t V i s j a N W t w 2 a W X 4 O R t J 6 F z z W a c u c m P y f u f R d D q 5 M u C 1 v e / D 8 0 1 6 7 D t p C a M h A I Y i T t R G R 5 D 3 G l B 9 O q P q w I v 4 q P F V 1 G W q x T B q Q z a 2 7 q w 8 6 V d y g Q 9 d K g H r 7 2 6 B 1 1 d 3 X B 5 L L j 1 l v / F W W e c h 5 / / 7 F Y y l A u J R B K V l R V I z m Z x u O 8 g Y r E Y t q 3 x Y y h S B Q 8 V g Z E S d 3 j S h j p f X m W R a z u 7 A 3 t H + I P 4 G P x + v 4 r 0 G R F K t X h S D T 4 P y o b M N J v j u V l Y K m l G V i T g C V F C + z Q L Y n o i T A b m b 3 M 0 t h Z y 1 U h g N X X U h G n 1 1 1 X j R c u N 7 0 L l x 9 6 H 6 q Z m V F Q F 4 G 3 o R q C l g k R X 7 K 8 t N U c V s K y F 2 0 3 T n U R o k 7 r w d o c y 1 w W S i Z 1 6 z 7 u Q P N I D 1 2 U X I H D G G f j D H + / B y S d v 4 / P L l j e L Q 9 T e y F N I V 5 b f + E y C C C t F 8 s y Q N k t Z M O N l w J L 1 w F m 0 x 7 L e h o z U G R F z s 4 T A y 8 F e 0 L a W 3 r E X 8 1 L X O V 9 a k m k J l C 5 1 L 8 V K k 3 n L Q Z Z O + O 0 y m b s 4 3 0 0 y v 0 9 p p S P K j h G J L 7 t f C G Q Q Z D C s w c P I V W 7 C 8 I W X q C 7 Z T z P o q n 2 F L V t e u / M o m r 7 3 V + r 9 G 1 k r r n p B S 2 O Z T f Y o S b U S v E + / j O p v / Q z D 9 9 5 E 4 b u C h i X M / R A a o l R s p R l i k j 6 y S 4 T s V 1 U O k + y C h i W s w S W R i y O Y m a a p S 0 F H B o j S 5 s + G H L B V a P 0 0 P D C L + p Y A P G Q o N 8 c 7 t o S G 9 E h J Y V P p s N X A Q 5 P I 7 u q C 3 e L D / Q 8 8 h G g k i v q 6 W h z p O Y b r r 7 s W L + 9 8 F e 9 9 j 6 w t o k A 5 e B h 1 j U 2 o q a r A 8 O g Y Q q E Q / Z c 4 p l X S r m R U F D J O z J W B S y F B C e V H F c v 7 B c z G N f + / p k w 4 3 4 x k 2 I 2 W + m X y A / W q w i t C T + x V D C W f 7 e k Y M o 7 l b y 6 z 4 j 6 9 f K n D 4 s f j D 7 6 E K 9 9 + F i V g H E 8 / + R z + 4 k M 3 U D v V k O m K z Y s / F U R 7 / e / v f 4 d r r 3 0 H h o d H 8 N R T T 2 H r 1 q 1 8 P 4 w P f / D 9 m I 4 5 c f T W e 1 B 9 2 z c w R f f h r N / 9 B u 4 W L Y I 0 2 T 8 J 3 P x 9 x H a 8 g O N k w E v 1 n f Y k L r d Q n 4 3 / L R V C b / j b L 8 F 5 5 D g e J 1 N s f q y w d e V S M B h q 7 k g a 1 R s L E j G U o H 9 D 7 W O h v Z 6 n J h + d C q G 5 L r B I O g u k F r l 5 E 2 t d H y 2 C C J Q 8 m S l E i Z 2 l 5 D a Y Q v y I T N Q B a 0 l R m e U g 0 V a 5 h o E A i T p M o p Z I m D j v 5 b C S E J V M D p X l X l O D S L 8 d l e u W 4 A K F w l P K Z H b F 9 I 8 R q f 8 b 9 b k U E h 4 v N 1 w h m v 2 p j A 2 y 1 Y + L W n I 5 B O d i W N N 8 M r 7 9 n R / g x h v f j 0 O H t f 3 G Z C u h 8 f E J t L a 2 Y G B g A N e / s 1 y V J D E X K S R N C x 8 X G K p t + B 4 M t 2 l z N a v B r 3 / 2 O C 6 + 6 C K M j A y i r 2 8 I V 1 5 5 J R o a 6 v H c s 8 / h 7 d d c p f / q x G A s r V g K g 3 N 2 j I d t e E u H z J l Z a X 5 O I D Y Z Q 2 i Y 5 k u 9 H a F A E v P Z L j R / 4 j I 6 m V n 0 0 U G 9 1 D T L H p w O Y u q G 6 5 B I 5 7 H 5 m U e p 6 S j F a D s n a f b F U 5 P w u J s Q C 2 Y x P E L T M B r D r t 1 7 8 I G P v h X T P / w D G n 9 6 M 8 Z J 9 M O U o t s e u g + 3 3 n o 7 3 v e + 9 2 D P n r 3 K b E k m k y p X 7 e S T T 0 J T c z 3 W d a / D y F g a r c 1 2 D N H 3 q 6 p r 5 g C b R l / m N f S c M 9 l g T f a E W g p j I f o c F T l N g / M a 8 9 E s q n w a 0 e d l o p P a a Y Y S 2 5 x G Z C A 7 6 4 S t O g V b L I + M B K P K M O 5 q Y a O g z O q V c Q 3 U i i 8 j S 9 l X i d m e M G r W F w c k J I U p F o 3 D H 1 i s j R L R M N y + p Q M Y M 4 k e W F I Z m q 7 L M 8 5 S k G U b z R V a l V + h K V E G 0 k f W 1 B B y V g o 6 Z z X 9 y i z d k B V M P / G j X M 0 F h h K M z D X g L a l f Y q R R 2 2 L E D G 9 k E F W p Y x i t 0 X b 0 2 / 3 i A G 9 i w + l n b c S T D + / C D T d c K 6 J S S c u V c G z a r u o 2 S J F I W c t z I m O 8 + 5 4 h 1 H R b 0 b a p U Y V e j a L t s p m a b / J p p J s u A G L D 6 H 3 b R y H T q q 3 v e T c 2 f v p v E S W D v P T Q 6 z j p 2 A 6 E n 3 s W 6 x 9 + C F O J o 6 i 3 0 X n X q + h I R 0 a z U 3 T 8 a Y 6 Z n q P p o / 8 E + / A 4 d g 1 P I N D W B C 8 1 l A Q Z r F T x 4 i 8 Y m S b Z n I M + T k a V P b M k 6 T j b 2 5 H k f 7 K X 6 y L I O b o m E L 9 Y a r 6 F w i H + p T m W S G H 9 2 q W X h g i C w R A m e / e g f e M 2 u A M V S C T D i G M e k e P z c L o 8 i M x P o 2 q z F h h y D G 1 A w j k I Z 7 I V q c a D q j J w O S y n h Q Q u E p g 1 P b X w G 7 + l C U 6 n h / p k Z R O 4 H C Q a K x n o B m Q Z f q O n s K m b b B e T t 1 f B P X 4 n E m 0 f 0 4 8 W E K c H c O A j H 8 Q F I w O Y e 9 + 1 m P v o + 9 S y H J 9 z 6 T m 6 k X / 5 B s 5 6 d b 9 6 P / z E 7 U K y q P M s 1 r C D 4 Z c 4 l v Q r f d r G 5 q t F E U N J b X I J Q r Q O 3 U + h Y 4 P V T W d x P o K h j n e p 5 d p 2 8 Y j Z g p q p v b j t 6 Y Q q Z C F 2 r 2 Q T X 3 n F F V T t 6 Q X f Z j l I Z a B C / X I N E i n J C Y f r n 0 s h 6 5 z O + + X f I r z p Z E z 9 + 3 + i q S K r n H u v 1 z B T 5 T E K Z x + 7 8 m 3 I 0 W T a Q m q 1 X 3 E Z E l / 6 I v b f M 4 t t 1 5 X Y w z I p Z 6 q H H U q P w u 9 o J F P w + b I R J H J h 5 O e C S L z n 0 x j l L R p 4 i 4 H 6 G p z 0 2 6 X n w O I T A b j r w 2 q g E u w O q Y q 0 p W l p s + t E q 7 4 K k t F 9 i N A U y 2 Q y h X J W R M E H k r 4 o C A V B O s k 2 z F T A 0 R R V l o o Z E j 5 P r d K P N u D J k A F V W p q V Z t / S O X s G 5 n p j q F 6 7 v F s h b c 5 n p E 5 h Q J m K M f p X 1 f F 9 y N S f q w k e C i s p g 2 A o D C k I E 7 r z L m T e c Q o f W R t / Y S o H B V s p h r / 0 P Y S f 3 4 N u i z Y B 6 3 z i N n W 8 V i V u l 6 K Y n l a L I o Z a C q W r M 8 3 + l m E / i 7 q U B V c r Y c + o A 6 e 0 L G Y 6 S 6 w f e a 8 W a R R f y a g J M d 4 7 i T T s a F 9 b o 9 J Q E m k L H q N m v H T H 4 5 i b n 0 e 1 l L o i / H 3 / j U i 3 V t n V Q M + T z + L U L 3 8 J k h 3 o e + p x 7 H 5 s P 0 6 / + l T t S w M k p N n 0 E A 6 P r c H Z n V J d q b z p I M E O E S a J 0 C w G K q t w 7 j P 3 s p 1 B l Z F g h n 1 w L T I d m k + W y d j h s X f x W W K U d g 5 E 0 m P I 6 D P 8 k u l d 4 + r k 4 M d p c o Y o z H K o W i E U b C A R P 4 i o i f h H h + b Q 0 n 4 C k V X p 2 g E 6 4 l 1 a 7 p 8 U w j d q d 6 + E T N Z O y y T D c 6 h 7 S 4 I X N a 7 u Z b X V / F E + 4 4 Y S T j a Q S y K f 7 I f F o + 2 K O D 4 x i a Z G U y I 1 f T k s E a C I S v 2 N r D a N s B S S Q 2 P o / f N / h r C / 6 G 0 f t Z M 6 n n E i 4 O h c M M f L J V q v F q I U V n X q 7 F R E f 6 d B m K l j + g H 4 T Z k R q 2 E m Q T l m E h j M J B B m S k Q S 2 H v P C J r W N i h m E g i Z S v 6 w m 9 I n F Y u j q r I Q J Y v V a 7 s M m r H u s o v U 7 6 X 1 O y 6 9 g g N W h l l I m J K / d Q 5 v v x Q z C W z r 1 q n c x e h M C B 1 k B o + l i g x Q a H O u v w H O R H K B m Q R 2 e 4 b C 4 B g i m V G a E K 8 o Z p I a G 1 O h R j U l I V n t k c w E o r T j V Y 2 6 V S A S K 2 Y m g T D T + M j q Q 8 h K 8 J K Z L E M t H M z 8 i s w k p q A B M W k d u f Q i Z h L M J v s w z 2 c q j z w C 3 c v I b p l c 1 p l J z G 2 D m d L 5 K J u Y g G / 4 Z o Q z 4 0 X 5 e s Z L 9 n 1 e D o n + E R z R m U m M e + 9 9 N 6 n j A p c 9 V e T b m p l J i q O u F r n k h J p c L 8 t Q U j J q f q a Q d m S k M R m 4 / / c v Y 7 T 2 a l T G 9 s N C C S 2 L y G T O Q X w Q e e V X w a d L R Q K P v T y A P Q / 0 0 B F 1 Y f t 1 x Y s D 6 x + 4 F y 5 H X k p i 4 v n L r 0 E 4 q U l D S 2 I c O X + x d B 8 d n 1 R 0 Y / / m D 1 R G n U T v c j P l i f a l l 1 / F 5 N Q M Z m n a h S M x z M 4 H M T o 2 T n N D o k W a o G j + + c 0 q x 2 1 u T b f 6 z c 5 n d 9 D s 4 H c p O / I D 9 C 2 6 J p F y l / d N N G g m W C z l 4 X l J J e U F u Z w V T r s m Z I T B l o V o s x L i j 2 e 1 T P + m 1 o I p W y 7 L W 6 Y 7 S p F v H 6 W k s C A z X P D x R H P O R a v U 2 i 8 D 4 j M Z K x A k C p i m t n V Z T H t a m S A a W 4 i 8 F H P H 4 m q 3 i v I o b p s 5 c G K F A 8 H U M C Y D U h K 7 W L C v F o f / + t 8 g O S P S 4 p Z T t 8 J 9 3 E j i X h 5 F u 2 E u g w z H Z T A R Q X + w t 0 D 5 Z i d c 6 q 9 V 1 W o d K r u y N b Y V O s + Z b V Q b k B 0 7 l M D B 4 G k Y P v Q w T j p p G 7 7 z n e / j t d 3 7 1 B a P t 9 3 2 K / 3 X 5 R F N T a s i M F m 1 5 4 6 G Y 6 8 e w + D + I a w 7 u x O n v H 2 9 9 K r + T Q H W i g p Y W 1 s R I B 2 L F t v 7 N i 1 A 4 p x 4 C q 7 / + T r c / / F V 9 V n Q 3 N R A b W B B 7 V t O U o P c Q Y K e / P 7 f q + c U v 8 O A B B f a 2 9 v o C 9 Z h 1 6 7 d 6 O 0 9 j t 2 7 X 8 c z z z 6 P q q o a P P 2 0 H i V k e y Q b I B C m X 8 W P 8 9 R G v / r N X b C 5 K U Q 6 i + u t m y H p O l o i a V 4 R a o U n A p 9 p k W I y U 9 C K k s o l x C g E J J g y l Q M T z K R H k E w X M 6 1 H g i o m 5 H M 5 m p G x R a a o l M w q C 3 a z r T W C b F w X T v S h q 3 3 z C w s p j f Q y O / / 6 a H Y Z U b 6 k b F 6 w L E o Y W C o 2 l U F e 9 c 3 i s T Z g 0 1 c U J P y t 6 J h 7 U L 2 X N o V X s Z m a g c 0 / / x o q X E 5 I O m v 1 6 w d Q / 5 k C n S y P p d t l h t Q b M W B 5 7 u U H 8 6 2 d m v 0 9 H q x B U 2 W x 6 R C L p O D 1 F 6 R i m j Z 0 S 0 C y F U w D R K k V G P s B k q k W a o p O Z P n w K t m z T I O k 1 L A B w x n c 9 8 Q b O P n y k 2 i D j l N t N s F / 8 W U i U r H z l F O w 9 f v f U b / x f u D D s A 4 P q 8 W C r f p Y 9 f P y m 7 7 4 b 2 i 4 / D L 4 z z 6 X o + 7 A o w 4 H t j 7 4 B G T f t 7 E g 2 + r s J e P W 4 v j V 7 8 D B c B z X v v 6 y d r I O C d d 6 f Y t z 3 s b G J 8 i U j W x G j p e 1 4 + a b f 4 F P f O I v E I + S Q e b m 8 M B j D + D d 7 3 o X q m s q l C + X s p m W I J Q g l Q l T C y 0 O / U o K T 4 Y + R 7 l w t w Y K B H 0 5 w U y U / b a K m i n O T J J K 0 0 V T c h w e a x 2 1 o Z 1 m U w y R W T J K y Q p V M 3 I J k g W F l L z + N C i 0 X R D u t S G w d g m m X g F m j d c 1 f S / 2 V 5 y l 3 k u N d b d p B 4 x S H i 7 F v s s / o u p T V N z 2 D Q r m Q m p c + a C E B r V N b N H E L v s o M 0 / t R U G 2 4 C L I j U m M y V E y V 0 V h 6 / 9 S Z h I I M 5 n N h U a q / y J m E l h s C L d 8 B q m u 9 y J T d x a Z S W a e d W Y y a b 5 y e P X O w 4 q Z B M J M C i R i Q W j P n o X z + 0 Z G 0 M v 3 8 m n Q S q 0 Q n E d X T y + O 6 V r p 8 N A I D h / v Q 5 J m m j u o E X d z Z Q Z 5 T y e s f j 9 c 1 1 2 P 0 6 + + Q B 0 3 Y 4 G Z S n a 6 E 2 Y S y N x Y P J l V f 4 8 f G 8 R c a A r P v 7 w D 5 5 9 3 P l 5 / f T f C o R h + 9 9 s / q N 8 u h X L M J L D T l j Y z 0 9 i c d k 8 p O q m B W i 3 Z i y l Z C 7 Q K Z l L Q 5 / E S I S v i u W m l r W w 0 m 5 Y q T G n A 6 s 4 h F 1 7 a h y y F 1 G 4 o h / D C A t H i c b f 4 C 1 r 5 R C C C w Y z + u n e i h k L d m U n z 2 V a f V S 4 4 + Y n b U c W X m Z k W k 2 e O L g T 9 y 9 h R x G O k C X F N J A V p 4 e V G X h J p i / x t n d a l 9 u J q o n w G q h x t G B m d Q U d b K 7 W J V u d t J T j H H 6 U o t i J V r y 2 d m E n Q z l Q F Y N I Y e M C J 0 9 6 t a t o U Y f q D H 0 F m a A i y p E w a d 9 5 z T 8 P 9 1 f 9 C 7 o E H c X B o G O N r 1 6 C b T C 3 z Y G + k L X D a 0 r h g x / P o a + m g 5 H B g s L M D F z / 3 F M + 0 q O 1 Z 3 C 4 H j j 4 / i C 0 X d b J D i o l G W L S / 5 w B 8 g Q o 0 N C 1 u i 4 G 5 n i S q 1 2 t m y / j k B J o a C o M i K O c 3 r I T S N J / Z S B V q / P O I p W f g 1 e f G D B j R t Z W g 5 X o Y l o H 0 n v F e g z B Y O k + t r E z F x d / n R s S s X r m M n B m p T I x C Q 3 M R z K W 1 n D Y f A v Z m v U 6 G S I T i e y F B X 0 Y 2 k N A h 5 r j Z f z K q c J V D h C Z f W 3 A Y 8 / W F 5 U B L / H R Z J J N p t F R u 5 r n s W / p C 5 m 2 D N C z u o 3 K w J A a p S D p W E T 3 Q U e t c S 7 5 w K 2 Y S l D L T W P x 1 / V 0 x U k 1 X K m Z y D / 0 a 9 r l d V K 9 r c f z h F O x 7 X s C F b / m j 2 n Z / A V J T g K j 7 9 e 3 I U 9 L K 1 K Y 8 z v M X X o L o 0 8 8 g 5 q Q d T G a q O 9 a L X j K T k N c m B w c h G 8 T x W 2 9 D 3 S 9 + h q x a P 5 X G I 5 e + V S 4 F F x 1 h 8 S t i U 7 T 9 d W Y y s o P H x 4 Z p w i X Q 2 L I W s d A s R s c 0 u 9 x q 4 + B z Y J M 0 5 Y L H E x j q m 0 b N 2 g w G j h 9 S O W d N j S X L U o j l 0 m / C 8 f I a S p j J v I Z M m E k g z D Q T L g 6 D L 8 V M 6 b A b L k s t z R 8 f T U g / m + 2 A g 4 Q 8 L x P 3 j k o 8 c t d r c D o K p p 7 D 6 l X C T H w 7 C T W b F + o J h J k s Q + V z 2 4 z V r Q b i m T m l k S T s L 7 X b B e Y 6 d S l j 6 9 J R 0 W Y l R C k E b G I m g V R o M m O 5 g i l + Z y N i / s U J 3 S c K J x l d N J K s v S t l J o s w / E r M J G l H k g s r W o t / L T 3 9 L + e t J R t w Z R M 5 O t t a x 9 C 4 K n o w V R B d T B J H c Q 0 z K Z J Y 5 S z M 7 k 8 M D G F 0 b w T W v G y E z H N c S T h 8 F t T T A W r s l i z n w v n e / p 8 i 1 i W J q 8 W N V 4 m u u T T 6 R L V b 0 l h r r U Q t t Y M r F M G O x g q k v R X o p g k a 5 2 9 G S J x n P v I 4 R r Z s 5 H N R + 3 V 2 4 p S 7 / o j 6 2 g r Y s r M Y Y 9 8 0 d t e r L G g Z d P G d B F m a c 1 N j g + j o 7 s D v 7 3 1 I P d / m T Z u w d t 0 6 j I w M 4 + T N F C Q u H 2 7 9 5 e 3 4 8 I c / h J / 9 7 B d q I v W j N 7 5 d n a + C O a a + W I 2 m G p 7 p R F u t t j w + k X b C 7 S g m a s H S h X G K E Z u z 0 M / N 4 8 C B N 7 B 1 6 0 l 4 7 N H H 8 e 7 3 X I e B / m E c 6 + 2 F 1 + v B V d e e h 3 i q E F o W q S + R K f G t h L F 8 N t N 8 D 5 G L 2 G g m L + / v a E G B Y p U Q M G 2 B Z C D g a E R 8 x I b K 9 k L U M E + B Z i l Z p b t o 3 s m E 5 f q 0 Y + R u D L Z c R / r Q a e d N a K n l f C g x K 8 V X M 7 C S Z W b p e 2 U w n 4 p K C V o f p g d D q G y x w r p m C F a n 1 s B S y f u N P 0 S w p d u P + V A a 2 9 c 4 0 J w 9 g p H e O D L h S r h s 1 b D V T m P d 2 V 3 K k T 8 h k C k 8 g 7 + k y H A h 5 X 8 L c r 5 u 5 M k k Q 2 Q q Y X c J K G / 4 p 3 9 A 1 y e 0 R M k H + P K s W 0 s b O 4 f 1 d i s G q N 3 O u O 1 O u o Q b M H W g H + F v f g U d N / + E U j u B s e M R V N V V I h 0 n + c Q c b J s f U 8 m d 6 F q 7 l s + p z 2 X J P J p J u h q w z R 9 E t n o r v 9 d H S g a u 1 P C W n d J L B I w Q r Z F 0 W w p / t h Y R m x b u n o 8 F U O U t j h L K P I + E p v + v c F F i J q 1 O V T 7 a i N Z J z b r S y G A 5 2 A b W I N u 5 u E h J d T q E O U e F P q c W p Q i k p S C l t D l K 5 R h K Y B t c h 6 r 1 H G K 2 I Z + L w i b b D K 0 C S z G S p H u V r q m z p a N o n H o a o 8 2 a o D s R L B u U o C k H T w e t o L D K 7 V P H S A P m q L g Z l t H + / r y 3 o i A 9 I h M x V W f 6 0 I 4 j C I 3 H S W M y t 2 S l y e F G Z Y c X P 9 4 Z Q C I l 5 J L H d z / h g 8 t b 8 A H + T 6 D J M D Y 1 h + q K K r g 9 B Y k g a 4 k m r r w K s p Z y O p v D e T / 8 H q a u u R Z J P k 8 v a d t N T d J A x 9 F O i b v x 5 d f g O f p N Z G l W p p o u g 1 R j H Q i / h N l H O 1 B x S R c 8 9 h y a 7 U d h 8 S 1 h S p i 2 t x F 4 D v 8 P h r v f B Z + D m i 3 v p C m 1 / A r Y L C W v r U T y l l Y w r X G 2 Y T 4 9 v k D g i Z Q L b m f x / F i x H / S n Q y I 7 p 8 b S R U 1 v h j j + s o t h K Z x H o o h 5 m m F r C 5 M O N A K S + S j z e q L l I D F M U g 6 s g 7 X 0 P 8 t n c p i 3 1 D E j n p k t 2 q x g t X D E 5 5 B 2 l 7 9 X P J q C x 6 d F r L U e 1 v p Y W W G k G c E P f v h T f P w T f 4 m 7 7 7 4 H p 5 y y H T t 2 v I h P / O V H 8 c h j T 6 r s c 6 / H g w s u v A D P P v s s t m / f j u e e e 4 7 f / 7 k 6 V 1 B 2 s 4 D 5 n r y S K H K r Y r A R 8 Q E k n V 1 w p T U n 7 E 8 C X n M u W b m Q R l S K 2 E s v Y / h z / x 8 O R 2 O 0 1 3 M 4 g 0 y U e f F F z N O P m q C k y G / e h F c v v F B V I A 0 H Z / C e 9 9 0 I 2 e p / e n o a z z z z L L b V b s N J l + v l k k 1 J q Y t A i W 7 s U u 8 f / S 4 G a n W z L p d B L D e 7 q J C j w K z B j 0 z a s L F 6 i t c X e 9 z P v w W N F 0 w P o 8 L R A q u Y S v S b k i T Q F O 3 v B H 0 a i 6 X g H 8 l E p s t W s T B h u 1 q I F v L a F k 9 E y v x R i E w t x F 2 O a Q x I 7 q L 4 Q s X P m I c j G a S 2 z C L L 5 8 m O V c G H N m r 6 K O x 1 4 8 h U 5 F Q C a T 5 t R 9 Y h W l Y j J Z k 7 0 q K A / C y 5 d 5 D 5 N 0 0 r i m B P p z I 0 R D Q L J p l M q f 2 M S 7 G c m S d + 2 1 L a s D v 6 M P q 8 b 9 M / F V A a 8 D A w P j K P p t Y q L Y D i o P C g S y D C z m Z z K t 9 b U p 5 y F g p 4 n i v n y y u b o a A g 7 c n 3 p Z q q P E M N R l H V U S I 1 J A J S s p O F q o u n T 7 y 9 a Z C I e / t G s X b t 8 g 7 m y N 9 8 C o k 3 D q A 3 m 6 W k t W M L f a r 8 w A C O c 9 C s X V 1 Y 9 5 v f o K G + E h 5 r A v M J F 6 q r q 1 V y p R R o k b 9 u / 8 r + S J 5 O q I W O s n v 0 t x i p 1 X b H M G C W a G a Y G a p 3 2 o a 1 d W T Y c n 2 l Y z D 6 I r z 2 G t S 5 N n G g H P j F z 3 + m 1 n Z d e + 3 b 6 b O N 4 h 3 X X E U T S r Z Y i e K l F 3 d j Z n o G 7 R 0 t 2 H j K U r P 2 9 I f y S d h l 0 B e Q V y l N 0 t 4 q a 8 2 q z E c j P O 2 2 V p N J C l a H K z q B m F c k P o 2 7 o l A x Q c r Z / c I w 2 l r Z Z z T V / 3 j 3 n S p Z W d Y S X X f N d f j S V 7 + M r / 3 n V / H q r l f Q 3 N y G 8 e E x D E + M o q a q R q 0 S O H z k E L a f v B 1 n n 3 0 2 L a B i M l y O o a L p K W U 1 L A V 7 K o I M z X o z p i b C q G 9 c H B w y 1 3 C X 5 5 a l 9 Q P R H X x W F 9 q 8 x T S w G l j u u O N X + Y s v u g A B q t 3 7 7 n + Y A 3 s N 4 n M x 2 A M O v P L K a z j v L V s 4 Y D 7 l r M t c j I S g / 3 S Q T l y 9 a d N z y e U q u / g 4 B c e V T z + G / o s u Q y 4 a x l B l l U q 2 O f W x W x b Z w 7 v u f w O n v 0 O b 5 5 K o j d r n d z k k B k h V n a s K L t i o z a o c B S 0 9 O G d F R z U b J 7 u H y M 7 l p a D k k / 8 M 4 j e y 7 g 2 b P J 2 j f p J 0 J i K c o 1 m Y T e s R O Z o y 2 S R 7 K q 9 8 I j O E c f x 2 c w h f 6 1 M t 6 T a o 7 u V e Z R H 8 p d A 8 9 Q S O 1 5 x a 1 v f S p k A o 0 c l s p B B q W B s / S 8 F O m 8 r W k D p A k s r m c D p V q S 5 5 1 u H I a 2 j 2 n 8 x f O t U q 5 k w 6 g 9 0 7 D u H 0 C 2 W L o A I 9 r G Y M y q F q Z h 9 S 9 P N i J W U d Y t E k v L 5 i F 8 W b j S N W Y s o H n C 1 w 6 t F Q y e 9 c F d 3 o s N b W 1 O L m W 3 6 O 1 3 b t U Q + b S n E Q M y 7 c c s s v s H / / f k z O p j F F K T k 1 M 4 u Z W V N V m J I 6 A 2 I u n B C y M W q O Y q m 0 E t Y / / Y T a K a O V m n E i O Y n u F 5 6 F h c w k J C 3 b l / R / + + f a D 0 1 w 5 Q s + z W o 6 x T P z P E l S I + q V Y G a m A + N 2 j Z k E H I x y s K Q m i z R J p b 5 k w z A b F D O p e m 9 i D l L K 0 q + U L H S Z 2 x G / p Z S Z B M X M J O M Q U d p G m E l M P A k Y l E 6 O n i j G 6 i / H p r l C O Q E z D F 9 Q T D x p p / o r r K W b f M J c N d 4 O M r W W v i b P K k L P m p e 1 Z H l l P Y i f v u 2 s d Y o e Q s c W B 4 Z O F P M 1 J y t m a p 1 5 B F Y K J Q N m Z h L h 5 G b / l j K T I J w a V R k 9 c 8 l B L e C k J m h W h p C z M v k k s d V Y x y T 1 G q a P R F C 9 r t h E S m d S c N h N A 2 r y N 0 4 U l l g f Z u P V q K 5 d v e S U 4 o 2 y K c B g W I u c O U h g r Q G N o H v O P 4 9 q m 5 L y o n Z s / u o d 6 p i B Q z s O Y / P 5 2 o r M 1 c A 7 / A s M 1 1 + 8 S q Y S a Z p f c d n C A q R M 1 S o K 2 G Q y S Q S z 5 R M 4 l w t Y z E S q U K v P Z Z l N 1 C i 1 m K + E 8 d 4 M / H N H E a l e v H X P c j 6 N Y P E c n a Z F z V D T M X q W R z q e R l j K R X Q t U X l 3 J Z T I 6 e 7 0 4 x j 3 v h v x d B B D P a N o X 1 / Y R s n n r C F t z c I l 6 6 9 E 0 8 K F Z H Y e T k s N U v l Z t r 2 T T V 2 9 V a a e w L w o M J v l R U s 2 4 h K Y m c m S i 7 1 p Z p K g w M C 0 / Y S Y 6 d U h p y p N r P e 3 Q o s p u 3 z D E 3 f h p F 9 / b o G Z Y u w g w c z Y j M Z M u h R d F X i P 1 W o o Y + R K E 1 G X R J k + K y 1 g K V i K m Q T C J m 6 a f + V g M J P A b D E 4 p e B o G c h z l m a m G x q n H L J 6 N k Q p l m O m X K y c o F n 8 z O Y C N n l X U j F T v I d + P C 2 S E 0 b J K X 2 O K 7 B r 5 z E c e q U X / k A 7 H r l 7 F + 7 8 9 X P 0 t 2 v w l S 9 9 H / N j N j x w 1 w 7 8 7 r Z H k Q h b c e / v X q S + o E / 4 q + f U c p U T Q d m g R L A / j s o V 9 i N 6 s w i F w 6 h Y o c i h G b K 0 3 V n i s A p m Y l O o 9 e q O a Y 4 C o Y z j / f o f R 3 H q d a J p + d 0 S + X S l 8 A 3 / B I N 6 m t R q 4 b Z X w m d b 2 k l e w B I 7 N i p k w x w N p 3 K Q J + M j m I 1 U o 7 F y 9 e t x Y k k P v K 5 i M 7 y A Y o 0 g 8 z i y h s j I x / P Y q l V 4 X 7 R Y l m a Q z R S U K E V X 9 B H 0 + 1 Z f M y Q n W 8 H W r L y a t x S G / 5 S I Z u C a b o G l U y 9 9 v A Q k m z 4 4 n 0 B l l R t 2 W S b C R 7 b x + Q Y H w 2 j t r F E l 1 q r s a 5 H P z c E a y 6 j Q u p j T F n s S b q u H f U H f z 5 K i z 2 R F M p H B f X c + h X e + / 3 z 2 j V S K W s X Y 6 j D J / A J k Z 4 R l o d v 8 q e R S A 7 g 0 T o S Z B E s 1 x W A m 3 y T 9 p n J R L J U J I P N K N a t m J o F o X 3 G 0 B b L n 0 W r g s d I / y C X o I 0 3 A I j X y e O 9 M L o p 4 a k A R R i z 2 B u Z l E 4 F y z E S N M C q l A T l w w e w k 5 n i O p B m d C D M J l m Y m Q b H I l k l R c 4 B B N n U W E 1 G 0 U z I f l X f 6 N / L d D E 2 g Q u 1 C Y S b X 5 C 7 1 e 4 m 2 r Y h c W R J b N d w + u 2 I m 2 8 D y / q 8 w U Y X B T E Q + n U K W p p o w k 0 C 0 U Y z 9 K z k p C a 8 d D d N 3 I 2 + T T e o y P B 6 m R p 9 H m n 5 9 M h P h x R K 4 9 n 3 n K p 8 w L o J u J f B 3 j q l n E B j 5 d n m G q u j 0 I E U u X h I y l 0 N I M R B x L A 2 n W j A 9 P V P 0 W W D R C 8 t L l P B E s O O 4 a 8 n K o Q Z S l s L m 0 U L Q H E F M R M f Q N z + C 7 W 9 f O h d s K V h 4 f r W z S 0 0 s G n M y 5 j B y O Y T o 9 M + k h z G d D 2 M a C b V u K Z g e Q 0 z X A L J A L 6 s T a T 5 Z Y N J Q g t 1 P 5 m 2 u z C r G W 8 i H U / / + a S C V f J e C B D S E u U S A S A B D / n p t N U X j 5 7 J W q W R a M 6 x e q f 1 h W T Z 0 b a C E F B T K r H V c B F U X n 0 j q B J 3 t H M L g r u U F u E P l b d I 1 I I G T s / S j B Z i n P c Y a L k d X U F t f J X D p f V + K m p J J c D P 8 w 9 + D a + R u W G i C p + l 3 h 1 s / V 5 6 h b A 6 q v f H i o I Q Z l l w Q x 4 5 p a S n G Z J e B u r p a 7 b M E L f h g k 5 N T O D a s d c R y J c J K I T u e n 6 / v d 7 s U L H Q y 0 / X n q v e R a B C q H j g f K Z 6 J Y W p 3 E C 7 P 8 o x Q D n l 9 A V 2 b 7 y 3 K m Z a X h H s r H I 2 o d R S S R i U 4 Y C O x y k Z l W T E 5 V 4 E s N Z d F 3 5 J S U G G b x n R C t s B Z f s f 9 / w s y p s n l x S B T 0 F Q t n R C W k L d A p L c M Z e m E c N z f A k + k e D e O J Z F b L B 6 W q p M q 0 W Q D U h d f + t 5 l S l j t O N 2 D 8 b 1 L + + 7 C v F 5 a C m p e y U r v s M Q f N C w P A 4 c D 5 1 M I R 9 A 1 9 + D S B W p K s v 4 V J E 2 u / + e I t P 0 9 k q 3 X I 2 + q I b 9 k b w f W p B H s K S 9 h k B j D u n X L 2 M W Z E N J i q / H B p F b f S p O 2 p X j m m G v R D u X l I F v k G P D 7 K m G J a 0 v I 6 z x V s M + / u a i W a C g z J D N E d r W w W 3 1 K C x m Q 4 I B s o 1 K 6 4 / 1 y i O r 7 R a l w L D G f n S b B n p j T W w o p e C 8 o O 0 5 E f l m G W h 4 x m n v p k u k R A z Y p V b w a Z M v f P 5 x Y z F V S b b b U u i m N E D Z t T 2 F 8 j / 6 h B J G Z G c R 1 4 p b N B G w l D G S G 5 C K 6 q X 3 y T j / 6 q 6 9 B + 6 R k h x a j d O N B U R D + Y Z p 1 q X n E u / 5 C P 1 i M Z X r b o r a q n D 0 S V o w l O z x k E p T G G R o v P q 1 2 m k o c N B G g J T m q v a G J 4 8 x T 2 k i W O E l v t Z A y U d N R G y 5 e t 7 x m W o B N U + s y I S r I e 8 i 4 t O v 9 z t o F K X u i k K 1 W z J A F i i K l j I 3 U / i 9 I k w E F 0 f Q E h o J S 5 f X N E 7 s B q d n t o C R O p F 1 q R 8 k / J b Q 5 r v L j F 6 n a h K 4 Z r e B / x l T K Y B G W Y K i A X r u 9 F G L d C F P 1 9 W t C p 9 z 9 m 0 7 h Z c d p E p p k n y O T Q I A M u V r Y S z J 8 p m q v R P 1 s 8 W p u 8 y 8 c c 7 v h G H + G W u l z y L m X N n W t c z S t l k P t p o B i L E + V C 3 a 3 D f P H 6 H z r J p 6 W y 2 f V 1 x f R l 3 L p 8 X 0 2 N i + Z A i r t n S a h r I t R z L U 0 + u f s N A m p X X z F Y d w i S N p / g k y r 7 z x h r d H S o 4 z s A g X d r k / S H H x z M N 1 f 9 4 H K Q a o U x a S W u E w h n A A k u t b m P x M + 1 + q 2 t l w N Z A u X a l s I U 1 l t j k s 2 H P 9 T Q X Y T W Q r 9 t e + A I 7 p C 4 I Y M J f 5 h u a w H q Y R b D k J f b a 3 N Z C z x L c t n 7 N u a I r S 8 b L A P d i O T z C F d b q n L E q a l G Z L j K J s O S A 3 G m Y r t R Z r e p S 9 9 9 w 3 / E O m K r U g 3 a z V M l o O 1 e h W m V R F y i 9 W o l E 9 a r v V 5 K f 4 v z K U H M 8 q h q 3 o J 0 0 d V u t G f k v f J u 8 m 0 k h F O 9 R v J F I d v z Z 3 h L F l y L d / J 1 + a X A c l I H 4 n s V Z t I U w X r R w l 9 Q q / c 5 l 4 y k S s p P b L o c r U l w A S 5 + D B C s U N F p t i K 2 / u s A t p u k t o Y y O 7 9 U j d P n H N 5 y c b i M n c l m + D 9 a W F B U + x V 2 J c r Q 5 Y r P F s p U 0 l Z a b F K y i F v S 2 A 2 p V k F q W Q G y Y R k Y p h H j X d 3 Z h F v 6 k X 1 / G H Y h t b C O X f i z y f Z 8 B 5 b D T K 0 a n I 0 F 1 t n t U 0 k F G i Z B I a + j W j b p 8 j B q / P H r V L 1 R x Z K S r b E S t j 3 x k H M 5 q Y w O T G D G B 8 w H I o i n j g B a a g I p 7 h T B P v H y t x b g h o C y d o u w 6 z u 4 T / Q 9 C w O p Y r i H A / b V c f 7 G o o n j u U 7 u Y r 5 Z a D d f w Z a / d t R 4 5 O J T l P H 6 f 5 D u Y l e c X D l p d n q i z v 7 8 f t e x 8 3 f v Y f u Z B V e e P w I P N Y G 5 C K 1 O N y T w Y P 3 H 8 A j d 7 + K l 5 / q w a 4 X + v C L H 9 6 L K m 8 7 x v v + b 5 r F 4 B e p 6 C p 1 8 9 Q e S X x J 2 p I w X K k / J c z m o p l o S c 9 S 0 5 5 Y f Q Y D E 7 6 3 6 O / K Y 8 n 6 M z p M 9 V O L E F Y 7 O G q j J J n p L r d W p s 5 M P v J x f e g B h B u 3 I N v e i 2 A g i N x A E 6 w r T f s s g 9 H a y 9 A x 9 Q D 8 0 w f g m H o J 4 f b P 6 d + s D r a 3 v v W q L z 3 4 4 I O q 2 P 3 k 1 A w e f e w x R C J x v L Z r N 0 4 6 a U u R V P j d 7 / 6 A q p o A 9 h 8 8 g F O 3 b 8 N r r + 9 R p Z j d Z d L v l 4 S Y a 1 Y J t w N P 9 b j R N 2 v H 2 Z 1 l C G k F q e 1 J P Y m U 7 2 z 9 U w F + F 5 k i R / M z 0 Q d f r W 6 C C r F I x E f + l o n m D E Z e x X B v F A G P D e O Z b v Q P j a O 5 W V L 5 3 W p Z / L E j Q 2 h p b q E x u H q i O 2 X b a a q Q S 4 6 C Q e Z G p i a D q n 7 5 k S N H k E q R 4 J N p N D T U 4 b R T T 8 O u X a + j s 6 0 b s 8 E Z 1 D S 8 + Q n 1 R M a D S m s Y i R L z J 7 d E X 4 r / l Z U 5 P J t n I Q I m K 4 U N X 2 8 1 y D p 8 c E d G U D F 3 C H H / 4 q X z u S C v X V n o N 8 m 0 X w 3 i W T H r y 3 C j S R J a c h l E 7 C 3 U L N r z y l q v p G 8 E 8 V w E j r 6 1 s N Q W F 9 5 Z L W L z 7 0 A y 1 g F X l z b t I m U C V u u T q 0 y J a F w G 3 Q O H L U f 1 b V N l s W T R l 6 1 M f H O + P 4 q q r s U L w k 4 E w k w W W U Y v e + u + K e T p t 8 3 S 1 C z v h E b n o 2 o R Z O 0 y m y z l 6 d d Z 9 H 2 o s u k 4 X n 5 t H / b t 2 4 v K y i r 8 2 Y f f j Z t u u Q M f + 9 h H 8 d x z O 3 D u u W d h c n o U r s q l T T s r B 9 d J i Z 8 i M R r L A c y Q M l 1 S W U h g Z D V I j Q Z D k / w p 4 K d p N 5 O v g q v M k n o J 7 5 9 I R H K l j Q P K o X H i a U w 0 X q J / 0 u A c 2 Y x U 6 y H 9 E 6 8 r u z G W Z K 2 L 2 V d O U 5 X z u 8 z o C j 2 E / o r F G 1 s Y 2 e 6 x 0 R y q s B W p 5 s L 9 l w X p 0 j 6 8 F p X r N b q X Y J z E D 0 J p m u n p U b R 5 l 9 f G g q L U o 1 y O B o y + M n M p z A 9 F U N U s d z 6 x j A c z X h 1 0 4 s w O f d B L 0 3 H E b i G B Z W j z B 9 N a T l v p k g z / 2 I 8 Q a f 5 b / V M J M k E c e n E S m 8 5 f p 7 K Y V 4 L a + I x + m m P 2 E H L t b 1 X Z z 4 Z g t N p t y N E e z i d H M W 9 J q X m Z U p T b o M z K A R W t I H X 3 3 N k 0 g h Y v B Z X m P 0 b J T L 4 y W Q 0 G c 4 n W W C r 5 d S X I R t O z 6 Y q y 1 1 8 u q X Y 5 n O h y / L a p R z B c X / B t M 6 M e 2 F u K 2 7 M 4 W Z b a N W 2 B u 2 Q S X y K r S + V V d s 3 e j / 6 a c n s 2 L Y Z 9 c B 0 y 7 R p z i h Z 7 / L 7 d a G x s Q P e a R t Q 1 V 6 u q T X Z w j O Y a 4 G 2 x q u G X Z U J i Y s 7 3 k C n X a 9 w + H H t l R a Y q k g s r M Z P A n p v + P z G T Y I G Z B A Y z G R E 1 P r C q k S 3 M J O P P V 0 4 P F M i G 0 9 b o 0 N L M J H s l 2 S s R H i X p k J k k Q 7 0 U w 5 F d + j s N a h d B V y t e G / Y i m Q n R J 0 z g V 3 f 8 F g 8 8 9 A g d 4 S R u / / W v Y X c 3 q u y J U g g T l D K T w D C x Z O O y K L 8 3 m K l / u l U R e 6 Z M Y E f m T 0 R T L U X 0 E v E y I K x R D r L R t F x f y i m X Q q 4 r w Y k T h c F M R k K u t k G 1 F u y Q l x m p b A y 9 N e c o T W W g 3 C b o o n n C m Q k + L 5 9 J H 2 O 3 U w r H a O + N V 4 2 7 / J Y + H V P 3 r Z q Z B O H W V 2 A b W q O u K X 1 3 1 d s u Q z K V w u R k B L / 6 + f 3 4 x U / u Q 6 W z A 7 f e c w s i o T j + 9 3 / v w u x M E M H + J O m I 9 H h Y a m H Q L 7 f X K 6 Z a D m W T Y 5 d D b C o O b / 2 b t / P T W W 1 P q K U g D z w Y H I X f H U f A 2 l x U A k v g 7 f s J k t X n I 1 u 1 T T + i I z 2 j o j J S F m z q + B Q 6 t q 1 u Q Z g B 1 8 T j G L G d i f q G C i Q S O b X p t d 8 f Q C I Z Q 3 d b D U I 5 + k C y E l e H P x N V 2 8 k s B W N x 2 p u F K 5 N E 0 l 5 g V s k e d 1 k r F q 1 t K s 1 i W G 2 1 p D 8 l v B Q s M V O 2 g B Y d U d R L j h L u W B 5 S W k 7 j I p 7 C c y T Y I D B X G d a Q R 9 v Y g + i p P 0 / / t Z 3 + a B Y V 3 q V X L k S T X g q Z m G J 2 d 9 I N y / Q G M k k e q f w M 3 L Y m J J 3 j y N g T C E b C q G 9 z o c a 1 B v F k A t m M B X 5 9 / d R w + D g c W R c c 0 x W o W R d g K 7 K Y T h 5 F h b 1 V z + S w K O t l m L 7 4 C R v v N j c d 7 I g V s T L S f z V 4 Z a B A Z L I m P 6 h n D Q h E c k m l o H Y / N Y J j 7 S J m c g / d j l j 3 J 5 G t 2 E w f z C R t a b Y Z K S I 9 j 4 U X M d N 4 a O X H T F W / B W 3 J J 9 g m K 1 x O O 9 a v 6 0 Z z U x 2 6 O 6 U q O m 9 R k u u 1 H D M J E k s k V c Y S q x N G w k x m j S L M J E R R i l J t J c w k 5 2 W X S E o V D f O n R h E z C a h p W 6 e f g D N a 0 K r L Q Y q f z i a M V D b 1 Z x E k 5 N 8 6 c D + G m 9 + u / D C 3 e g U U M 4 0 M L Z 2 k a 9 S R d 9 q 8 y H m t y H Y c Q 6 a t F w l v D N Z m + v G e P L w B P 3 o P H 4 E H r T h 8 9 B j u u e e + B W Y S O K x O p G 1 J x U y R f j I l b K h 3 b V a 1 P 2 K Z W e V f C T M J V K 8 H 4 8 V P E a Q D f X y 6 j A N L L p T J 3 X p / D l 6 q 6 D e D c 9 c U z D 1 R p 5 W u w q p X I 3 d O C k 0 W b Y z N + z r H H 0 e i / S P a Z z r + v r G f a u 9 V p S I t g X H 3 P U e w 7 Z 2 L A x V V 3 p X b m n d W I l l X W F g 4 G N 6 p / i q k Z 1 E t m z I v k 2 h q I E / N J N r J i G b J 9 Z K m X S O 8 1 L w r w W i D t k J X 5 G F a X S N V V K B f a j w 4 V S W j U k T t X l V p t h z + 9 H N R x T B M w 2 T a j V R 4 9 Z a M P L N o p I z q P 5 5 P D V F n q U X T 0 C P o C j 2 A 2 v G X M d J 5 r f 7 r A s L p c b S 2 1 6 t S A C e C Q F 0 e b m G w b A 5 3 / f E + d G / Y g D 2 v v 4 T D Z K z a m j r 6 V Y U I Y a N P i 1 6 K p v J 3 J T B 3 N E E f S 6 M p r 1 2 y c m T X R H F d a F j 3 j 0 z n S 3 c T X A q 5 t K w f K U 6 G f T M w b 6 i 2 E m z B I y S C J D J V J + t H d E g B / v F n k G p 7 B / Y N 2 R G L p X D r g / O 4 6 X O L w 7 I z U S t q f S s / o 2 f 4 1 4 i 1 f Y C k W v x 8 q q a A z Y 0 Z m n 0 r I Z E N k i g 0 p p E K R q J B X D Y / U r k o H B Y 3 p d 3 S m k 2 K r R g M Y p h y 1 l w a k d z M E q 4 5 J b C 9 g a 1 d r I 1 k e X d i i S x 5 f 5 r m a o n 2 / 1 N D 8 u B y x y u Q W b e y A D E g z F 4 x v Q + V l i H M 2 j Y j U q 0 F L w o 7 J W o o l D 2 T c X p z g t 2 A P x 1 j X x Q W T j a F R 5 G u O Z P 9 L f U u b D T z Y x w z E Q z F N J G K Z J A K p e B v k X M 1 o Z f N p f D / A / f G N d c 7 v S q m 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 C o n c e n t r a t i o n "   G u i d = " 2 9 a c 6 1 1 b - a 9 7 6 - 4 2 6 6 - a d d 3 - f e 7 4 e f 3 1 3 4 9 3 "   R e v = " 2 7 "   R e v G u i d = " 9 6 3 1 9 9 f d - 8 6 9 6 - 4 4 5 d - b b 4 e - 5 c 0 d 2 7 8 3 1 0 b 2 " 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N o n e M s r V a l 0 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6 & l t ; / X & g t ; & l t ; Y & g t ; 1 3 4 & l t ; / Y & g t ; & l t ; D i s t a n c e T o N e a r e s t C o r n e r X & g t ; 6 & l t ; / D i s t a n c e T o N e a r e s t C o r n e r X & g t ; & l t ; D i s t a n c e T o N e a r e s t C o r n e r Y & g t ; 1 3 4 & l t ; / D i s t a n c e T o N e a r e s t C o r n e r Y & g t ; & l t ; Z O r d e r & g t ; 0 & l t ; / Z O r d e r & g t ; & l t ; W i d t h & g t ; 4 5 7 & l t ; / W i d t h & g t ; & l t ; H e i g h t & g t ; 8 4 . 2 2 0 0 0 0 0 0 0 0 0 0 0 2 7 & l t ; / H e i g h t & g t ; & l t ; A c t u a l W i d t h & g t ; 4 5 7 & l t ; / A c t u a l W i d t h & g t ; & l t ; A c t u a l H e i g h t & g t ; 8 4 . 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4 5 8 & l t ; / W i d t h & g t ; & l t ; H e i g h t & g t ; 1 3 3 & l t ; / H e i g h t & g t ; & l t ; A c t u a l W i d t h & g t ; 4 5 8 & l t ; / A c t u a l W i d t h & g t ; & l t ; A c t u a l H e i g h t & g t ; 1 3 3 & 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l t ; / M i n i m u m & g t ; & l t ; M a x i m u m & g t ; 2 5 & l t ; / M a x i m u m & g t ; & l t ; / L e g e n d & g t ; & l t ; D o c k & g t ; T o p L e f t & l t ; / D o c k & g t ; & l t ; / D e c o r a t o r & g t ; & l t ; D e c o r a t o r & g t ; & l t ; X & g t ; 1 0 9 0 & l t ; / X & g t ; & l t ; Y & g t ; 1 4 . 5 & l t ; / Y & g t ; & l t ; D i s t a n c e T o N e a r e s t C o r n e r X & g t ; 1 2 & l t ; / D i s t a n c e T o N e a r e s t C o r n e r X & g t ; & l t ; D i s t a n c e T o N e a r e s t C o r n e r Y & g t ; 1 4 . 5 & l t ; / D i s t a n c e T o N e a r e s t C o r n e r Y & g t ; & l t ; Z O r d e r & g t ; 2 & l t ; / Z O r d e r & g t ; & l t ; W i d t h & g t ; 2 1 0 & l t ; / W i d t h & g t ; & l t ; H e i g h t & g t ; 1 1 1 & l t ; / H e i g h t & g t ; & l t ; A c t u a l W i d t h & g t ; 2 1 0 & l t ; / A c t u a l W i d t h & g t ; & l t ; A c t u a l H e i g h t & g t ; 1 1 1 & 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P h o s p h a t e   P o l l u t i o n   C a t e g o r y "   C u s t o m M a p G u i d = " 0 0 0 0 0 0 0 0 - 0 0 0 0 - 0 0 0 0 - 0 0 0 0 - 0 0 0 0 0 0 0 0 0 0 0 0 "   C u s t o m M a p I d = " 0 0 0 0 0 0 0 0 - 0 0 0 0 - 0 0 0 0 - 0 0 0 0 - 0 0 0 0 0 0 0 0 0 0 0 0 "   S c e n e I d = " a d 8 9 6 3 7 a - 2 a 0 c - 4 7 0 d - 8 5 e 2 - 7 2 4 3 c 6 d 0 a 6 5 b " > < T r a n s i t i o n > M o v e T o < / T r a n s i t i o n > < E f f e c t > F i g u r e 8 < / 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V g S U R B V H h e t X 0 F o B z V 1 f 9 v 3 e X t c 9 c Y S Q j u F t w r 1 O W r C 3 V v v 4 + 6 G 9 A C L W 0 p F C n u E C A Q S C B C 3 D 1 5 7 r 7 u 9 j / n z s z b 2 X 3 7 J L T / H 2 z e 7 u z s z J 1 7 j 9 9 z z 9 V 0 D m / N g l D r W Q a d z g j w J 4 0 4 J E N D L 3 E Q W o 0 W m U y W / t I x P s y Q v p L + E l I Z Q K + V 3 k u Q T u B / M 9 k E d B q 6 h 3 y U P 2 v p M / 8 8 T e / V 4 P M y 2 S S d J 1 9 Y 3 N 8 w d V s F u W 8 Z W a R T g F a v 3 I / a k o n Q t c 3 Q U a O y o M a B G k f H s / x l V g O N L g s N P Q + f L 6 6 R j i K t 1 d P 9 9 f y J U H h H u m 6 a j u p y 3 0 i / 5 Z Z m k I o D P d 4 t i K X 8 a H C c j W w 2 A 0 1 y H N G w C + l E B g l 6 T I t T i / i I F b q G E B y G J J L Q w 5 i J I p F y I N C l o 3 a H E a n Q o 7 G E b q R 3 0 D X S 1 E a 6 I W H y U A a e k 7 T w h t o R T G v Q 4 G o V x z W J I f S n B u A x N M F i 8 E C T D m D y u B v u 1 h D 1 W w r h d A y B 1 C h q t C Z k z A u o T Q P Y u y 6 E s g U e 6 C t D q B 5 5 F e m W m 8 W 1 U r F x 6 M 3 l 4 n 0 4 o Y H N y E 8 I J K k 5 x s w o s o Y K 8 T m b z W K 4 s x P V T e X 0 / B l k d S 7 q v x g 0 m a B 8 D v U t P V c 2 m 6 L v 6 Y x s n M a C e k l r h P + I A W W L a O z 1 e m p 7 D 7 L 6 G h o a A y w 9 9 y D a + D l o q P + G D 2 o Q b + 5 F k 8 m O j K G K 6 C q F g H c M P l 0 5 y u 1 a m I P 9 s P i f w w 7 L L 5 D y 8 B h M H 6 s 8 E D 2 B a G g u B G J Z O M 3 q a 2 U R T S V h 0 R u R D N F d b D H o N S a U a J K o T b U j a 6 x B K p p A 1 B v B F E O Z M / X w e E q Q T K Z g M E g 3 1 d P D x m I x Y j Q t H S M C z 2 S Q T q f F X z 6 H 3 z N M J p k R C V O E K R N v S l A f d a z 4 L I E Z g 5 l F g c J k h U w l Q e 4 m J v o s E T r x A 9 9 f Q 8 z N j J A g C j U a 6 U G T S W q T H o l 4 n I 4 T M 9 C P s n R v P o / f 8 1 W 0 W g 1 S 1 G b + j d V q l a + j E c + n t B / p M D X I J n 9 Q w F 9 y + 5 V O l g Q L 8 Q o x q n J M Q j K W R j w Z w E B w D + y 6 K m T 6 a 2 G u 7 o D J U k k / M 4 l z N M k J I j 4 3 f d Y J Z s v q P Q g P j S J I x G c s C S M W b 0 O t 3 U 8 D R b 9 R I R l J Q W v U U X u p 3 W k v N Y v a Y C i l b 7 T o C + 1 G p W U h h o M G Y j I S P M l B + q 4 M c W 8 A w V E b y p o n k a R + p 1 F E h q 6 7 f 9 U o F l 9 i g d X l R D A S g N 3 q g W 7 o N S T K L o I 3 R s R i z W D j x i 2 4 5 J I L k E q l i N m p / z K D 0 B u r i e P 8 R B w u u j 1 1 Q H w c v i E d S p q 5 H T K I q Y i T q F l W a q M k f b q D b 1 N / a V F u b Y J D Y 6 b j M U Q m k g h 5 i X E b J 1 C S j G A s P Y i 0 0 Y 4 6 6 1 K J E X U O j B 1 K o 9 l 5 J 2 D Q w W d 9 H 6 J G 6 k / t C P Q 6 J 9 F Q C h N H i Q Y a q C 9 t 1 L f p J H T x P u j j X Y i X X C Y 3 R o L B u w N J 1 / K p M V A j n C D 6 J h I w c L + q h j M e p z Z Q 2 4 1 E + 9 p M j K j A g M g Y 3 a p K E m 4 W p G E k K W P W k 1 B M 6 2 A 2 E J 0 r D F X j W U q N l A h b g T Z N 4 l Z H D 8 + E R J K b p X C K G p S T 3 t P B F 9 M S U W Z 1 1 J n 0 C x o + I a H U Y I Z i a c 6 S 9 8 R A D 8 b M Q U / N D J Q h h k m l 0 s Q o p H 2 I u B g 6 e m 8 w G o h p k o L h + b j F b C H C J 8 l P D M T M x L 9 l Y c E v I T z 4 t + k I / Z j b P B P 4 + v n M w 0 e y K e p E q X 9 J c 9 F 7 G p h t L 2 3 F 4 v M X I N C p g 3 t B G i O h Q c S J y L Q 6 n + g L / l 2 D Z R k R Z Y 5 x R / b 5 Y V n k I 8 3 W g g q b 3 C + p A J 3 j l N 4 T U v E U h r u H 4 W h M w k W M p M n E i W n K M R Y e Q j w V Q b 2 V N A R p 5 J C m U d Y q L A S o Q Q R v H z G U z 4 j y Z T b s f q E b p 7 2 r m d q j Q 0 d H l + i b m u o a P P j Q Q 8 j E A u g b 8 s F g M l B f 6 r B y 5 U q c e f b Z C I Y O w 2 1 f I K 6 V A 7 W T 2 p A K T i K R L I H N 6 S X h w I J D 1 g I Z E p B C o B G 9 8 F i T h t I I D e Z H x t R E J 0 j 9 2 T P Z j Y r R d k S z K + F Z Q k K G G C J l q K P 7 G z C y N 4 b K 5 X Q 9 a k s w 1 g O H u Z 6 u Q 3 R I 2 j 7 U Y 4 a l O o p 2 a x k C 2 X z N o 2 G a Y 8 a m 3 s 7 q 7 X x E U C P T M d 8 2 y 8 x e M J 7 F w D S a J U u A G Y 3 l h 5 Y 4 j 4 + l s z o 4 M + N Y k a f J 6 I r D H c 9 l I 7 Z q 1 J Y s w Z f / 9 W u s t n b R U e U k D U r D R u z + 3 H 0 I h 8 N I E 0 E 6 H Q 7 q k D D G J 0 M o L S 3 D x M Q 4 y t x E G E z p h I z W h p 6 e H u L u G G q q K u C 0 k 0 w k C R e I p G F 3 2 e H 3 + + F 2 l g o m E O f T o I h H L W A 6 B c w E a 1 5 b h 2 u v u Y Y + Z T E w N A w z M U x J S S k m v e M k z W M o c X n Q 3 9 + P m p o a O O w s q V J 0 V b P U C V r q U B p L J h p u Y V d 3 l 2 C i u t o 6 c X 1 u A T K k L Y t I r h M H 3 Y v o u G f 7 C D y L D M Q c A Z J e T k z E O m E k q e x N 9 K H S d A r G o x b U u p j Y g d e P m X D p g j g C 7 V p Y W 0 h k k J R U Q 5 M Y p L Z Z i S j c d G 1 u a w y j e x O o P I 2 k M t 1 P k 5 w k I i V t R h I 7 T f f S J c f Q H 6 1 D v a W X z q f B N 9 W I v u 2 c 3 A 2 b x Y K x N 8 p w 8 n U l m C T p 6 z E T A z L B M 0 h T g j S a J u 6 D N u X D 0 U g b 2 s q l M S k U J R q 6 B z N y I Y b 3 B l C 1 I i c A J B T + W g Y 9 R 4 b 6 J E W C z H 3 s j 4 i c 9 G N x m E 3 V w Y N R E t o O G i c b j a E W E W J Y v o 7 F 4 S E L I E B / y + B o i e H g s B F L q x L Y k 9 Q j o i G z k D q f h T 2 P g V r T S O a 4 9 K 4 Y N K Q A N G R F C T e A F Q h J S H J s p G v Q o Q x 1 g 0 Z P K o C E p 4 7 + 8 n d 8 r X J t H B W h P X A 6 2 8 R 1 G F p m J v E 7 a n j C r E O / M 4 5 + R 0 x + R T F h k 8 y w v / z 1 r 3 j w w Q f F + y w x z W V X X I 2 d u / f g l h / 9 B I N j Q a x Z t 0 U c 5 2 v 9 5 K c / E e c F w 1 G S n D o M T A Q w R s S / c + c e f P 9 7 t 6 C 7 8 w h W r X o B 0 W g U e / f s x e a t m 4 V Z 8 f z z L y I Y D G L d u j c x N j 5 B 1 z L g p V W v 8 h 3 F 9 z t 3 7 c I f / / B 7 f O / 7 P x A P + o M f / C 9 u v + 3 P u O 3 2 2 / H K 6 t V C I x 0 / e g h v r F u L S C S K 1 a t f x e j I C P Y f o H t s f l u c U 1 1 Z g 3 / d d 7 9 o H w 8 q d c F / y E z S U P G / K V L / q Q Q J C D I B G B Z h 0 o 2 i T G e H i f w G h i 9 x c I q Z G M u r U 2 Q u a H G M n o + k g 3 w 0 B 7 b P g 4 l x 9 P o 7 B G N o 0 6 Q 9 m B E I v f 5 O 9 E R I 2 p t b q O 8 t 9 C R E C L o S 1 F m G 0 B t t p v 6 j a x I T D o U P k M 9 R i 2 S H G z V n 6 q A N k a 9 l K a G 2 j Y j r k J o V z C S g T S B t a x L M Z O m 8 S x w q J E P B T K S Z C m G w 0 4 h 1 / E 3 + p I D E p X I f N b R m I Y N N 1 E Z f + U r 4 4 z 3 i M A u G 6 u X l p A l 8 y D g C K G k L o G 6 5 F z X L I 7 C 3 p l C y 1 A p n w w j C 3 j g a o j q M H w m T u c a m J T E A / T 5 N z 6 I w 0 6 Z V T 6 F 9 7 w 4 a G 1 k 7 z Y A s m f g Z r Z 2 E F v m r z J D M T H Q + C + I I 0 S g z k 3 d 4 A J t e f p o E A J 1 P j J c m o d 3 f P 4 g t 2 / o Q j N M Y s K t A 0 H 3 9 O 5 / 7 K b 9 x W C r w 4 v 5 N 2 G s e F V 8 o c C Y M + O b y 9 8 J q s 6 K v r w 9 n n X W W O L 5 7 z x 7 s 2 7 d f m F x H j x 6 F z 0 e S j b R O b V 0 d 7 r r r L n R 2 d q G + v h 5 3 3 H k X D h 4 4 h N 2 7 9 u L 4 s W P C 3 + n u 6 c e 6 N 9 / C x v V r s e / A Q b z 9 9 m b S a A n S e B 5 M j H t x z 9 / v x d q 1 6 3 D F F V f g 2 W e f x R l n n I m P f e x j O P 3 0 M z A 8 P C w Y 8 Z K V l 2 D N m j W k q U p w 7 r n s / A N v r H k Z L 7 y 0 B q N j X m z b v o 3 a o 8 O / H 3 4 Y h w 8 f w f r 1 6 9 H Y 2 I h o L I I N G z f g 2 q u v F 5 K I e 7 + Q Y I q D W Y Z f 6 r N 5 k L R I x t n Z 1 Z A J S X 4 G + 2 P a C b K 5 y d g m j c E E w i a P j t 4 n q N P L r S d B S x I e x G T 9 P i 3 G Q v R 7 z W Y s q L I i 1 G W D o Z Q D N f k m t Z E + O 4 1 m 6 N i O J 8 I P j 5 I P W K G H W 5 e C 2 0 S a i k z o A P l M S f I 7 f P F y j I Y 1 a H S Q + U X M G C M m D 8 V q 0 f 9 G F y p a K 1 B O v 7 O P 3 I O k b e m U j 8 Z P N R Y 9 D B s z i s p / 3 B q 6 A A s n f 4 G E / W R J c q u h t D E d o u c 1 w t c T h N V D J n n 1 O e K w 3 r s P l t G H k L I s o f s Q s 7 L w U j 1 X K E l + W N Y C 1 8 A d S N d 8 m O w J a g U J B c b 4 0 S D 1 Y w L 2 O u q j 0 D B c 9 m Z i O / 4 t m e j p Y d H G O L 0 c Z U m E J 0 L w W W x I k n k Y D Y T x 5 J 2 / E 6 b 8 u m c e R d D r R f e R g 9 i 3 6 U 2 0 7 9 + D X W + t Q c / h A 9 i 8 + g U M 9 3 T i 9 S c e Q t + x I z i y Y 4 t g w v 1 v v 4 U 3 n 3 k M B 9 5 e j y M 7 t 2 P 3 h j V o W b I U u 9 a 9 i m 1 r X 0 U n C W a r 0 0 X 3 r Y D J Z E K 5 R Y / 1 L z y D i y + 8 k G h N E s p C 3 / M / H L W Y F U S x 0 W g E 2 7 d v F R / Z j / n I R z 6 M g Y F + h E I h b N u 2 D T Z i O i Y 3 / t v U 1 A S X y 4 W e 7 m 5 c e e U V 4 j e D g 0 M 4 d O i g C A g Y 9 A a s O O U M 2 O 0 2 m I h Y 7 D Y n H n n 4 c e w h R s 2 Q V L 3 4 4 o v J f L N j 8 e L F 5 P M k 8 O I L L 8 B D z N N N 1 4 t G I n T e b u E P d X V 1 Y n x i A q + 9 + j L s z j K 6 x y D 6 i f E t Z N 6 s I 0 3 l d D r p H n Z q k w 0 L 2 1 p I g 8 T h c D i h 1 Z M D q p i p L H F I n W f S M 0 s x e m J 6 i e 5 S Q f 6 c Z U b S k D b W I h j N 4 n f P 6 f G d + x 3 4 0 Q P E A M k g m c h E T C T u y i 3 k t 2 R C Z N + T L 5 E Y R Z 0 7 A + t Q B y K b q 7 F / d Q / 5 C I M Y O T y J Q x u 2 Y / 9 L Q 6 T x J J O L G V P D j E k M z E G M D I t O A T L p i J i D Z E r a D L W w k 8 N e Y c 8 g l i Y N Z v C Q G e e F J T u I b G 8 v S p p L 4 K l x k R R 2 I V T 3 X S J f a b w 1 5 M S z W V V B j C 6 x F r 2 I M R k r a p M I N f 8 f b D 2 S p p o G N k H J b I t 4 Q z D a 9 D C 7 c j S U K j k Z 4 c b v k M l Z A l 2 4 F / b O 2 + R v y N l P + W E 3 O O H q / x t 8 N d 8 W x 0 b o G f j Z x g 6 Q K b r A j t I m v p Y F j W 6 y g w l 6 8 v c M W r o f R w 9 J u x l 1 3 F a g f J E H B g v 5 5 O Q a 6 I x 6 N J x 0 K p 7 9 x 5 2 w 2 h 2 I h c I w m i x Y e t Z 5 8 I 4 O w 0 S + d M j v Q 1 U D + 2 9 0 K T L 9 K 0 g B p F N J Y j B y d e h 5 9 H S s p o l N u D T C g Q B 6 j h 3 G Q F c 7 f d 8 t 3 A 8 9 9 T f T E t O D 3 q D H z V / 7 K A l A H X z d E Q w c 7 o f G N z k q W m Z 3 l O D T D / 8 M D 7 o P 8 M c p 1 A U t 6 P 3 I v + V P E i S 5 L I F / r J b Z D L Y y Z 5 P 7 6 R Q 9 f H 5 s X S B D c k g K L k j f 6 a i h r I 3 Y V H v v e 9 4 j Q q 4 6 R Z + z S m a C o g f X p h N I a S w i A n j z z T f j b 3 f f j X v + + U 8 s W 7 Y U 5 5 x 5 K h E j + V M i U G J D b 1 + v 8 P E u v O A C u o b M U M K P 0 w k b m d u t h N L n A 9 b Q H C V k p g w R 3 3 A k 8 d c P 9 M F o 0 O B Y b w x / + 0 Y J D r 1 5 h B i o T G h M D t 2 G 4 q N o P q M O z l I 7 w m n y B / W j 8 G U 8 S H S F U b a I m E d m 9 H g k j s 7 t f Y j 4 J Q K 3 2 D g 0 b Y R J 5 y B t F 0 Q y Y C P p 7 0 P d E r q 2 3 g p 7 q Q 1 G M w d Z 5 P A w m y H 0 z A d e G s W y a 0 u p D c P w I Q k D a Y a K 0 K M I l X 1 D X H c K w p f M O f c s X 7 h P G d r o I P T + Q 0 h U X S 4 E R J Y l s h h 8 a i s 5 G U N 7 / a g + V R X p I 2 h S p I m 1 Z E Y R A w h k E j A f / g s R f g K R 2 o 8 i T H 4 t P Q G C W S O 8 5 B v Z w s Q c R L C O C r o p / S Z G z e H H Y b D f n u G z 6 X a h u B Z O s y T 8 N K k Y j p D f N 2 F c R D K L z N m C q K s E a i j 9 L w L O P O Y c d S Y B m I 8 c J T M d b F z 1 O M Y G B 3 D T l 7 6 l + o 4 M Q f p O u Q f 7 U A u T Z J 2 R Q N J T f 1 j 1 H m K o i S G + u m C o Z 7 a t Q X e W H c A c D C k N v n 7 h h + R P O e R u P x 9 I L M h a g F E Y a p Y g f c d X n Y 0 h p 8 9 z M R T m I h 9 D m A Y 5 c C d q t U k a k L g 4 R 4 r k q T q P X v m X k 4 4 w Y 4 u o H R E M v 2 e 6 0 R B 1 q V u V J o p L E 0 M Z T X w F / k Z 6 x m i U 7 P 8 E h 5 Y d 4 j x G M B 6 A K T V O k p w k L m s Y 9 l u I K b L J A A 2 Q U U S l f A O L M W p L o q 2 S N V P + 8 z M z Z I 1 V 8 i d g d G 8 I F S s 4 e i W B f a w G V w u Z n y n s e 3 U X T P o a a g u Z i 0 Y H M b w B P n 8 3 y l t s a F 5 O J q L B D W P 3 U / B X X E 6 a n E 1 S 7 r s M J k O 7 4 b a e S k x E G j c x i I x B F b a X z T V H z 6 / R 3 r U G 7 q U / h a n 8 Y n G M M b T T h 5 o V N A 5 E V D o y u T L k z / a + t h J L G r O I N D 0 g 5 p H Y M g 7 G B t A 4 9 i A d I 8 1 E D J Z l T c r R Q G K k U I 8 B h u p e R F I 1 c J i z N J J J x D N a D A R 7 0 U h a y K A h g U t m Y V Z f C s u h P 4 p A z d H q 0 + G 1 n C u C E g x q O c k F G m m O g 8 s Q / l D B K C v I J D l U T u O q o 3 N o 6 P m l / i 1 D Q w J X 0 A S 9 4 2 H T 6 v k z U K Z N o U 1 L J i + h O 7 A J D k M D N O 0 D G 7 N l l o W C o Y 4 d P 0 I + y i B 9 n S M 4 s 9 m M c 8 5 m a S 6 B A y G C u O T P a g i W o H + U m I p 4 z / R J b 3 R i P I o / F C N O 5 h v b p W w + 6 k i 9 G 4 0 G + q s X g Q Z + c V C C 2 8 I a i 3 0 1 / s y m H D N K N M 4 a T y 9 M Q D Y h o 9 G Y M P k 4 M s n 2 N I f S E 8 m k + D 1 H H 1 k J W q 0 0 M P Q 3 / z m 4 3 c W e L A f W r g z B 9 H Q q t 1 V h Q j 7 K D B w O + 6 h N Q Z i N N p K g P j H w f Y F O 1 D s l 8 0 W C 1 D m Z D E l V V l x 0 Z P J g E q V L 8 8 O / D H b q s 2 r i J g g G O A S U n k T 3 p V H O k G k 5 S v e s s k k m k T b e h Y y p W T 5 b g j 8 + g K M v D 5 I G c G P J + Q t g 7 n s U s f o P C y G l 1 Z C m p 6 s m M o Y p c 0 r 0 T 0 F 3 b P j r N W i o H 8 G C U 3 + I R O 1 7 x A n e I x q U L K b + I C Z k v 4 3 N p l t + + F N 8 6 e I 3 R L 9 r h C l l x I H s z 7 D p 7 Q 3 4 w W V P S E 5 9 1 S q 0 t b a g t 7 c f T o c b W 7 d v x r 6 9 e + E P B P H r n / + Q T F 4 v I t l y O A 1 h R F M T s J j q q Q U a 2 D p / g 3 D L D 0 T 7 A o l e 0 h A e Y j 0 T z G T O K g i P x 4 V P J 7 R 9 s Q d R g 0 z Q r M Z J G p m s D P J P j Q a y a I w x Y c J O W S r 0 D K b A W w g 7 z h d m H 8 N K f e b R J M h 3 J f O P t R 6 d q j L 5 3 F i / 4 T m s X K k e d O K 8 7 g k 0 N l w u C L i b 7 M j m 5 h Z B o I z J y U k R B m + s b y I B N p u R N z P 4 9 w 6 H A y n q Y G Y W 9 m + E r c p m F H U E 9 0 U 8 H h c M x t f n u R P u 1 E w q g T V r 3 8 T p p 5 2 K g M + L 5 p Y 2 c X 4 P t Z H n V E b H R s V c F B 8 n y 0 J M W P e S L 1 F Z W S m Y a X y o B + X V 1 O 6 p j u Z u m P 4 E 6 z e s x 0 U X X i R / y i F F T M x m g / g F h + a p U y N R M r H o w G 2 3 3 Y b z z j s X M X q e U 0 8 7 D W + 9 9 S Z s x P w j w y M 4 / / x z c f x 4 B 9 x u E m B H j 9 F z J 9 H X 3 4 c b r 7 8 R 3 c e 7 4 C x z 4 7 x z z i F B I G 4 j o A 5 T R 8 n P s I i I X B Y x X w z h E W L C N u o b 8 s u Y c X m S 0 q a P C K Y q / k R M X 1 n s e 6 W d N I A L O m c Q r a c 3 C D 9 E j e 5 J P f k 6 C S w q p y u o i H H n R S t R T U 2 p e X o d S Z c Y + U d 9 5 G O U o 2 q F e 6 q d H I 2 c 7 F 6 D Z N f v k H C + C + b Q i z B 6 z k T p K X 8 Q 9 x 5 + 8 x L R 3 S 3 N 7 y E / 6 + s I 9 G b g a i S a o v u w W c y 0 x k y o I Y 1 e G J 6 3 9 / 4 R o Q b 2 u 6 h N 8 g Q z B 2 M i y V H y y 6 q J N v k 5 p P Y m I k l E x 8 J 0 b Z f w z 1 j L Z v U l 4 j s N z / F l O c g j Z X 0 o i J B g G o u M o s Z e S U x C L s K B f g T 6 W U e F s b D 2 C C y L L y Z m 4 0 A Q T + I n c X h r B / V B K S k E H + y V W u h + 8 L 1 v i y i f 0 W R F T + 8 R Y h j p h g p 8 v i j c Z E q 8 u O o l 7 C X p w Z K l v q 4 e X p 8 P P / 7 R j 9 H U 3 E i O v w M b N 2 0 S c 1 Q B c u T e W r 8 e Q 8 N D s F l t G J 8 Y F 1 H A u t o a u p o G a 9 e t F d q D t Q 4 z C n 9 v M p r w 8 C P / x k s v v U y E 5 h L H u c N f W 7 O G J F g r d u 7 a K Z g t G g n h 6 J F D q C N H M h A I 4 e G H H 8 Y r r 6 x G / 8 A g S a c s 3 l i 3 H g c P H h S / e + y x x 3 H q i l N R X 1 8 r n u P t t z f h 9 d f f w O O P P 4 6 z z z 4 b N 3 / 5 a z j j 1 C X Y s m 0 X y s p K 0 d X d j Y O H D q K 0 t B R v r F 2 L U D i E o a E h I v 5 2 o f U 8 J W S a y J D M Q W J 6 E l Q a E i 7 M l O w 7 s e Y 0 m U 0 k w W t Q 6 y p D M J i C L m X G i t M X Y 1 F b E 0 y O c l S U V 2 J 0 d I j 8 u 2 W o W 5 S F h 4 5 d f 9 3 1 Q p P y s Z F + E g 5 t N e I e U y A / S I F h a v K Z p K K J f M x R A 6 y V 1 B D Z T x H a h c 0 z M i c 1 J E m Z w Y w s g 1 T g 9 l Y t K E X F A h v q M 6 Q t y s 5 C z 6 E h d G / 1 w j s 8 A V e l F a V O L f W p l h M U o E 2 N C J O U f S f N A 4 9 D E 9 X A / q l P 0 B d 6 j B 6 z i c l i D f t t H K U j i 0 F D / s T + V 7 8 A O 3 0 c H j g G h z W D i r M f E g x + Z O 0 3 Y M E g t k d c + L j W g / P G F k I b z M B e k S D t S B q B G Y m k f Y C s Q L O W T E J 6 L h Z b 5 t 6 H 6 L 4 j i N V + n J 9 A P A c / M 8 9 b a X V 2 E R g Q f c O M I v e F j h p v N E U Q G C b t U k J 0 L U c R B d g H p H 6 V 0 r p y l p N B Z 8 L B I T f a x 5 3 o 9 + s w p i t F W a s L Z z g e g 2 Y J 3 Z v 8 c W + f H y N H J 2 B 0 G X C Y e O b C G 0 5 D z U n l e G 3 T 6 8 R Q P / j e T 1 k y c D R k J o Z y E U O 1 k a R / 9 N H H 8 P 6 b 3 g + T x Q w L m U 8 H D x 3 C 0 0 8 9 D Y f T i Y m J C T F P 9 c Y b b w h i Y E n z 5 p t v 4 t / / f h h v r n s T V 1 x x J d o 7 2 n H n H X e Q 1 N 8 g X h w Z P E T X 2 H 9 g P 6 p r a n D g w A E R L n / t 1 V f R 0 d k p o j A v v P g C x s b G c d 6 Z y / H t 7 / + Q r r l e X K t / o F 9 o t 5 G R E b S 1 t a G 8 s g r D g 3 0 o r 6 g U o f W L L 7 w Y q 1 5 e B b v N i q e f e U Z E Z p j g O f T / w Q 9 8 A H v 3 7 R O R Q j s J g d W r X 8 P L L 7 8 s J o c 3 b 9 4 s T M 8 3 3 l i L 9 v Y O n H L K C u z f f w C n r F g h + o N 9 J j b 7 D C Z F h f D g E o O R b a 0 n 2 5 u J I a 3 x w W J 3 o 7 q u H K 5 S M j 2 H o w j 1 G 1 D b Z o e R N H l j Q z 2 Z F X q S q J W I W X o Q T P W h 2 r 1 A B D c 8 b j f R Z I A I a 5 R M M L L r N U R k Z N B o m E E 4 3 Y h N S 0 U K 0 7 i F x 4 K w l Z s R I n O L 5 + 1 0 R O Q C I o x L 4 8 q R M T p v J p i H n k W y / D K 4 K x y o W u R C S Y O H m F u L g + u O Y O j g M N y N R K j m c r p 3 h K R 5 C U L / e g D m l Z e I F 0 O r 9 x O N m Y T J y P f U Z M i n 0 B i R G n x Q 3 J a M B D L V N H C 2 f J y 0 w g i 6 d v w Z T j t p P 1 8 K a 4 I e f L j 6 B t Q u 0 2 H o Q I I Y c R J m m 4 X 6 g / x F e G E i v 4 u Z y X b s V 4 g 2 f w k Z h z S B m q B 7 K O l q f E 9 t o o + 6 h I M u I 8 Q R 0 n y a N 6 o l T Z 5 F M G 2 F 3 a l H c C g M s 1 P + j Q p q Z l J w b E x i y E x W g y X k z z Z 5 0 r B E y H x 1 X i C e y e I y w 1 3 r J M t H j 0 N H j p B Q f 0 3 Q X A X R n j b N G Y + M m f p c q N 4 Q f v u b n 5 F N G 8 b + v V t w e P 9 2 h A L D C P o n Y C V C Z R X 9 + u u v S 6 Y a S V o 3 E U V j Y 4 M I n z P Y 7 G F / h 3 0 Y t l P P P / 9 8 L F y 4 E A 0 N D e J 7 k 8 m M V 1 5 + R V y H u B H n n n e e I H 7 W F v z d j u 1 b 8 O C j z 4 p z l W t V U u P Z 3 z I S 8 T M T c M 7 h p C + I 1 1 a / T E x k x 6 t r X h U m K c 9 h f e 3 r 3 0 J t b S 0 2 E B O z d m Q z T o K G 2 r 1 W z G X 1 k 9 n F z M n M V F Z W J k L + b B 5 2 d H T i 1 F N P E W e z V u J J P Y m Z W N 6 y 1 8 H H S T s R o 7 D T y u 6 v h Z z m 4 c h h / g n a R 7 R w 1 t r h W a K F v 0 M a 0 K i c s j g e O y r M o 1 r L G f R L a W D D / T F k z F a M R u z k 6 G o R J 0 I e i x 4 Q 5 l y W T J r B + B H p 1 j I 4 L Y Z h J 9 / F U D h X x G C C y R B D x v u o n U n I A c M p R D J m 9 I X f l j 8 R e L x J 2 y 6 7 d A l q L 1 2 B j j c S 4 r m D m V L s 2 d Q p v E X X j 2 6 R z i V o L W S i c 3 R U n t j k 9 C J u H h O e x l h G m o 4 O c c S R z S 1 q f 3 l p V p i S b k s a T 5 X s g J V 8 S E 0 6 h O o V J a Q Z y V Q / m C Z T y w J 3 1 g B t r A P Z y C C i V R + U n k O G n q W X q h M y x n q E Y 1 k k 9 V U I x q X + K L H Q c 6 R 9 c J r J f y d B F x q J I 8 I m M m l s R p L 6 z R u R x m 8 m n N / k Q 0 a 7 F Y 6 B 3 y F Y 9 w P 5 q I R g n M w 7 u u 5 7 r l 6 O r 3 / t i z h / 8 U U 4 7 6 w z o b n 3 3 n u z F 5 x / I a q q K 0 l j v I T L L 1 8 o / 0 S C 4 k M V Q 1 p u j U 4 k t U p 2 L z 2 5 C E / P D s W J n w 4 x G O I v a T k a p A x d K 9 8 7 y / 3 2 o Y c f w c c / + h H x X o L 0 6 y y Z p d S N Y m 5 I D e X a A p k E b v v z X 3 D 1 1 V f h p C U n 4 Y t y u L 0 Q j 5 G J y B q N k Y y n S V o T Y X C 0 k j S R m M Q t A N + j c y g o A i U W Q x r l d j 6 S Q 6 A / j N i E D t W n s 6 9 I h J H 0 U V s i J L S C S B q b R Y Q t M K C H o 4 6 l e 4 b M H j K h 9 G S q E I V m k u S z h D p g 8 r 2 F p H k x Q p 6 T E T x q R d k y R a I m o e P E W / Y L i k h e B e E E m e N 0 j m H o J S S r r 8 N E v B 2 l 5 k X y t w y p p 3 b 1 G X B 6 Z S + 2 v x j C w i t c O P T Z T 6 K 8 P 4 i 2 t 5 6 i e 1 Q K v 4 S T c 0 f 3 B 1 B B Z p 8 w N Q l 7 X / k s n N o O B L K L 4 d Y e Q c P l r 1 F z D G j f / E v o g 6 8 g Q Y 9 t Z i u V 2 u h q 2 Q F H M / l 8 q j H 2 H i V N 3 U J a K m u B a W Q V 4 v U f J u 0 z J O 4 l Z Y v n j + s U y P y D j r P z + Q y 6 C Z m B 6 Q w x E x G / x U B 0 Q + o y Q A K r v I X U p g D T K r k Y a T I N x V Q J X Y J O i y a 5 7 9 K w k 2 b l n r A P 3 Y V + 9 2 d I a O m p z W w F i B 8 L a B I D y B p r k S J T l 0 P n m o P 7 d 2 c b G h o R J r G Z S I R J S 0 S E f y P 5 B f x L D Z o a l 0 i / n g F 8 U 3 4 I D q g w e M 6 A D 0 i M N c P D y 5 C G T g J H r n h S V 0 u E w X Z 4 m j 7 r C s L g C t S / Y 3 A S r p b + 4 z k l T s H h 8 H X x 8 L y M O Z N h c + B 7 p W J 0 X T K F O L z K 9 j o f l d o w / R 6 h o F d o 6 5 n A 0 c s H 7 n + Y T G U b J n x e l J B G 5 w w S v z 9 I f a 4 R w Z P F p M G H R 0 c R D A T x 4 Q + / D 0 e P t W P p k m V k V n g Q J 8 l t N D V h / E C S m M l I Y z W d e Y S J x n 6 N K v J V C E f 3 z x F s k n L o F G T D E e g 3 n Y 7 s e Q 8 g b T 9 r 6 u l G u 0 Z x / N 3 v Q r n V g P r 1 q 2 C F l J g r z C z q 9 Z E j b l S c L P k o r / 7 j H D R U 6 j A Z M q K G L L D m q 9 a J 4 1 s f X Y n a 8 i y 6 B p N o r C F z q s G A v t i T C D e Q F r d G 4 D D U Q U v C h c e l d 1 8 P d h x 5 A + / 9 w K f p H r k p g 2 g 4 C I v N I e h T + J n 0 l 4 2 s N H H p / v 1 7 c O a Z p 9 N D U N / z Z L o 8 v m k y 3 X Q k A B n j x 3 w o W 8 h 5 k E U g T 8 C r f V Y F t q 4 / I N z 8 X f m T h B R p O b 3 I v c z R g O 7 X v / r F T 5 H 0 w + 2 p x l j v J m g D m 6 G N d p I D 2 E H 2 Q D t S 4 T 5 4 a q V 0 I y a h Y g T E R 5 i 7 G a y 1 2 B n m e Q X + B T s X m k y U B D r Z y E K T 0 Y l E A M x 0 b A q I p F h 6 W O k v N V B 0 h M S I z C C F k I i Y 7 k P P o T A w Q 5 I l 3 D p J j b N p x s S p I P + x C U y E s 0 h x B T x o r J n Y l C V h R 1 J I + Q 0 P K P s 4 9 C z y E Q W J B I f m u R X F w X 3 V 0 t Z M G k e H U k c p z j r 9 b P Q O 9 Z K / t g S J a B Q X X 3 I J S m 3 V 5 J D H i U D O R o y I 5 f S q f i K a M J m s N u i M F f S U S U T G D b A R 4 R Z C 5 9 0 F v e 8 g 0 q 5 l p E V G 8 w i E T U j O f n e a i I l 9 W 5 B w 5 6 Z E G D 1 3 3 Y X w 3 w d g + / x 3 q Z 0 6 E e 1 z k / l k K y F L 4 d G H q X 1 p R M + + B B P m V n g s N L Z C E 5 A / W J 5 G c M K H Q L c B + v j D G B 8 f R 6 n b S H 6 w G f 3 R s x C L J 6 C d e A K j o 8 M 0 G A m S / l n 0 j y b g q C 3 B w W M p + u z B P f / 8 F 9 7 e s g v B U A Q L T z 5 J L I n 4 9 7 8 f h d 1 d i 1 t v + x O 5 E U 0 I h D h b X I s S j w d v r d + E 1 t Y F 6 O n p Q k W 5 B 5 v e 3 k Z m + x j a F i y i P k v j H / f 8 C 2 e c e Y Z M E R L M 1 K a I N w Y j C Y Z p Y A 1 L d J v i Q A d P X p N P a v B u h 3 X 0 3 4 h U f p L 8 s 9 y 8 H 4 N J I U k W h k 6 X C 3 b k Z U q s f / I z W F k j J c A q 6 P b W o f H G H u H f c H i 3 u S k 3 t 8 G B C P Y / O K G V v 2 e f h y 8 W J w J I x j k E L q X N s 7 R e / e q r O P W U U 4 Q k 5 v N 4 j i i T j s P m J N + A t I p 3 Z J g e J I u q m g Y x G B O T E 2 h t a R W E r C D N E l f u H A 0 5 p U z a H A F c s n i J S G d S w M z E x C 6 F 2 H N M m A e e T O Q O n I W p k v Q c / D u N V i e 0 n d C e d D 5 d X m b m o l e e 0 l A h c q 6 N G h u Z E w 7 5 m + k Q T E k S O D T A s q e e L J o B I l o T 3 K 0 O e P x 3 I h G v I 2 F g Q F d J H e r s Z 8 g / S m B k v x 9 l i z 3 E X P S M H I E j / 5 Y u R p K c T S + J W O w d P 0 O o V U p U l s y z M j E B z G h w N c P R + 2 u 0 l 9 + A M t N J c r g Z O L j y c j j J Q q l e t w 7 j Y T 2 q n M Q w M n o u I g 3 z 5 K P Q l J b j 0 O p x N F 9 g R 2 f E L Z j D Z U 6 j x J r F 0 J F n E O 6 8 E + a G L y D a / n e U N P 8 A V a d d i 7 t / 9 1 F c c w r 5 c W R O M R P G w l 2 w e 1 r R e t r X E P f c R H 1 K f U n P p W V B n I p i 4 r g J n k X s z 9 E Y C d P f h E 2 b t u P i i y 9 A I J g U x G z R 8 k L G E u p r 1 k B k 5 p O k 4 r V L H B E 2 8 F w J D 0 1 i H C l d 2 Z S G Y g g T d X l h V n w + L O 2 3 I e k + H 6 m y s + U j x c H Z / j w 5 H Y p n h Y k 4 M z V N Q W r I y 6 + 8 g g c f f A h b t 0 m 5 f I x b f v h D D B M j / P H W W 0 X 4 m + e A 1 q 5 9 A 3 t 2 b c P 3 f / A D E a l j v P D C 8 y Q 5 h v D 7 P / x B H G d w 9 v r 9 D z 4 M L Z m Y O i K + 7 9 / y M / z m 9 7 c J J v 3 t 7 3 6 H A w c O C i b d v m M 7 d u 3 e R U w 2 h h e e f 1 E E H 7 b v 2 I k d 2 7 e J l C Q O H D w g Z 8 E r y J K K V 5 g p X z P J A R g G D x z Z v c X A 5 i P / j i 0 H X v a h m I 7 M T N w b O c U 3 n Z n U S K T 8 M B Q x H 9 T o C 3 S h P x a F s 6 U G 7 o V p O K s y M B k r E e j Q I l j x T c T r 3 o t k 7 X V E N P J Q Z Z J I R U I w u Y w S M z H Y 4 T e 6 k J U T Z R W E W n 8 M 6 8 F f w X 7 k F t g H 7 o Z j / E 9 Y P P j o 1 C r f V N a O S s u K K W Z i W H k S n S 4 7 G M h n p r 5 / / Q 0 J E o B h p 0 n 0 y f L r K 2 E k R y i 1 7 T A i u / a R R i W L g L p j + O a / w P F P 8 i N 3 3 8 P B P t S c c R 3 6 v V k s L u l l P k H f B H d q C k Z 7 P Y 0 v i Y r o M Y w G u S d J W P W 9 C f v w X 6 A N H k I 0 M A 5 t n O g n 1 o s o W y 9 Z L Z q W 6 z A e b B d R Q 4 u R b q b n i A d Z D 0 l O R q B r s D V B 1 g H P Y b K F k E 0 n 6 W c c G p e Z S c 5 R Z G Y a 3 Z d 7 t k L o f P s Q r 3 r v n M z E E J k e B B Y q 7 O f N g 6 E k o r n x h m t F W L m 8 j P O 1 m N y A 4 8 e P 4 9 v f / g 5 C o S B u v / 1 P R N g P Y c e u v d i x c 7 d Y m / S b 3 / x W n H f w 0 G E s W r R Y R O c U j X P F F V K g 4 4 9 / / j s 2 b 9 s l Q u Q 2 C w 1 Q M o r r r r s W X V 1 d I h / v 2 W e f w 1 / / e j f + 8 M d b M U Z M d e s f b 8 c z T z 2 H P 9 9 x J w Y G B s S 8 F 8 + P M b j b W I u w C a k g n + R l A p S F h J R S U g Q 0 e L p 0 i L Q g S d P Z z E a B G a 5 B 8 J C j X y i z e o P b i D k U p 5 i g H U U y S 9 o j L h G F l j S M o Y G I i f w s f 6 y b b k h t J o J v t L Z h M L g b Q 3 t 8 8 P Z q 4 G 6 c 2 T f K Q Y P I 0 l s Q W v w r 8 p V + h G D Z N x B Z 8 k N q M g k S M s W 1 S T L D 6 b 7 G 7 m d g 7 / k 9 H N 6 7 k C K J r t U E s a T 3 u z C M r I M 2 N i H O 7 3 3 g c T p u g M u S m 1 b h v M H T 3 t 2 G Z V e c h I M v 0 3 k E J w l H D b 1 d f G 8 W 7 l s 1 + N F P f o 7 W a h v K y j M Y 8 4 + R D 5 U h i y a E C W 8 Y h p b v I V 5 y O R K T + 0 l O B P D s n j R G X J 9 D 2 H A K D k 8 c I I a K w H r 8 H n i O 3 S U i b c Y g m / Q Z j E c P i X s x m I l Y s 4 k x J U 2 m S Y x J X z C E C W e e S l V L Z C X T j F d M l y 1 O k D / F 0 x D 5 Y O Y z j 7 + C j F 1 K o F U j k p x + f g 7 E x I Z K 8 v + J A P t 8 5 B / k a L A o f v f 7 W 8 X f L V u 3 C w Z h 8 l q w Y A F u v f W P x C i S S c P z Q t u 3 v C 2 u x a F z h X l a W 1 u J 8 I M i U 5 x N P T b T O O T N j u V 3 v v 1 t n H v O u e J z 3 8 A w D u 7 f S 6 p 9 E 3 b s 2 E H m p J s 0 1 X 4 R J I l E I n h 7 0 x Z h L n J m B W e i t 7 W 1 E l M N i m U Z D E H s p J 1 k f h H g Y 9 M f T W I L E c 7 l f D J 6 n y I p m C Z p x 3 4 i M 1 O a 3 G 5 y 9 M R 5 C q Y z E 0 N h 0 v m h w X E W m S s 5 j d D g O B e t 7 r O F 9 m O w R B 0 b H U A 6 F S Y z q g n B e J 9 8 3 I Q a x 6 m w l 9 S g c m l + E u p 0 8 F P w f / n t 9 8 b a E Y g T k 5 L 5 x B o 6 m j Y i i B o k m t 6 L U O P 3 E C z 5 C i r W H U T j 2 h 0 I r / g N k p U r k T H T v e h 8 X s K l T Q V g 7 f g D N G R V F O K k a z z Y / + I Q 9 x q y N 1 5 P / 5 C P F I j g k 5 / 4 B L 7 3 n Z u F s O R A U 1 / f A J J D Y 3 B b M 7 j / q Q P 4 y 0 M 7 s T D y R S T 2 f w y T 4 0 M w 6 j O 4 9 Y 5 b S Y M Z k L b W I L z k e x h t / T x C V V 9 D Z U U L 3 K Y G N I 6 8 S Y w z S Y w x T E + o x Z 6 J Z r G m T E z U 6 t 3 U P j + 3 Q r R L D U W h c 7 R Q a 7 T C U O f G 2 F A Q o 9 4 A v M E w 8 Y E W x o F X E W 7 5 J v W T F g P + / L E 1 i Z W / M 4 M 1 l G Z o 9 E j W o v c I H + r l + z + O 5 Y 7 H 5 K 8 l D I e q c f a n + u V P h e A B y 0 n g h x 9 5 h E y + t f j 5 L 3 6 F m u r K K Q J U Z 4 z n w A + c I 1 H O N J 9 K b O X A B E n m z u 4 + P P z w I / g R m Z b / d 8 s t + M b X v 4 6 K y g r J h 5 H O J M f 0 L c G w U y t w S Z q m M 2 Q O C Z r l e 9 C Z h V w l P v M B U t N Z u h d J V V 5 Y x l 8 E 4 x x M I f + T z L x 4 I g O X n X 5 P p + Y / a S F Y S + U 6 f 6 4 o H 2 u o F A k y I x O 2 D F 6 S I T G V h r S Q F 9 l S D S p q n P j l r 3 + D m 9 7 z X u g N O p h M F j z 5 x F P w + X 2 4 / L L L s f S k h a i r a 6 D m 8 W R z C i l O w U l N I J Q I w W 4 w w 2 6 s p 2 v O z P C 2 4 7 9 A e M G P x L I T E x G y N 6 o j M z W L S s f 0 t r e T / + S 8 9 l p U / E C K d J m H n 4 U + f h x J T R U 9 O h O a F v t / 8 y S w o R v e O g / q q Y 0 1 b 7 1 G W s a H j Y 9 d i Z q y D L p G y t B c O Q 7 r b 6 T Q V v u j x 5 D Z d A G a y y K o P + 0 2 p E v P o m f R Y W j v B G p O 4 R A 5 n Z c g 5 5 K E D A + C S B t i A S N y + u h r s i H N Y 8 + Q N E w h W v 8 J 6 t c U m a o m V D s z Z M b S o N E Y a 1 J e t A c q x L w T j 3 i J h U x E M g m 9 s e N Y 4 G m G 9 6 g G J Q v Z / 5 J W d N t 7 f k 3 C 5 f 8 w Q t q w 0 i E R z Y E h A 5 Z W J b k 5 s 0 I T 7 8 0 P S k h h 8 v m C f z b 7 H X L O u w S W m b k o 4 e w k y t + L 0 K 9 y D o f R S f v w H I A / E B L a z 2 w y I h a P i 7 + J B D E k J 9 W y v 0 M a I J k g B 5 c + 8 1 o q Z c K Z U 5 w C w S B s p F G T n C Q r P w M H S s Q S a B p M n i D k F v K L J 6 E d V j L 7 6 I P S 6 u J P n f 9 k c z H U r K A b j B / 3 I + 1 O 4 n F i n g v P P R c u p 5 v M 4 m 2 o b 6 h F X 8 8 A / C E f n A 4 n r r 3 2 K t z 1 l 7 v x 4 x / + L 8 K c Q J t 2 w W 7 O T e 4 m y Q S a z Y f T e Q 8 g 6 m y C g Q h 2 0 K t F r Y e f L h 9 9 4 S 2 o S i 1 B 1 w 3 v x o K 1 a x A i 8 6 z a x 0 s a q K n k J I U X 8 I p q / p D E 9 o s u Q w X 1 w i A J i 9 J g B u m 7 7 s d J 5 5 R i 5 / M 3 w U n N i I f J y B 7 t Q v k j d a h + + h 6 g c j F 2 P b U S L v p u 4 Z n E U G W n k m 8 T R e m C K C l F o e u I B v y k n a 2 I k x A y k W Z R 5 n s K Y R h 9 C / r I Y U S b v o h Y U i M K p k y B 1 5 8 l u e h N f t 4 e y 9 R M M o 0 g a S l 3 o 5 u Y 6 b c I 1 3 6 Z G J c s L g 7 0 k C k p 1 Z 7 I Y c i X R Q m 1 1 2 y Y T g W c H J z H U L t u v x 3 l W 3 N B B 0 a Q T K t l 9 9 0 n 3 n v 9 X j K 1 H C L l g n 8 0 M T 4 O j 8 c j o n w u F 5 t 9 + Q y i M J S S A M s I B P 1 0 b o k g P j b / 2 H d i g m a w 2 c d B i J W X r B S f e 3 p 7 R A 4 d / 5 b f M 5 F y l F G T I U Y r e F A F n O 2 9 8 e 3 p C a 3 c X l G 4 g / 0 X Y p 4 k z E R I S n t p 8 E U H G k i o 5 D o q R Q 8 g 2 d / T O y 8 f o g s J 0 n n / E U M R R v a H U L m c p L 6 I R N I 1 5 U B D s D 8 G R 1 2 O Y b j E l 0 7 n h V n n R j Q 1 i U B q E J X m Z d J 3 q T H Y 9 P m J p f k Q P Q J f R A u n / 0 1 o q 6 c n A C s Y e P o Z h P 9 8 J x a u X 4 f t T 6 x E X W m c x l U P S 9 2 7 4 V w o M R e j i 7 S Y h s Z T y x n m J h P q 1 6 x G N D C J 4 6 u u Q 4 y L m l h N i H V 0 o O T J R j R u f Q u b / v U 8 G u / 9 D d G A H Z X r X h f X 4 D I C Q z E S H m Q K c x s 1 8 S F R F 4 O R p L E z q M z l o i A L x T j + K h K V N 8 o H C p A Y J d t P Y i y l R F o X 9 f e y i g c R q r y Z e q T I W M t J u A p 2 9 h l x e n 0 C P a G N a L S r p h 3 I f 9 P 9 4 P v f + S l 3 L O f y H f / n P 3 H q Y 4 / B f f j w 1 C s 6 M Q H 3 N 7 + J R D q B n 5 G D e d W V V 9 I Y S 7 f 9 3 v e / j 5 b W F j z 1 9 N P C x 2 F f a m B w Q O T m c T g 9 S a q Y m e X X v / k N 2 q k j e f X t x O Q k O u g 9 J 8 + y G c g 5 f Q v J F + N c u z / f c Y d I E O X w W m d X F x 5 / / A k 8 8 8 w z u P 7 6 6 / H F L 9 4 s U o A 4 J e i N d R v E X 7 4 X L 8 W v q K z E 2 n X r E I 6 E 0 d P d g 5 H R U T L X 4 q i q k i Y D J d K h v 2 R S J Y l p e H 2 Q F E b l o z x 9 T N K a C I T n m 7 I 6 j l Z p x X y a n p h L 0 j z K u T O B v 8 t 9 P 9 s 8 V D g 5 j p H 4 P r g M S p G Y 6 U j H U u g b 7 6 X n G 6 N n 3 U j P M 4 b D R 4 4 h S v 8 l k i n s 3 b s P B w 4 d w Z K F b W Q 2 S g x m 0 F r g T X R N X d d I W m c o u g c 2 X R l G 4 4 d g 1 + d L Z 2 5 v P K U R 0 a m Y u R H O 3 v u Q K j l V / i 4 f z p O W o O S D H 6 B x j 2 H w 0 K P Q J 3 u g J 9 + q 7 P S / 0 G U k o R Q b H o b / y a c R u / A C 6 H p 6 4 F 5 1 D 8 z G E m x 8 9 H o 4 3 W R K P q i F + f Q Y T H e U Q m / X 4 9 h l n 4 P u x 5 9 H C Q m L q r X E T N T X x v H 1 S B r q S Q M 0 o j f 4 N l z k L 2 X o + b R i L s 2 O 3 k A P n E a n G J 9 p 4 G x y n s j V 6 p G 2 S 1 k f m o S P j h W k Y 5 H G 7 i Z G c B k a Y E q T O a l 3 o q T S i I j u V J F M W x R y s q 1 y j x p X G j 1 e P R p d d X C M 3 g m t t 4 P U b w R W 3 4 v Q e C d G y J B K w e 4 s x / r P f B Y r C 0 L Q 3 X V 1 a K Q O e u r p p 9 D T 0 y s Y 5 d O f + p T 4 7 p / 3 3 o t d u 3 a J U l N c + 4 H z 5 J i Q b r / t N h F S 5 6 j e b 4 m Z f v y T n 4 i 8 P V 4 p y 2 C h y z U k + P z q 6 m q R G f C r X / 4 S X / n q V / E n 0 p I f + c h H c O F F F w n G 5 Y R Z T g l 6 4 s k n R S 4 e Z 5 q X l 5 e j s / 0 Y B o d H R d i c 8 + 8 q K q t x 5 P B B s e T 9 p p v e i 0 2 b 3 s Z X v k z q W 9 x R T e 4 S x M S y y D 5 W v u H S Z K T e a K x 4 e Y o o 5 k m Q W G k u 8 z Q f U x o q Q Q P A 9 R Q K I G b + y X w R c 0 N c 5 4 6 Q o v 7 Q c 3 1 D w u B + P 2 q W z x z F 8 3 W H 4 W 6 S T D l / o g 8 u 8 p V y Y k N C i n x D v c Y M X 6 I X b q O U M z k F n i 5 g r a c i z K G A D m 0 T t y L c L K 3 i j R G z c Q a / 0 J J C K 0 j X 7 n 9 9 J W L + D l j c r a i 9 T M q A Y O z 8 w p f g I A E 8 T O + Z p V t I m z G 2 3 E W + V 7 U G l j / T t f r 6 k a m s Q c u m t e Q i 6 9 B + 4 U r Y 6 L L O 5 1 / C 0 L F x t J 1 N D E R W A W e l G K 2 y P 0 2 I h P b B y n U t k p P o i 4 V I e x U 8 z 1 y g Z 9 C P v A a j w Y + Y 7 R K Y Q 2 8 i U v 5 R U h J S B g W 7 E R z x 9 Q 9 n E N Y G a K S z 2 L N n L 5 o a q h A L j O G c t g B Z P n R e c g w p f R U J n v N h H F 2 D e P n V N H 7 5 8 1 n a W I y d e O 7 Y 3 G A U g j 0 E n 8 + P 5 5 9 / X o S o 2 S x j X H r p S h w / f g w r V p w s C I i T X l k j s f b g 5 F d l o l d J d F W g 1 J Z g 8 H H F d 2 O m 4 8 n j O 0 h T X X X V l d i + f b v w f T i Z d T V p M 0 5 2 5 Q R b D n w 4 3 R 4 M D f a j r 6 9 X 1 A q o K C 8 l X 8 M l t B I v u T j 5 Z B o A A j 8 V m 5 5 q 8 E f 2 l y T w G R L L M B H F k z l m Y k j v Z u 8 b D t X z X + U / z k g X M J Y S Q f d g I L J D Z E g L 0 L m C O T m 6 q F o 0 q D A T r / S t a K W r 5 G m 4 L I K p I f k 9 p p i J o S f p y d c e j u 6 T j 0 h g Z m J M Y y Y G M V Q 4 m S + N q 5 1 p w U y m s d W i j c S K 0 h c i 4 0 V 6 / m h 4 S B A 8 T 3 R n 0 / n T B a f / / a / C J H R T T 6 Z E b 9 J l 6 J y L W 9 q x w n I c L L o 4 c K I 1 M v V q c f T H P 4 e F L u v + 8 Q 9 h K 7 G i c k U L N h 3 W 4 N X d 1 G 3 M T J x s S w z E K W K C m R g G j 8 R M I o o 3 f 0 w m B 5 C q v g 6 R s o 8 i Y 6 n F k G s l w n H O x E / C N v E S r A N 3 0 x g S G 8 V T q P b o U F l R R p b Y Z V i 0 e C l W n H U J o p 4 b i X n e h Z 3 a m 5 G o u B 4 Z Q w l i t R / g 6 W n 5 D j n k Z 0 p 8 5 j M z a q j 5 Q y K E b 3 7 r 2 / j S l 2 5 G W 9 u C A n L M 4 M 6 7 / i o Y 8 x 9 / / 3 t e I G R w a B B H j h z B p S s v l Y 9 M h 1 I r g k P t N 9 / 8 B d x 9 9 9 / F c X F X + o e H 8 o k n n s D 7 3 3 c T v S P m o M s z g z C B T p E o R 9 S U Z Q 4 q c N V X g 3 n m q N h 8 M R 8 f S l 3 i W N I C E k M p 8 H d H 4 G q S / M S e 8 E b x 1 2 N Y D o d R 0 l w j x 0 Y R r u h D h a 1 O L A O Z i B 9 H q a m w E O X s 4 E I x a k d d K S + g i U + S 6 U t a i Z x z U e V W 7 0 Y P m V v d r 3 w F d W 6 u b q W D o / o q l C 3 + M h F 5 / n K f Y 5 d f h b o / / h 6 Z 8 l o c / e I X 4 L x 6 O w l N E l Z / b Y W f e N D k s M L z l + d x 5 F N X g F e q 1 c u a T I 2 + f a P k z 2 Z Q t 4 J M d o 7 4 K i Z X I Z R C o H H S i y Y 6 V / l c A A 1 9 n + X v C 8 A a S q w f I 3 p I k p D J r T W b G V O / U Y O Z X w 7 + 5 D H U C + Q r l W y U B k 9 B y O n A t e v e n E V G z w 2 + g f T 7 3 D s 1 O F L H B C g t J 6 c z i A G 4 y g 3 7 Y A z O m F A C F z x v x t f Q k q r W 8 w o / G U k 6 r C O m S d N v u S Q A + 0 D T 6 n A Q N N k I + V L F O 4 5 Z j j 0 m v k O O z U 8 c / 0 l Q Q p i B N L C 8 Z C a U s M F m p 4 E i K d 0 T 2 4 1 G 2 / n y W c R w H W m 4 W n V i G Y H D l C E N t R d V l p O J + T b J 5 x U f M c 6 B 1 G W K E x 5 D G S F 7 7 5 8 Q a s g V c Y m T f 7 n 1 8 c v h 1 r f D U d q C p s t X k 9 l G e o e I M R 7 d j H J e 9 7 X 9 O 7 D Q k P T r V 6 N a 9 w D W f f u f q L 2 a 5 4 o I 9 9 Q i Z j R j 0 Q b y d c n i H F t 5 s a h S V P / m G + L 6 x R A Z P I i B T g M W X J C / A m I a e D L X K A V g O D 1 N x 3 c s q O K 1 e w + Z j T Y 7 q s h F C I a C C P g D Y l H p 5 Z d d S r S l R 9 e E D q W B J F z N u Z H n Z S V Z M S W Q j + P j e i w o K 5 5 p I T E U S U i 7 q z J P W / y 3 U J y F F J w o 6 e a f z x J V S a X n e 4 i C L L M p G B H J i 5 P v l D O Z F H B x k 9 y i w Z k w + 9 M o U B h K E z 6 I r G 2 p f H Q 2 5 D + X E v b t 3 z O M u l N U k l X l k y X C S R h t n F x M v 6 Q m j c U O k 1 C J o c K y l M y 9 f G 3 H U K Q 0 P 4 E 2 P j g V O S u E P 6 a B y 8 x n 5 Y M Z q m f N 5 Y j 4 O u A s b U X L N T n N c n D L 7 2 G k a z u 8 9 5 E 1 p 0 H l J f Q d 9 f X b v 2 l B L d G 5 5 p A b l k W f R f k X v y b O 3 3 T p F a h J p l D / 9 O P Q V x Q G S y R k o j 3 o T f e h y X K 6 m F f s 3 N m D B e f k l 2 d g a K K 9 y F r I D O Q 8 T z k a q o l 2 0 / O R J 8 d h b 2 J 6 D T E 9 Z 0 3 4 i I l K z M Q k 5 j q E A x x G d 8 G h 4 U x 2 q Q 0 Z I q h o R p e z H B R w + W Z V A u x s 0 H J H F 5 o b / w 0 o E j p H f t L n f J w o A 8 v n s x l A S C X j Y t K Y N R h r s 2 g 8 T P d l P a O 6 F 3 e m 8 p k 6 t T g z k a l n k j i x 0 N 9 6 x y D z Y 4 q Z 2 B S Z F b l + O N 7 e B b 9 3 D F u 3 7 Y S + U o d I N I a J S T 9 e e 5 2 I V A l w 0 P U 0 F i l 9 i Z k p m B w m s 6 8 K + n A j N q 7 f Q U L F Q B L 5 A G 6 9 / Q 4 c P d 6 F Q 0 e O I y O b P D w e M z E T Q 8 1 M j v 5 c L T 2 D m L w m u q J u U v o o 0 M H E 2 4 P S 6 C u w T P x T N I Y j q f q J n d j x k U / C Q P J J p D P v L J 1 i J k 6 C 1 c R 5 O o A + O G f O + N C S B m 2 y X 4 D u 6 E 7 o D B o s O F v K h j n w w i i m F s U S B D M J 5 P o w a 2 m i G 5 E a Z E 0 v b i R R 4 X F / G f V D P d J x P 4 x m K 9 7 e 8 A a 0 l l x f i O U 5 / u l + U Y 6 Z c n 2 T 5 + K q M G X y G U 1 c C 1 y 6 s X C I 6 X 2 K z A + D o Q w p 5 n Q i T A 7 N z o V w P C t s T I O S Q M U Q E m I O 3 4 T t U J Y w s z A 3 z 3 Y b 6 N p G 3 1 t I u H M l r B h c k z u r J 1 t b Z 0 Z 8 Q s o 8 1 t s 0 s A b X I V E q + 2 T y 8 3 E e G 4 d X G a P d X l Q 0 k R 9 A W j r D G e z y K e 8 I z O g k m T s C 2 0 m q p u A 0 1 K H E K O e E c R / w M 6 p M L c 6 K F 3 0 u 3 9 M f 0 8 o E L R 3 n c R g 6 N o G a R W X S m B Q g N B S A x R k S y b s i a s h 9 R / d J Z P Q 5 O 5 8 X M B q k 9 T 9 S N o Z q H F R S X Y H Q e B k u x k n t 5 e + z B i H J 2 / / 3 F t j W r s P k 9 + m 5 q s 5 F S c v v Y a 8 y 4 d C a L 8 O t O 4 Q B s r r q S d A 3 t r 0 P 8 f o v Y / 2 H z k D D p a N C l K U f r M a C j V v J / 8 g i M d q L 0 Q 9 + E s b m Z t h u + R t K F s 4 w 3 v E R 8 o v k y r Z p s i x 0 s v X A V k Z 8 F M f 3 J N G 8 z A C d f W b h M C N k n 4 e n D U w c y S x A a C Q G e 6 X a b + M B y j 9 P k / R S 1 5 R g y J t G q U N O K O D / F Y Z S w D b o S H Q f a k x k t 8 6 y 7 K A Y e H m 1 q 5 D n O H G R T R C O 2 M i Z u X O C b N d o x i F q A h S D u e N e x F o / I x 5 R p k U R i h 7 P h F E V 7 s d x X R 0 x n g G V N C C T k R T M k 1 a S R G T W V k t 2 t X 3 k D v Q 6 v o H e 1 7 v Q c H k z m Q G 8 o H E O h p 8 F v V 4 t G k r y N X A 8 H Y B J V H u d j h 6 e Y x k + C + 4 F + S Z m Z J S u k d H A U q X F g Q O H 6 K E 4 t V a H e C K G c C S C C 8 / P Z T 8 n A j E Y n S Y M B q O o I U e f q 8 Q W B g g E O M N 6 F k H Y s + N W L H W u Q m h h z o Q T T K V 0 L L M E 2 d L b L 7 k S Z d 0 9 s L Y 2 w v L Q S 3 D W W T E a H s a R Z 2 9 C c 6 U R Y 3 6 g i o a 3 a d k t S F R c j v W / a C Q G o w s d d s P R 8 G m U f U v y x 9 7 i J S D 0 t 6 1 I M O L E k c X R t w b R d G Y 5 T N a 5 r a x n n n 0 R V 1 1 9 J b Z u 2 S o i 0 W z N t L a 2 w F O S P 0 6 8 w k V O y B c T 5 I F I p U h n 4 m A M 7 / g i l S a j b q G u E f K Q X + x v E Z 1 r x s d 7 s 4 P h 3 V h c d R V J u n x p d a J g M + / / h x + m B j O R l q Q U 5 9 4 p U S n p K F N A V g i E L E / e 0 k N L N E H f c S C D 5 1 y U t 5 w p k c i I 5 e x z Q 7 n 2 f J F B 0 D 9 T V r J 0 L V 6 P M 1 K R x P L K 6 S b P S O y A y H b w t W f g b t M i O B a B o 3 x 6 E G X z 2 z t w / g V n k / k T p T v q R Z p V K q O F I R u U T Z T 5 t X n H U 1 e h r i y B q k v W 0 i f 6 T Z G I o y Y Z Q O 9 l 7 0 K 8 v Q O W e v K L t r 4 p j s d S U f S R X 2 U k i u J a f F q y a K q v 3 o / 2 v / 4 N g x O / R i V p L N 3 D r X n M s 5 8 Y i s U a h 9 g Z / n Y i 3 t z m F S p I f d U X 3 I J 6 h 1 Q v 3 W z 1 I h a R h U Z B O / 2 j A f i H f W g 4 u c g 0 A U G s H K D H 4 7 Q 1 N g c d T o 9 I B L B a y C w s 0 l X C e p j F X F G o o m N c j 1 Z V g I L M R r P I e I 6 m J 0 g y U S N P A O r b c X m x H D P x 7 f 7 / g O 8 p J b I q z E T H 2 D y R H 5 G r 4 R i 0 W W K 6 3 D H J 3 O S / x G Q 6 K e + B k 0 3 n B / V T z g f F B Y p k s U n X M l p s O K l 8 + o Q v Q 0 k d Y m Z i 2 D 0 W e I 9 J / h L D 1 y 3 N Z 5 1 7 3 h m I T w 7 S 8 5 h I Q 0 q J n X o t P b M I / R Z v c z x F z F a A E m u C c 0 s J 1 D e y P 3 1 4 x C C i p t x / G a 7 P w Z G u B D E N 9 x / X W a C + 5 T o U X t 8 u + l U W I z 4 d E W A G 1 r a v i g h Y z Q c u Q x U 9 H l u d 4 j I q u E 5 Z g c a H / i V / k p l J 9 I 0 E 7 5 t v w f q R j 8 H 8 a 2 n p j 8 J M b 7 / + O x j T B 2 F 3 8 t Q x g c 1 R B S Q l X R V O w U z R Y A x R r o l d A I 4 O s 0 Y Z H 5 8 g + o g L L T w 0 P C 4 Y L B w h c 1 / V B k a o t 3 i o X n H f l B 5 m Z l L / d m r 0 L T q y w Q W h Z o S T / / O f / x z v u v F G k Q H B U C 7 A j C P m d O i l D g 2 L u t 0 E 7 l g + m w u Z Z D l G W 8 T 2 V + D 3 + f C 7 3 / 1 O / l Q M + b + V G I d a S P e 4 4 / Y / 4 H / + 5 3 8 w 0 N + P T D K C 2 / 9 0 B 9 5 3 0 0 3 Y v X s X a a k U n n 7 2 O f r 8 P v G Z r 8 M D / 7 e / / U 3 s w s F h e v Z x R K 0 / e v H y E M 4 r 5 P Q p f v Y T h d h E j V 5 q J E N R T B 5 O g k u O H R 3 W I Z a g Z 6 G + G D s Q J G b R k Q a d u V / U / h I L g J K F O c v B 3 S S F c b O x c R y N 1 s J 3 L A t 3 g H w C 8 Y z F E f X F E e z U I d o j 1 W 9 X g 4 d N I R K O A t q P r c Q K 3 d / F 1 A O P I 6 / L a r / r C a K K O A w 1 D h j P P Z f o R I d S U x u O v n K L 8 G t j 1 G d 8 d 1 f b 5 2 E j M 3 3 P a 1 + A u a 0 V 8 e e a 4 f m f j 4 t R Z K L z R b X I / v L D G P H I T E G 4 Y O O P c e 7 m n 8 N 2 T N p x s P P H P 4 W 2 f w D 6 1 a + J z 4 w s j Z X J u x r t r / 4 I g Q n Z f F U n / Y q M D + m 5 L J Y 4 L H Y z d j 9 T b O 6 U c 0 H r S d O V k E m b R V t L A 9 w u O x K Q t t Z R w 9 E U J x 8 1 x 5 i i 7 f S X S 4 s V M t / b X b k Q f Z 4 4 l R b D a f H L X / 5 S Z C X 8 6 t e / E r t Z C A a S T g E X G B G O N P E K F 3 n M k q O Z J a K 5 9 9 5 / 4 e a b v y S O i Z r g 5 K R x L X D W C j O B V 9 / u 3 L l T / l Q I m T F V j e c U e 8 b z z 7 + A t 7 d s x 1 V X X Y X P f P Y z W L 9 x E 1 5 8 4 T l 8 9 W t f x W c / + z k c P 9 Y p F j x + + S t f x q c / / R n x m 8 l J L 7 X x X q x Y d g p 1 u p k 0 m U G k P v G L 5 7 8 4 l 5 C X 0 S t r u E 4 E 6 W z u N y x I e k a y M N g t 8 C w h 0 5 P U 6 K K q N G x 9 n d D t 3 4 / y Z b P 7 p d G 0 V + r f O a A x l 2 F Z d Q p u c n V L W m a f k L S 4 T X C 0 p O F u J V + S n W c Z i W i Y U 9 C Q S j e R T 5 Y g w k 2 j f R A Y H e 4 W 3 y d J c q f i a Y w 9 / Q 9 E B w a R s Z S j 9 u u S x m C 4 L D Q + R F 0 1 p U b B U I x a U 4 8 I H P G 4 L V 3 9 F s o + + 2 l w l V Z O 2 3 H p h k E K D t l g O V 5 d s x Z 3 3 H M P o g e G E e g a w D c 7 y n H o S L u o P X E g G s N R E n K r X p a Y a u d T V 6 C u X G I Z r c F F D V Y y J f i e G v T 0 9 i N B U k H 0 m 1 4 K w J z 6 3 k Y S v C l 0 7 x m a 6 s + + f t L o Q g v n z 1 H x 9 q c M l v 9 q 2 K v N 8 H W m y K w m 8 9 u S Q Z h M e Q 5 i K M z H w o S F 0 f n N u Z X f R P E F 7 E Z g S c 3 E V V 1 d g y 9 / + c u i Q b f f f r t I 6 + E 6 d 6 F g E N / 6 z r d w 5 p l n o r K 6 E o 8 9 + T h e e X m V W O o + R A z 4 5 a 9 8 S Z x 7 4 w 0 3 C G 1 y E 2 m O F S t W o K K i A h / 6 0 I f E 3 1 t u u U U w a n t 7 O 5 q b m 3 H e e e f R 5 4 z Y P U P 6 7 b v E 9 5 z x w L / l f E G J y T J 4 z 3 v e J R J n 2 c T h 7 P f O z m 6 x I p i 3 w O E K Q v y e 8 / 5 K P C V T E 8 J / v u P P e P e N N y A U 4 R A 2 9 Y j c K f 8 J J G H C S U w s c C T i Y p 6 v K s 2 T U w K J / 7 0 F s a 9 8 n d 5 N 7 2 8 1 L L q C w A L P P R U B 1 z J g q L X Z v B A f I s p h j U a 0 p z P A f T u Z L e f c C q P T i J G O l 4 k w s 3 A u + j a S 0 S Q c i b d g D 7 0 G W z p O z 8 p J x F n E a 2 6 E 1 x 9 C M K Z B 6 a Y k 4 t 1 R Y i B q p q k a g + G 9 S O r c K C e a z m u W 3 o m s s R w a Y w W q H G e j s a Y V V 1 6 0 A i 8 Y D s B C W s 9 p d O H L 5 h F E P v 9 p t J m M Q u D V b l q P 6 6 + 9 U r 6 A 1 G v m K t 7 F k i B H S j l h O B g M C 9 + f l 1 q w c b T / 4 C E S 1 H F 0 E E 3 E Y g l U L C r B 4 Y P H s X X z T n i 9 X o x H Z s i 6 I L D 8 L + x O d 4 t e 1 N / j B t h d + W P D g o O f n f m V 1 0 w x t M e 3 b 8 D B j a 8 i 5 O M d A w l E 1 D / 8 0 f 8 K L X r 9 9 d f h t N N O E 7 P K n M f 3 y i s v 4 7 L L L s U j j z 4 q B v K P f / w D V r 3 4 g i D e a 6 + 7 D j c S w e r I R O H S y + v X v y X y 7 n j l L W u A 5 8 h 0 / O 5 3 v 4 u l y 5 a R V t o l z u E O 4 N W 2 v N y d K 8 d u 3 7 Y D x 4 6 p f 7 t d O N v 8 2 3 X r 2 I n l F m r J P I v g 0 O H D + N k v f o s f / + T H S M N A W l E q 7 c z 9 w X v o R s i E + 9 x n P 4 9 f / O L n i J M m X P P a a 6 T R r s G N 7 3 o X P y W h o O d O A L L l K c w x o Y l J Z H E 4 W j i x Z E q Y y E Z H S s q F O 3 q 8 A 8 M j Y 1 j 9 y U / i 9 h t u x G b S r H v 2 H s D o q L R k v B g m S J t O o U h y 7 W j 0 k N D W G m I 2 D r L M C y z V O a x P h C 8 c e s L A Q w + L 2 S U t l y k m H N 3 y Z y R T 9 C y k B b j W e c x 9 B W K l 1 8 B B f h U / W i J N J j I 9 V 6 3 / M X g f v A v R N 2 M Y J a b s I x O t K / k 5 P H j X 6 3 j l 7 5 e Q p M / i 4 Y 3 N O H y 0 Q 2 i O D R u 3 4 O / 3 3 C e q N / 3 r g X + L h a P P r 9 6 C C V 8 A o U C U R i I p T O 0 Y a U M 2 x 7 k P u U 6 6 j x j 3 j X + e C b c 1 g v E J L 7 Y N n I V H H n s S m z Z v E + 1 d s n g B H A 4 r 6 t 0 h G I w c X M h i 6 Y J W G I j C m 2 p r Y C J r y q r z Y f F J b T j 7 3 N O R 7 j a g t G S G E m I y Z G U 2 D f 6 u N P r J V y y E Y v 7 Z T N J A a B e c e R G W X n A V 7 G 4 p k Z V 3 6 t a Q C f O r n / 8 K m z d v Q Q t p j 0 O H D w o f g + u I s 3 Y 5 l + z o K V A L R O U e m c q 4 Q A p L g l W r X s L Z 5 5 y D + s Y m Y Q Y y Y / D a K T u Z V h x 6 Z I Z k P 4 b B D M C + V y Q a w c T E 5 N R v m + i 3 n K q v I R 3 A C U H s B 2 m I G M h E x v e / 9 2 3 c 9 o d f Y d n y p U I L c V T P a G R V T l L D Y B B L S z 7 y 0 Q / j s i t W 4 r E n H s P g 0 D D + 7 4 f / J z L b 2 9 u P C 2 Z g D V M M / C j s / 4 m / 7 A s W G M 2 y 5 V k U Y j w 4 + i S b H o t o g K s q u X 7 5 1 f j e N z + N c 8 8 5 C 6 e s 4 P p 6 S o R v e h t K P S z i E 9 D E + m n E V M 6 3 j A o D M Y X e R V K / D K E k 3 1 G 6 R p J r 2 h W C f s 9 + k Z b T j e S c u B j P w W X i G H j s c a H z F S o q v 4 d M U 6 n S w R R 8 O 3 Y K Y a U j q 6 H + L / + A h b R D m u 5 d b v o 9 6 j 4 Q I s L V o K a y B F d c f i l + 8 P 1 v k 4 X g o D 7 Q 4 J Z f 3 I e T G g 0 w k g i / 8 I J z 8 I X P f V o w 5 a c + 8 T G 0 k B 9 z y U W n w F r m h N 1 k x j N l e z H 4 c x M a 9 O Q r m U y o e u 1 h c M 0 / 9 m 9 4 V 8 h 4 I o l j / n P R f r w d F W U e u q Z s s i k 0 Z 5 V j 3 A S t b J F M Q d k C i M 4 9 9 Y a F 9 C w Z h L y S h j 4 R u F p 0 q L b m x o I T q R n 8 T I x m j 9 S W a b Y J E 8 s 3 v v k N N L U 0 C + 3 E u w O u O F k y u e 6 / / 3 7 8 8 5 / / p I c 2 C l P u W 9 / 6 N j 7 y k Y / i 7 L O J + J t a R L F / l j A c 2 + f z H i V N Z t R L E S C F 8 5 n Y T Y I B m M n 0 o r b 5 Z Z d d J n y 1 i y 6 6 S G w O w L 4 O / 1 b s S k + / k y L e W q S I C V P 0 4 c F H n s F r Z I N / 8 j N f x B m n n 4 U r L 1 + J N 9 a 9 i a V L l 8 L D d S j 2 7 R H 3 / + 1 v f o c l i 5 b h 7 D P P x c u r X s Z P f v I T Y U 4 2 1 N V L Y 0 H X l s Y k R 9 S h d A x B R K k f i J F Z n c s a S M r w K 8 6 A a i i + R F E U L T q Z f z 4 L F + m h y S 8 x 1 9 E I S a Y E L 7 T j l 4 C 8 g 0 R k I k o E y e + k a 4 i 9 Z v P A e x P H c J j 8 8 5 h W 8 t 1 6 w 2 8 j x J n r 5 E e Y o n 6 o Q y n E o q T N 6 d l j f W Q a k j N F n b P / B / + H C G k g 8 g F g X s F Z 3 1 r E q 2 + C s z w N 1 y k R Q f D Q O W H t / g u S M R + q S U 4 o v Z Q 1 q 0 L Y 8 R F i h J y v 2 d 6 5 G w 9 f / i H 8 + 8 L 3 k w D n 8 m x p G O X k 1 M m 0 t M R 9 2 x O X o 6 3 e B r v D j P d + + m 7 c / M X P 4 v L L L 8 O Z Z 5 x C F 6 f x K J B s v e E t S H M W h g y d n M E v k J D 6 j q v 9 2 k t s C I z P l b 0 y H V q u t C R D L G 0 p g q m J X a u N i 5 9 r p x z / u f C N b 3 w D H / z g B 3 D O u V I R T D U 0 M 1 R 7 l c C 3 I w I V c 0 n E b K T R F G a T v q G / p B W k y H j u A R i i t r g 2 A 1 4 M q E C y e V N 0 D T 3 S J N W V I v K s y b i e H T N D K p 6 C f i p P T 7 m L B A 7 O q S 6 H C V 6 U R i j l L U t k c A F 8 3 n k i r X X R 9 e a a q 8 s i 6 J f 8 m 6 I o k p 2 g B g d q 2 N y d D w I d O u j q M m R u U H + p q q u q E S K B F f z e l 1 G 9 K n 8 i l T P Y I 1 d 9 C 0 Z i w t Y 3 1 9 C R N P o u u Q b W a 6 9 B 6 Q + + J 5 1 E 2 H z R S p j b O 2 B u a c W C 9 e v E V E U 8 F s T Y x h v R N R B G r T u O s s u e g t O + A O s f u h w 1 n g R q z / k z L K X T F y t y w m 9 W b x f W y b b d z 6 C B z P x M 5 1 8 x s b s K 6 U c 2 o E p n Q f V a a o s c G J I q z W Z g r 3 s 3 3 I u / S U f y x 0 6 k F 6 k C D F P M R G O u I 8 E t g Q W h S m / I A 8 6 7 Q x q 5 c E w R G 4 / X k E X T k 6 i 2 S D X t 1 f A e j 6 J k g Q X H R z V Y U M Z R Q D Z j 6 A / R M v u 1 e R p K Y i Z B o Q L q W / G C Q J a e y j H W B m W l Z N 8 T Q / C Z M X J i J U h n S B I 9 I / y a V C o p N J q U d y f 5 O v F k R u z f p O F d G 2 Q o 1 2 a t w J 9 y L Z E g 8 g Y E 9 Z P G I + n J p i Z b b V K 4 n 7 / X C K Z i 8 N 6 z o g k E 3 v Y l B + U u E n j 7 T z U 8 p A F L i E E 5 V K t A b I F J 9 0 v 5 p X k c c e 8 i O 7 Z L o O v L / l M e y G y i h 6 e v c x q H k U h w W p f U B j a r 5 8 N M v B i Q Y S y L w i I n c g p m k t S t B H m e Z v C R x 5 B l Y a w u r 0 X Q J C 5 G K m M H r n k P k l k j I n 0 j 1 H d p e L 6 d v 0 1 o K b X N 1 L Y A i 9 e + K p i J g x F 7 X / s u 0 U K K S M m G N G k n Z i Z + B h 5 L L p 5 d F t 4 s / z o f z E y M b d u e Q z 1 Z C t k s X T D a h 9 j j O 1 C a N E n j L T P T t i e v F 2 W c + R z B T M w I s u 8 X E W Y u g Z h J K g V N k J 1 J 1 k o K M w m T O Z / E 6 a C e f j M K k 9 W E 4 5 u k i l K F 4 D V k h c z E a V s M b X U W / o 4 M F n A W C D M z W w W s W e l 9 l v z T g r s x c g S X J i Z g R u A X b 3 j G I W X e a Z D P + M x n P o X W N i n 7 l 3 0 M M z m x r J n Y 3 x H H x K W 1 w i b W 6 z l z g e c I L O I a J h P X k V B q S Z C W I o 2 k N F g N u q 0 I Z b I L w 6 8 0 V z R K 8 i s l E S I R q V 7 L R p Y 8 A c k R N 9 J Q v A k x F 2 H h J o j I m 2 j x D C i Q U B q D k w a R T K 9 A b h F b K k O M m q H n 4 g Y x 6 H t d a P o k q Q J N x g q 7 X N O C w + A M 8 7 v e B 8 s l 0 u b d D O 5 8 h p v M U a U F g 8 E D 8 A W L a T e 6 o Q p i M e B I E m Z X L v d w P H o c A + F d p A W I m W U t O O I / j s l N 6 x F j P 0 x e 3 q C g o S S N B W + t Q + v / f l 1 E q w 7 8 / k 9 k T p O U N d C Y p P w Y D X H m B b B w w 5 s 4 a f 0 b Z I F K m p + 3 6 j z 9 6 t 8 A l R 8 g 8 4 7 a J Z c U 4 3 m 4 S l b q d C j c 8 C V x z D B 4 t 8 i C L w S P C N N W O u G H u e R G 8 X Q c z i + 9 9 Q / i + 4 m w l s b X K 4 5 b q 6 T 6 I p m k F / 2 R P Z i I x G D J j m E g w v O L d C 1 j p Q i F c x p R n o l H v x Y m c x H c 9 + h r 2 L x 1 O 8 a 0 w 1 i / Z h t 2 7 t 6 P Q 0 e O y d 8 W B 2 9 c w X D Z r Y h V 6 O E 9 m j M t 1 Z g y + Q z k 0 I t M h x T 9 U D 8 9 I 1 s N D h J H U t M H n o s O c l I q / 7 V o 7 W Q e k b R R 2 1 N F r h 0 e S y F u 9 8 N j m T n z W A 3 e O T B J E t d S r o U 3 o q M 2 Z + E y J h D 3 G a F 3 k P O s q k Y z 0 j m B y n q S V s Q k a i Q 5 W p X x w c n O P S E 6 R u 3 l n f q o J z h Q E v n b P 8 V 6 1 f o v f 1 F 8 n 0 k E 4 O t 6 B K H O D B q u k Y i l G J j p m c D j 0 Q g S R 7 b B u E T K v c u l S E 1 H b O 8 O 8 k 3 O o N + m 0 B f Z Q r / X I 9 h v x U k L 5 V W q R Z Y O s O + 5 8 a 2 t K K 0 o E Z V 8 3 / P u d 5 G Q i c H t K c P I Y B 9 J X y d K 3 E 4 8 + v h T O P 2 O P 5 G J l o T 7 + W d R V y s 9 b y F Y W x 7 7 8 8 P Q d X R j 8 o f / w G l 1 i S l G L Q Y N + U N Z U y V 6 v r E S 1 d + + G 2 a P B T s / 9 H V U m f 2 w f e n r c K 5 8 t 3 w m C 5 5 j S J E G k y 6 n w b H j 2 0 k L s 3 Y n O j n y Q w z 9 S o t a F l T U d 7 U b J L P 0 0 L o f Q B N 5 C 1 a D G Y 1 X S s f G o k d E P Q 5 u m F N f B 4 + Z s 8 + Z d O W G y g m v J w J e o c B 7 c v X s 7 k f z a Q 3 o C 2 0 l w c A b m G v k I j G z I z Q R Q 8 J i h U e e x 2 J I D J U O U W M k d V w M X t 8 k D V A u s X U y d l w w z l z g 2 f T Z E B z 2 w 1 E 1 c + 0 E N d L x N D m F W h w b M 6 D R k 0 L X k A Y 1 p I R 6 N D G c 3 J a z o z W h / c j a l 2 P 3 c 0 d w 6 r s X y 0 d n B k e w O A L J m x c r m x X 3 X 0 q a h D q 7 T p W D d u y l l R g j I X b G x 5 6 A z 1 K F S n u + R u 2 a 1 K O G N I e y L Y o a H G 6 t c 0 v n s / b j 7 5 W F g b Y b b o D G H 0 L g r T W C m Q Y i 2 1 B r n e 6 X F o K v E w 2 k Y L O Q Y C P i Z p O r J 7 A Z T d a T E C G j 1 R f r Q z w d Q / j a T 8 B k t K B t H f t J k v T n r H Y u N D I W 1 K L B y G u 2 5 u 6 n H J h 4 c t I h S u Z X y f C / s O m j D 6 C a 2 l B D G i 0 H D S K x B L o 6 j m P R w m b 4 A g n s 2 P k 8 G h q q h W l r a P 8 p B n + e E c m y 5 p W X o u x n P x K / 2 v Q w + U 5 k 7 l k r L 0 T F K T + n s S D x J k d N G W y h 6 F Q B D r B p p 9 Z G s 9 D z k 0 8 / h + q q a l i s F l E s t b O z S 9 Q t 4 X j A a 6 + + j q r q C p x / 2 R J R U D M H F e O q 4 O 8 g Y d 4 q H e f x 4 B 0 P p 2 W b F w N X E a q U F 4 J x q d v x b M 4 c 0 h N H s 6 l Q C O Z y j y k X z h S Q H U I R h q Z 2 F M 0 I k F v j 6 w 1 A l / H Q R y J E f Q j O O k n 6 q K W 9 e E z 2 m c j M a 5 / Q o 4 G I l s s 5 d L 4 + g m X X y g v X + J 5 M B K Q d s 3 o X O i c l M 6 n e n c r T G g l v N w z u B m q T F q m h Q f R / 6 K O Y W L E C p 9 / 5 J / H 9 M D n n j A 4 i h P N f e y V X x E R G 3 p J 2 G W z D s 9 m x j 9 y l x e X k B O t z j K + g j + 6 T C Q T Q + P K L 4 j P P 7 j N j z Q Y u q B i Y p O c j z e A w S f f s I 6 a t l 5 k W P N 8 k E k d n U I s F 6 A 6 0 k 6 l M A s r e Q H 9 l Z 7 7 I 0 I g Q v i o o Q 4 Y 2 n S Z t n j B 4 w b n I 6 s z T l r R z S p o 0 r U K C h n y g D V t e R E 1 N O f T H f 4 b A M 0 S 4 B 6 X a I v a H V s H d a E P f g Y c R 6 f 4 n 9 R X Q f H X + t R S w C 1 I s C V s T G x C a k 2 l s K L I P 1 V Z Z y 8 + B k c F e R M N + N L W 2 Y f e q I Z x 6 Y 8 F C R n Z H i t A 4 I x l N w W D J j d c M P Z 5 P G J W l Z H L I P g 7 P e K s 1 T y A s D 6 I K 3 M n T m I n g 7 5 B u J 8 L Q M z A T r 0 V h u B u c c D S l 4 G z K T j E T I 0 K E y w P I Y O m o D x 0 R 7 9 t K U 0 I 7 W D J 9 W L g y J 8 2 k 2 L c R Q W J O Z p Y 2 B 6 l 3 0 n C F J p j R b k E y I j 2 L v q Z G h J M n 5 Z r p D G 1 5 u e i V T E T y G Y J R q f C 8 A j U z c d 4 X Q 7 H h n Z Y O D I b 6 q d 0 5 0 0 B B / W M P T z E T I x y O Y t L r F T u h c w 3 w Q r A T P t Z T B Q e n x d B 9 g m Q 9 D Q U 1 q L D T t d N q v 2 6 G o Z X R G 8 n t W t j k b I O J H G u u X T 6 F f B I Q i M Z y f g b P e f E 4 M 7 b e + C 6 k i J l K v i 0 t I l R D m X N k v L n x B V R W l p K G 4 W T U D E L E T P y N x u W C r V w S N t 2 7 J W b S G U u k c U 5 O i j o O 8 i U E k s r G C T K 4 4 E q A t G 7 W T L q O 6 D S Z j k j M x P 3 N d f j m Q G V N A 5 q a 6 6 n L L H g 5 V I H X 9 2 a x e q d q r G Z g J o a a m R j F e 7 2 g M y M J + p F 8 0 R j 5 H p x p r M B q V z u C E t K q p K g 4 q f n o h O T A u Z q K O / L j 8 k A F u r I F C 7 s K Q c x F T j F r G N 5 D l T s 5 5 V g u f y f h 0 B q b C I c q U S 1 N X E q S 5 L r W P D B D c e r 0 V J H l F T q X W F I e G I i I 6 7 a + 8 R q u + N 2 v Y f u Q t E N i 2 b 3 3 S P 4 h a Z P s s e O o v + I y D H U c R v f + 7 T i 4 c T U 6 9 + Q i W 5 z 3 1 R P a J L b 8 V K P X 3 y X + T t X M p s E f I b N L D S 7 q 6 S k p g c v p o P c F Z k s 2 i c k + J 8 o W G p E g D c k E 5 y A 6 r H Z k o d e Q C J D X r y n J r r O h 3 n o u e i I b q U e l s X L w A l P x b m Z Y r L n l / D z n N R 6 X n i / m C w g B 5 L j m M m p j A f G o Y P K v J R O b v g 8 d R X x n C 0 r k l c y l J F T 0 Z h 3 G e z e I C r P 8 X A 2 X P i P G m d f Q F Z r R P A O i v g t P G z j 1 7 N O T x k z x j i f y f B x P Y K q K 0 I i V 0 8 n p G S p i m y R 5 j v C W j z h Q X 6 q B P T J G 9 D I z I 6 n h 7 8 4 J V 7 J v i L j k b T 4 4 n C j A z p 8 K V o t F q F m G W e s m s 0 v S I j N B W a s X 6 P X D 5 D T C U s o E P i I a L T Z y K 4 C + T 9 J m z u a C I Z V D v z n k v m f T z 5 6 d p D a T P S V n C H D 5 r s V X S 0 T F U S 0 u j Q u 5 n B Y n N f L A V D m I 2 u S J 0 T z I W Q S 8 c C 5 D 1 4 k E 0 r A 8 9 z w 0 g 0 N k 6 S S h d b u o 4 2 k Y 3 a T 9 W l s Q 3 b Q e l U 0 L U b 9 w B Z p P P h 8 t p 0 h O L P t S j E b 7 + S j L 2 2 a T N I G 7 F Z M R 6 n K F 4 E l I F a s j P o W E V F O e w + l c v C U e z k J X T W N B z W g f 1 6 C x J M c 5 n D 3 N G p v B m 5 w x h m R m 5 e k O z q h n 5 u F 6 f Y y + y G a x o p g 1 V T w T E j m E o r 9 m Q h F J X 2 a S n q + G b p u k N k k 1 6 o j 4 E 9 M F V s / O 2 9 F k P w z 3 4 M + h H 3 k K E 6 9 0 i q w L + i X M N h s m j 4 V x 8 M 0 f w 0 Z N 1 y v L 0 k n T z A T x p O J 7 m b W E j 0 V C V s 1 A h a D 7 J Z U A D w d 7 Z A g z V w m / 0 / U W k W F x w Y W V G D 7 c K x + b H a 4 m C 4 L 9 k h u k F c Q l r + i c a k x B V I m h t l m t R f L L 1 N D 1 S j a o s 0 E J O N D A G + X l z J Z 8 U z A y F o d 7 A X G g W u Q w h N 2 q N k F y x M N 0 X W 7 L Q B f u o T Z T 5 / O c U S a O I 6 8 G o V f q y R F 4 r 1 l p f o Y Z U y b c i K Q N + + m 0 w d h u u h Y d L 5 g 3 4 g q i t l I z h j / 1 S / D Z 2 8 j P Y X A T 2 V X d / O k v E C + Q A 0 p 9 w n N s 8 V g Y Y T L T G G x O F o I Z i V 8 M 1 l 6 N c p r K b N A k S V A Y J Z P R Z i X z r t 8 O E 1 k D Z J k i F E v i p C p + H q Z i u h Y J O I 6 o a t I q Q U f H q 4 l Z p X k 6 r c i n Z B N N q d d X a T w f J Y Y m V J t X w K S V N K G y z q w o Z g l a L S K / a Y k c o Q u l u H h n C e x j f x G f F Y y 2 P 0 + t p f + 4 P Z k a s U s H o / 6 t D e J v i k P o J H f 5 + 8 Z L H h b H p L V d M 4 F O F N 8 X C G H G L D U 8 p r J J C m i c / b t C N C y r R S I S R 9 9 + y b L g e 2 p i Z P E Q r X E e J b 9 P s 1 9 J j b a U S m 5 J c Z N v l g Y x H L o q k o h F 1 G G 3 N F O f b u i k A d S j 9 9 B O d O z d i v E + a g Q R L q d 9 T A x 2 4 c j W N z D S c x S D x w 6 h p 3 0 9 D I X 5 V w z 1 9 V k j y p + F X S 3 3 o S F 2 R A w S S 5 6 g L 4 m l 1 / F O 6 S p m l 3 + T z P D 1 p U f V y G H 7 O h J o N e Z T B b G p I 0 h q u B b r h S k T 7 p e k l + G k J Y I t o 1 2 S l j 0 0 Y o A 3 7 S R L q w Y 2 O c G 0 E K K 9 K r A Z k 7 d N S g E z M 0 E x M 2 T l k D 4 j 2 G O F q 1 l i h K N D S f L J D L I p S x f j Z 5 S 1 q 9 l s E v M 7 g Q k y d 9 P S d X V 0 i l 6 v E x q K s z A U h K J J R N N + G O W U J I Y 0 G T 8 D Z i X u H O y 8 Y T Y h V P 5 l x F N k w g / d S U L s O D x O a k h W Q 8 K A n v + 3 g + D e 4 r F 7 + r k X M T 7 p x 7 b 1 7 4 Y u G 8 L w a A C r X 3 0 D x 4 5 3 Y X S s y J x c Q l l L J R N B M Q j N V 9 D x c y B M o p h d G b U 7 w w j r h 1 D W l s K u l 4 + R h Z A k P 6 0 R v L U Q 5 1 H y e 7 F Z H d m j s X Q c 0 c n k z F E + d n 4 l j V W 8 4 V y Y n p 0 / b U 8 d M o 3 T t 7 v R h l w o K Z U m E 4 N k l j m Y a G V N y O W a Q o N B W Y P x I E q d P R d C C b J t V c 6 / R k T u J A Y 5 8 N Y B L L t Y W u 1 a C C Z q Y Y / P B J 5 T 0 3 v o m b k w f f 5 c T a c c 3 S t / 7 A X o i L 1 G P v R e j I 2 O 4 q w j B 8 F b + C t R t t n A 5 i n f f 8 Y 2 F I Z 5 5 U t 6 j 5 H Z W Z W G m c z m 8 b A W J l 0 G D o l 3 4 I / R S V m t 8 B 9 m m u N S o 3 N C j 5 b S f O 3 p S / b C b W h A J B K F 1 U p j w 8 S q T l 9 S 2 l t 4 / A S x / c G T U V M r z T N G E z q M / C Y t Q u U N r 6 w i c 8 d E o k 6 H z X d f C g 8 d b L n u D Z j G N i H r b i F r h s 8 6 Q b C 7 o h a q c y C U G k W C y 3 K T E N O x I G O x w k J W B W / I j V j C i G X V T u x / e R B L r y K F w p k K M g Y G h l B b W 0 3 + I S k N + d g 0 8 A x 0 M W Y K 9 q V F T T h D g D q I K F X N T J y x E P R J d q / C T I g P E D N 5 6 F z e U m Q S v m M J E q o a O G v Z n C O i Y G 0 o M x P P k X A U T 4 m S F Y K Z a V D 2 C 7 T h 3 i l m G j g 6 k M d M P M u P Z C 7 V Z i i o 0 g h q / 1 D J z p b z / w q Z i W G / 6 b 1 C S 1 l L T b D W l J A J l Y K f n s 3 f m U J 2 h M y E G f i J C 0 8 q Y I I v x k z M a A x / U j X x n B h D c C g q 8 g 9 L F u o E M z H K y M R V m I n h M m v g s s y P m R h N R U x R Z i Z G Q m M T j 6 F h X 7 p I J P I / Y S Z G 2 l B K l + X V B C S Q / q g F e 0 h 8 P y 3 5 T j x F s P X i S 9 H 4 S B a l z 7 a I a l m Z 6 g s F M + n 8 x 2 A Y X y + u I S B S i e a A Y t I x p v y i m c H F d J S V E g Z y H d T M Z J Q z / U v s P l R 7 R k l 7 d W D 5 t T W C m f Y 8 K + 0 G M 0 y u E z M T g 4 8 X H Y 5 0 P C 7 W f w Q 6 E 8 g k J s F 1 0 H w d k h P n q N f B Y N U h Y u u b R i W 8 P N j h l h 4 o y z s m M E w c y s w i 0 O 9 E h v w 1 W 5 O P b P 0 A w h H e 1 p F + r z K 3 S o l o r M Q 0 7 G d I K E K t M v N l q e P 7 Q 1 J k b f R I L n j B e V 4 V P O l q K C c N K p + r v g w N 7 h T R K J 0 v M 5 Q A a w s V K r 7 + V V F Q h N N a 7 D 2 3 k 1 O v Q z 3 5 T t l q I 2 l Y V v c c 5 Y o J b c K r W 5 V S A F W m 3 G R p s C 9 J Z l s M 8 U A c 6 U R S B D k Y C j O 4 z H J 7 a G A D o y 4 4 q i 3 Q G v X Y 0 m s U c 0 T K i x 8 j l s n N A c 6 E r k l Z g K i C D D N p x 8 H h E d H f / H V W 5 x S T p l K d d L o b 3 5 D L k M 0 F O Q Q n z O c C j L S v E p O 0 o n Y 4 p 6 a F p T Z V / / l 2 8 V d B k m R T 2 f 3 3 i v c c g G G k X Q u R L L u I f p y E P n Q I e h K + e t 8 2 2 A b / D m 2 U m K W I 3 5 N n m r J S k F O G i k G 4 C z I O 7 h h B I O Y g s 8 2 C R J B M a m L 0 h G r O z Z T m e 2 U F U / G r / l o S q O S g H t q 2 A X 3 9 w 8 J H 7 e k d 4 O 1 s v v v T m C + B 8 I A O 2 k w X t c c F r d 4 A c w m Z G C X k y J L z x p x n 5 j J Z w m n N Y j I h b U Z d C C W 0 y Z o q l Y 6 K D b J 8 x 7 M w l x l g c k t z T z q d j U y r C R j k 2 X l N a i J f q u Q h R w U d E z o a e C l s L h h C 7 4 J T 3 n V i 8 N g g a h Z J t v t B 8 m u q H C y N 6 V 7 y + I r f E I K x d p j 0 p X R / E g Y 8 + E q m s i i 1 R U z F t 2 P N J m z w H G z d d y L p P h t 7 U h 4 k j 3 o R P n 4 Q H U s W Y P O W H d D p y f Y O + N C 4 p A J 3 3 v 0 3 s X F B e 0 c P D h 4 6 B k 5 Y H w i U o 6 5 W g 9 1 + K 6 p L t Q h 3 h W A i b c c B D c 5 Y y F s G Q K Z n Z N S C / i w x K 7 W Z o 3 h u k 0 e 8 N C k z O e 0 G q S o s R 7 e o v W x y F i t 2 W 0 L 9 J K A q A z d M m p 2 3 r l E Q J 8 Z p 7 x 5 A c 0 O u r t 3 u / c e o / W Y M 9 I + i o q Q S f Z F t d O 8 6 6 h e J s L b t 2 I X 7 7 3 9 I b H 2 0 b / 8 B P E v + z w X n n y e E y C O P P Y G R 0 X H q D 6 N Y Q f v w I 4 9 i + / a d 0 I / + D V z l T L e L T K e X P C i P k x Q n h o l 8 5 T s k S E z Y d M l l q C G J l / V U w v 2 R 9 4 v 7 q J l C L F k 3 u J A x l k s v c y 2 S j j P I x 7 T D 2 v 5 u m L w P I e H 5 m H Q y + 6 P c V r I i e L M + 6 8 B D 5 F A 4 S A b T c x f Z z n O S G I P B q X L V F X T d Z A Z 6 N q E N W s S D R u j N O Y Z N y 4 K y 1 F A P K w l r K 1 l d z B e t C 5 r x x M N P o 6 T M I + W 5 z i d T Q k N m W 5 Y 0 T S Q 9 L l Z s z o b C z I m y V A J Z 2 0 n S B 5 Y o Y g Z f A d 2 a 6 8 m x S V g U G T E X w O H u v U M G t J I P w O u t U i A p Q j z D C Z 6 a e D 9 2 r h 3 H a d d M T 7 U X 1 5 e Z c j S k l S Y / 8 8 A y K o N s 5 B j x 9 B L l V C E R l Y w A + / H L x Q A d r H w U 4 V g 9 T q r M N 5 1 4 P s h I T B E m z c g F S u a D Q K c e h g b y j 9 T M R J p R k w q S P V 8 u y p v x X B K b r p y R w c + d J a e X K x y x m Z G l P t U Z V f Y f g e f l S q Y 0 + 9 y I k k l 5 5 M h h E n B a t L d 3 o G 3 R M i x b U E 4 a m A R C Z x c x w w 5 8 4 m M f n u o T K Z s 8 J + D m A 8 7 Y 3 / n 0 F S g l + W T 5 F X C c j r F X Z F q y G H V / / g U 5 9 W X Y Q D 4 q x z I 9 D 7 8 M V z 3 7 c S T Q R C K v T B s z 1 H K c 6 F m D s X 2 / x h m L g H D r C 6 R d S X i w 6 a Y O Z q l g G H k L a U c L M l Z p r V V h 8 G E a 6 P b j I y F U O p v I f 4 r D 4 A 6 S R W E W + 2 9 p O R m X y 1 q z I K D X K z u A F Q s s 6 B m m M Z q L o X h j 4 K x B s q G L N S I V 1 W N k I I i 6 B d L 2 9 d z p 2 a Q J B h N p g O 4 a k N Y W x 7 X Z K P E T m V O i s w g 8 N q x G 1 e a W A t E x W q H 6 B 2 N V q H a k p 1 J 9 t K F e Z O y 5 P K s 4 m X X H N + 7 P + V A 8 c c d m n Q o c V a t 1 S X a y Q K H j y h k G W g s R 9 B g 9 a z l J L N 4 D 1 w L T x A Z o B r 6 O a I a I r P Q R L G 6 S y g G P k k 9 W w f N Z M n i W 3 q m Y b S o w U x S r V s Z p S s w A 9 t E U 3 A s 0 6 C U T r d 4 Z w s S R D E q X k g a X z 2 N w I I b L B + p 5 D Y a s c f r D O 1 F j P X 3 m I I c K P L f U H 6 3 P e 3 7 e k N k p L 9 n O A 5 n i v F i Q E Q y F Y b d Z M Z m c P m / I 8 z Z u o 9 Q X s 2 H D Q 8 Q s P N x 0 K 9 3 b F y K 6 f o N Y K d d K J r Q m y Z s h m N B 3 1 Z X U S A 0 W b 1 h L b k U Y 7 l b J L 8 6 B a I p r s X O A T D W N w j s p c q V a R h X X U p 8 3 s r B 2 / w l 9 1 T f I n / M x W / 5 p k h l L r A o n F O Q X s u A f 9 8 8 S l F D A z M R z N T N x t H c s g f r 6 J r z 4 + N s Y 7 k p g 1 R N b x N K M v 9 z 6 b x w P 7 M L f / 3 4 f m U D d + O s / H s a t f 3 k E R 4 6 1 4 2 e / + A 0 O H D o q D W A e e J C J v 4 W U I c Y k o i + 1 Z s h 5 z + X N a Z L 5 2 R Y m 0 l 6 t J 7 G J w B K N p J u a m e T r T x G 7 y J C n 8 1 T M x E k d U j 6 g n g a N n E v 6 O z J B 5 i r 5 T C H 3 e d g 8 e A a O 9 K R x 4 A c 3 Y u v 2 X X j u + V V 5 z M Q o D I 0 r 2 D U g v y k A p y n V E Y G 7 2 o g j S C u 5 o 6 S d 9 B a U L b U g G e J y A L k L c i B G r 2 W K z J l v d e a F R Z k p T S Z H I b I 6 V 7 4 w I R R l J g Y x U y g s + R z M T D N r p D n J Z g r 8 K P r f k V + 3 Y a O 0 s E d e 7 8 Q m m 4 1 8 8 c U v / k s w k 4 T p u Y 6 C D t g P J 2 Z S k g J 2 P f d e 6 O l i b P m 7 T / 8 / e p 6 N 9 G H 6 s x e H Z o q Z z J F h N I z k 0 r 7 q x 9 5 k 6 p g R C j O N j Z H Q Z m Y S e a I S j L o 0 a j z E / D N q K F W o d D 6 m H q 9 H U e 9 P m y X 7 v s w p T W b 2 B z c L E 6 p e W 0 Y d y Q T P t 6 S X c C r p N 2 x e c b A h G 6 d W y x p M B s / + 8 2 b V d m N G D I 5 x b B N S F b l t X R Q E J w J w s G 0 h 5 t D I F K Q O F g 8 m b 2 r G R T 9 Y + w j w S J A G D F A b n Y p f o a Y d 0 p C 6 U A e Z C K R e y W z p b F m M Y x Y L r j q 0 n 4 V p U Z A S n v b d l m 4 T z m m a a S G i h K O j e i y q k A Z G Q 6 Z m l v o i y f M d J J S i p J W L 7 Y R R D G p m 0 h W b 1 y u C j s k w S u 3 j s O u r i G l l Y u Z g k j y X 5 P P 5 k L b m Z 8 0 w D G T 6 c J Z F L B q G 2 V K o U S R 0 7 3 0 A y Y H 7 x X v z b U Z 0 U v v Y W + N V v / 3 k m 9 W p M + r p u W N p I / m D X C p h h g 5 W Q B b I 1 q f e h z p q Y l 9 P B z T L 7 y I f 1 Y O y 0 q U k B I v P B U r g f t Q g G t q P i C F / U l e N h s l 1 8 J Z + Q l 6 r N z N 4 o S z P 7 w m I Z G T J B C 8 u a l J s m u V C p X M x E 4 O Z S S e n J z G 0 g 5 K t y q l N 1 b b T U W c j R 9 J M x / Q O Z P j m n D v F B M 7 a g q R o D P J n G R 0 T 3 L F Z U d + 8 e 1 L K a G Z + T Z W e J g i + E B 0 b Z W 2 n d 2 I 8 X o q 0 v p J 4 h u 4 j p 0 l N M R N D j k Y J Z l J J G Y a 1 5 y 6 0 T 5 g k Z m J o 9 Y h e e i 3 a 3 n M d E X x B x I g Z k 4 i h c 0 I 3 x U w c 8 u f 8 v C O j h j m Z i c H M x P 4 R g 5 l p I t a O 8 Z Q Z s a E I 3 F Y N O d e T U + F 1 J Y o W S 0 8 f N h 0 x o P S a H z M x L N Z j 8 K f 6 c h n m D G Y m f q 7 E E N y c Z k W E X g j e N o c t l p m Y i d G 9 5 3 5 x G d 2 D R P h O B z i w r I g G Z q a B 6 A 4 S l P T c 1 P + G 8 a 2 I 9 Y d x 6 I X L 4 d z f A M e R X A 3 3 Q r z 9 x P t Q U U I + a z g C g 7 0 V T e H b o T / 2 o z m Y i S E N 0 G z M x O j 1 r I Q l M X f K k c J M C Y 7 Y E p 2 l w p I 5 M j U y v K f O l N p U R U T m d N 5 U U N Z I G a I p W B a F p d / q S 6 T Z Z O 5 O 2 W H U q g I T X L q X I U w 6 O a e Q 0 c q r Q a k T O A V n W R U v a S A t R B q F U 0 Z 0 A X Z v 1 S D n k K Q 5 o 3 N S L 7 K V + X w 2 d x T J M S N E 5 F K C o f d + R B q / g r a C z b S W 3 n c H 2 n 7 9 W + w Z D Y o l 4 L z 7 t 8 i J E 5 F C A 1 p K c w x e k m 0 X + X m L K 3 K h / L k Q z Y a h m 5 S m A H g d D p u 5 z n o r o t E 4 X n 5 9 F 3 b t 3 g 1 / M I K 7 / 3 4 P 9 E Y z 9 u 7 e g d 7 + Q e z c s x + B c F S 8 u K + k V w 4 R R W n J B U o K w Z k i 5 Z r T p h h 1 C v x Z 3 v u 3 1 N r A v S v e F 4 L H t x h 9 8 E r q R f c B r j / T h 0 G 6 / b i U k L p Q 2 V y N G L L W c g Y x M m l F 6 v 9 k x Q X Q Z h w I R i T J I d K u i i A a 6 B U t Y e E 9 6 Y u g l n m f P o v 9 q O a B b J F F s c J n k q d i G J w B R L J Q L p Y z N 4 z y c n u 9 j c z S p E 8 y + T T R T m Q t L X R h e i D B F N I N Y m k f w q n p K r 8 Y O P B g J m l t I O 0 R 8 b m Q K Z N G k y f L H B q y x 1 U V c H j W n / 2 I q S j X H A s c G R y l K 7 F y V I U t 7 a h Y e y M g O 9 J H N h z F o g s W T p k M g w G d W P A 3 K 1 S O p W 3 g T k x U f U 3 M D f G y + u n g w d a K W X X e Y X 1 e k E 1 L D s + m M n F U W O R o J 4 G J m F e M j o Y M Y r G f t 2 s t S p o v x d Y e I 8 5 u k P o u 1 G 2 E v S l n y s 0 I L l b C z y L n S 6 o R S k 3 A z v 5 X k e B P i A M P v E M i Y S R 6 E L r s c p Q R M 4 9 Q X 1 d O R U S z m E i Q + U t q k q v g M v q 6 J l D X x M t h 8 h m Y 4 T G 2 4 O 2 V V 6 C R o 5 H 0 u f L B f 6 H r f z 5 B b c x g 0 c Y N 0 k k q h F O j s G r L s e m B F W i q L 0 W C T G 3 W P P W X T 2 e S j Q 9 d R E y k w 2 B / N 4 z 2 J m H 2 u U + 6 B Z b K y + U z i o O 3 f + U l 9 s e 2 b U B 5 0 w I k r b n J X I + x t e h z m I a e R L x a D u P P E 2 K d F t c P E M z E E J K K L s 6 x f 8 J 8 m Y n B j d I n E 4 j 0 t y H p i W N S X j e U 5 K R N d T k p A s / 6 m 3 U S 0 W o 4 o 3 o O Z m L w M m P e B I B f / p R F b O o l w M R C Z t L i C x f h 4 L r c c o n C f X 9 4 N S X v B 5 Q H Z i b S i n Z i p n D d V + k Z s g i R F m S m 5 V c + q G / S k f k z E 0 O W / L w 2 r F L L T m y O w Q P B M N n h G c Q n e + g 0 I 1 7 Z M o a j x z p x c l U E e / c f p I 4 b R y x C T E J W g 4 b 8 m k S c B A d b E G y i y p Y E P 5 M A + z / M T L I m Y u G j w K 4 n n 7 V Y J J W g M B P X f e C M A W Y m h s J M X P m H m Y m R 1 e U k d n 1 z K V L S b g L T w H O U X B C T z 4 6 S 9 D Y 2 N W H h 6 2 u w a I M q 4 0 E F m 7 6 C r O Y 0 U t p S h O 7 q R n I P U H v J y / K 3 O e x 6 k V c e c 0 k 6 1 g Z N Y m d E H q O 5 m I n B i z Z T i S S c i z x I W L x T z J S i + 8 7 k s z E z a S N E m 6 q s 9 L n A C e T a o r X i T F X k c O a v 5 S m G B / / + C m k k F x z Q w 6 O x w a 8 h 4 t Y T U 1 H j T T o T v O F K k s J 6 k V K k + A E K O K N B r G m S M 6 q L Q Z P M p Y 4 o W Q V M 5 + z 7 6 J N S / W 0 6 i + x F U t t 0 b t q f m 7 N g s y m T y h E B F y J R L d O a g n l k F U K 1 X x X v u T i S y B q g S / J r z 0 A B I f K E I 2 l h T i o 9 U f C u g T y f J 5 A K w m F J w 2 z S o 7 S 6 A f a J O 3 D m J R d j 0 c I W W O j Y K T T w 7 F v q m c C J G T h r f j h S Q h a D Z C K F i P h 5 t p 4 j h X l g M y 2 b n D b f x v u y q 8 H + K E t T Z S 1 W u X k J y s y y z y g j S 8 w Z I Y Z S k C z w H 9 k p Z 7 D G L s T C W 7 4 E 8 y + / i o V v S L X J R Y G X G Q i X s e P i K 7 H k n 1 k 4 t s b h W t d G 2 k T l 5 / A k N n F O Y L I X b i K v v t 5 O e O g v u + s 1 l y r R w d n B h X L Y N O X J d D W 4 U l e K i C K e S I l X I T J W o k 1 y M U z D 0 x l 8 J h S N 8 n E F I m 9 C S V k v D u b s Z M C J t 9 / e j K b m R q x 6 4 R W 4 S 9 y o q 6 t B X 9 + A q J Z 6 1 b U r k d J 5 h Z 0 6 R k z F S y 5 Y q n R 7 d a h z k s b R 0 a A k J 6 E h f 6 Q Y Y / F S 7 y z 5 F F x 6 O J V c T h o m V 6 H T 3 v M n h B r z S 1 6 N t J P / 0 k C 9 z Q S k 5 y A E n V u w 2 R h n Y 3 O R T U 6 s N U x s R a L y U r q R / G U R M B N O x o Y R T o R J c p e K i C f n e D k s S + Q z T g C y C d g f 2 o 4 6 + 5 n i E M 9 J V Y 7 d T k w t P Q s v S u R 1 R v 7 O M F w t + d q Q 1 1 K p C 4 I w e P 0 V C 4 t p z F U A T b y P + r J e V O Y t L f W g m 3 5 X L L 8 v m x z G Z D Y / / a o Y e B E p T w r P h p n M K T U 4 x 2 / 7 B Z e i u r u T L B k T 6 j o L / G P y S 3 Z c 9 h 7 Y v 0 s + t H 8 c a V 2 Z V G + i + j K U L v u h f N J 0 F P P t b M k o w k W C E h 6 i z w Q x F P t m B i V y V w D 7 2 D 8 Q K v + 8 / G l m T G M o t m l j 0 + a H p s O Y T i L B W + + r w I E B g 4 7 U a 8 F s d S k v h 4 8 N w t 7 L 6 4 o 0 2 N T e h h X X 3 E P i T Z k V z 4 c k y Y n 5 i A B 6 Q 5 t R Z T 0 N + w Y d O K M u 5 0 8 4 x v + C f v t X R P q O N x T F i j p J m + x + e g C n 3 l S Q p U w C w t b / V 2 T j G S T K L k L K d T J J X J L 0 R M w l + l F q g 2 q S t w j G a X C 4 I L T a O d d D B 5 e p W f 4 0 H e p w + B R m q M x j 7 / g t / H X f I s m s R y z j R X r S C n u F B c E u E x y q n R 1 m w 7 F x P R a q g y m s 3 e U p A w a H 1 b V k g j G B 8 1 I O f 9 w w j T l 9 J E T T L I Q I B j I t k 6 q A z f z A / S P 1 k 0 a W U i x M / Y k + u E S a 2 H R s O f 8 S N B B f p j o 6 Y T p l B e r v / 7 r Y A V E g F U D s 2 H Y c / M o v U E u 0 1 f n p J O p F U j W Z n V f M H o h I Z x I i m 3 6 + Y K b i 1 c R c m 3 9 G k D Y w D z y O W N 2 H 5 I 9 s z e Q L l b x P 7 D w z M 0 1 M k q m U t m H r 3 n b 4 x 5 P w e z O I h J l J 6 G Y Z A 5 J x M 4 b k w u l j Y y l 4 f R m y 9 8 2 I e d 2 Y D O i Q i J n k 8 x V o i P u l z m Y E J 9 u R j f Y U Z S Y G T + Q x M 3 H A o c F + L q I J S x 4 z M d I x o 5 i j a b C N C m b i C V 9 r 9 9 0 4 7 d w j i A 4 d J 9 9 s E j r v A X H u Y N C A c P 1 X E W n + J L a G z q J m 6 I R U F 6 k 6 Z F o p K 1 3 X d 8 p z M Q Q 2 i 1 i b j k S 7 R K s L I 1 1 c 5 p G l o F d V Z 0 G N a c z E v y 9 g J q 5 8 x A g 3 f k U k 3 2 q 0 R M 5 + M y w l U n u Y m X z d O Z O K g z k z o a k k / 3 5 Z 8 k 0 G B q R C j s x M H F J X t A U n c h Y y 0 z A 9 p 8 J M j H Q + a c w T 0 v U V Z r J q K 7 H / 0 B E S P A 3 C Z 2 Q t I L 6 l d v A r w 3 N n G S 0 S x E x w u V D 5 8 o t I O k 9 F I C Y 9 y / Z n 3 w t r z 6 d w 3 n c 7 c f i y D u o j a d f 7 u Z i J k c z K K w l m A Q f S F H A A b l Z m Y l C b m Z k 0 8 U m Y h 5 6 e x k w M L a + T 4 R Q Z h k Q 0 G p R 5 j C Q t E z h 7 x Q K 4 y 0 0 o o c 8 2 2 S 7 X a Z M w m p M o 5 w R P u m B l h R m l L g O s t i Q s 5 S G 4 3 T q Y T B n 6 r D J B y I x I k w l 2 n H w 8 f v F z r H 3 8 k / K X s y A 1 L j q Q l 3 Q U I q 2 T t J B l 7 C X B P F m D A 5 G m m 5 G t u Q z H t t r J h P Q g Y 5 P m J m r I v B T Q u X B q r S o c y i l I B G U v 3 4 t a 4 i J N a S z a S y Z v O z n Y 7 e S 7 z W 5 K c b p / N C w x r o J j Y 5 J k Z 3 M x M f X z 6 c / A Z c T C M c D f 4 0 S g P w h S + r A 4 S A J z R V U Z X A n I J 9 c s 4 G D O T E j G w g i G g q I A K I M J t r a 2 X p Q F i N A x 3 v a l M H y e T Q f h j R / D B D 0 n m 9 9 J j h b K K F w T 9 E 5 g M 7 n R S c z C u 2 + w w / 7 y K 6 + K L W h e f G k 1 X l i 1 G m v P v Q D 6 8 S F B d e b z p R I C W X M p a o b v J C F K b S B N O m h u x Z G + O h j a W l F J r q X O P P t S E l E f g m D W S d F b B g c l m L a D 8 d w y / o A 3 K v p I Q e Q E A n B Z k w e x 6 p v E e 8 v Y E 9 C G e m D v u w 2 m s V d y J l 8 w N U i D n + N q c z q B G B f r J 6 R I Q 6 z f u Q U O m x 3 + c A A L G h e R T x P D q H e C n L k 4 L j 5 9 O Y z D r U j W F p + z 4 o C b y 0 x + 1 L 5 f I z w k 1 Y c 7 T l a d / Q E N z n 1 z L e z H p U V 8 r + / U 4 p w P y X M V D D m c z v 6 X k O Z 0 H b F I j t S 5 Y / B O B O u + L Y I b H H 5 X 9 Y 2 Q P E c 3 t 2 P J K Q l k 5 c I i 6 e Q o k l o P d b R e r I / i / M C p r I A i g q m Y D R 6 K k y l m K i 7 5 z C T R b a Y W I Q C 0 G i J 8 M p k O D R t w U t k E v a f P R W o d 8 F a e L l 8 U r m Y 5 + E H t 5 u U d x S Z n f R 1 x W C o 0 M D m m f 8 c m H G s d N Y r m E Y o I Y Z z + + D E J L k b D m k I M v 0 C A d 1 4 n u K i t 8 6 m 7 y I G N c D A G h 8 s q X A W O 2 K k x W 1 5 c 6 M h R 7 P 3 U F 1 D d 0 w l 9 Q z 0 a t m w S x 2 N p P 2 y h Q b z 1 4 p f Q K F u s H Q c n 0 b h Y C j j N V F q s G I r O k V E f 8 9 T O m D e O E n n Z u g L W r M W q d Z 0 I h B j i A I S a m R g K M z G c W i 8 u P X c F z j y 5 F Z e f e y o a a 6 x o b f T g 3 F M W 4 r r T W p H t 9 8 z I T A y O V r N p V L H k s 4 g R A 8 R J 4 J Z z z I M e 7 u C X P y u d R G C b d K z r V f k T Q Q 6 n d 4 z r s D C z G c v S 9 8 M 8 / C S 1 2 g i f 4 3 3 i O y t p F 6 6 b o A Z L n m Q s j a w l V y R F R 4 y T I X O V z y 1 X t K e c Y l M I b 0 K J I O a j G D P F k 9 J 8 W E z M U z E z i X + p E U a c V E 0 f O B O E C F Q T J 3 9 R B Q 5 G i F N T u X 7 m A I N S 8 r g Q z h a T Y K a J o 9 M D B s V q 1 C n M x H N K U 2 C f S G s T z C Q + q p i J V w k 4 T Z X i x Q S n R m T s M O q 6 / w e G g g w C v i 8 z k 0 C y 2 P K I 4 s t 8 G P s + / 0 U 4 A y H R a 7 U v v S A d T I y T w H M h u O Z v Q r t z K f g j G z u h K y V r g 5 r a d N X r 0 n n / A Z g 2 U l o 9 q p 3 T + 4 y 1 m L r N a p N w v t A y F x f W F V d W K i q I 6 I t n G 9 h S U Y T G q q F t l G b C Z 0 O J u U W E f x d f t x b u 2 4 D q d U k k o + P w 7 z u K 4 3 0 Z d P S z 9 E z h + N u / l H 9 B Y D V M 2 m h F 6 V b E P G d i R / a T G C v 5 o N B c 9 n A u I T I l L y R U Y / m l i 7 H 3 O b l d c i k x Z j 6 e i 1 J C 8 I w g R 7 X I d + R + U F 5 c F n m + M B m k 1 C Y G b 6 k 5 E 7 I m l b 9 I / c s T 2 / V c t U h m U s 6 m b y 4 l z 0 V + F G Y 4 N Z T j p Y v s C H T l B 4 M U 0 4 W 3 x i x E b o J W g j d R m G U i Q d Q 1 J 4 K y p u N I E M G p 0 b f h N + g h 5 Z W O T c 8 0 U G C z 5 N Y w K R B F S o s g 0 t X F s h Q m 7 y j 0 z U 3 E M H J C M w e H 4 o P Y d 9 t a V J N C Y i 1 r b G 1 B W U m M Z I G d n p O k h G y m z w W e Q 5 s N M Y 7 2 h Y t Z G z k m 0 s Z m F g g z Q e v U V 8 K u q 0 R i I C 4 a r A 9 a o E 2 U 0 z i 7 0 L V 2 J 9 z 6 O m Q G D d D 1 N C L T b U d m w g h 9 3 w I R 0 U v T Q G q q f T D E v G g c f Q 6 W o L K b Q R a V o + t Q N 7 w K W h q g M l H j R h o k 8 9 B P s O B u P x p v 6 Y X r Q t I Y d L z r p 1 x j T o f m G i I U k q I b / 3 2 J x O T 6 M n L U D b C R 9 j S Q w 3 h S Z U r 4 H a y 5 N C m y 9 + U J S 7 N B R T T E Z K m 4 l / 7 G 8 f d e 0 m R k p n 3 j 3 t y C Q W a q 9 a p N h r N p H 7 X 2 x C W R g t F A L k I 4 Q Z p N k X D M m D 6 Z k a d B p G J J s M l 8 l r f Q k K A u n F k I Z 1 O + w F P Q 2 J C b e s i X r i R I I g e F r y S t z S 0 O j s 3 x m B a C S 3 t F q b s z z m J r z m Z D 8 X v t + s S n Y R o Z F 7 3 e y N v X K P t e M U w 1 W P H p a 6 D 9 Z z k G x 7 N i v y l O U W q 9 g P O Y C K q V A o o A 9 E W P I J u c m P r M r 2 K 1 9 6 f B Z o W F l A K D U 4 7 Y R F W b f F M V u p g W Z d 9 M Z K X I 1 k g x a A O p E Y T S I z D W m m g Q 0 k g 5 o o g Z f U i O 2 d B 4 8 o X w p f q h r U k i 3 d g D b V M I 2 t I E x i x 7 y P F u I b N Q I s y Y o R T t n v c h 6 l B C o x q M V K x E f 9 X 1 K D E 1 Q E v + l m 3 k H 7 D 0 P 4 q U 6 U Y c G 3 W h m 5 z N 8 G l 2 V I c 4 S p Z F 5 0 + J r I n 5 m s v p H t k Q B n b 8 k Q 5 z D W t i G s / F 4 h w 1 R I L t F F Q D R 0 y m 5 0 R J G o R v f K A M w 2 N + f O i c H A M x L s r f Z P g / Q o U z J z H Z h O I F i 5 0 k e R n k 5 o u / h e C y y Q z e D F l n k p 6 D y w h L g 1 U c S i R S g N 4 G B m a e w W f t x r U v I l F m o u M i 2 y F U p A x 0 I X j j s x r 3 B B p U 8 1 O p I P k 0 J M y V w J U C x d 8 q h m Q u E j M N I 6 t X w 8 A a O k i C u L W R h o n a V V D L w / L Z 3 y P x 8 Q s l P 4 6 G v e 3 q 1 b l s H h n K t k W M N G n U y c z 0 W o D z Q Z S s L 0 s 6 B p e h e F h f g D V j R u 4 T k Z V P V D N V w 5 L u K y a f m e k K 1 k O x U M t M 0 g D T 0 U z j I L R l x V S i R N q L q n M L z 3 S 6 D A z 6 F D 1 k 7 n I 8 O K L e m 8 6 B t L 0 F 4 c r P I 1 r 7 Y a Q 8 p 8 P W I F V j b a n V Y e Q 7 C 2 H 0 k U O l 0 c K / J w H e Q 0 h v c q D n 2 G o 6 p k c q m R T R H k X g K n 9 j d R + B f U C q O z 4 T F l a n s a R 8 A P p O K Z W q G J L / h W h W I V x W a R 5 v J q e c a 5 B n U l m E B y N T s / e i j L C y h I I G R 5 0 l w u D g i x r O W g v 8 3 T l z U x T 8 5 M W V i Q H y P w 6 j N + C F j o M h M 2 g J N W x y e k 3 g r e 3 Y c 3 A U + w 4 O w C S b / Z 3 f + Q O S R E u m 1 o / R l X L X Y l 9 L Q B 4 P N Q x c p p e O l x h p 3 O X 1 V Q q O / P p 3 S P U O I U v P 3 b K + e D o S Q 7 f p b S y 4 l 5 j r T h u 0 S t 6 m C r w p W j F w 7 m h K X Z 9 w D n A K V Z S u H 4 8 W N 4 W n U F i r U g k y G U h 4 c w Y N M x 3 R 0 h Q 1 G S P U g S k 6 4 J m 7 M a 4 S 6 e K F v o a O o 1 s E P W k a g 9 Y F u 7 z S d w o 8 H v S y t 3 y a i M c s m I M 3 1 Y p 9 v x X x 8 C j G X 7 C L g J i o O E V E t e H f K 6 V E Y N V L V D C S 3 4 f q v g H 7 8 B 1 5 3 3 c P j E r L 5 P m H 9 H / W 3 I S G 0 8 i 0 J K Z U n y d e p E 3 + G + H h H H L U p d T 9 L g Z v e 5 w Y K g F n 4 w w 5 j F x g n 3 P z u P 2 8 x C H t h S X L Z h G N k a r 9 X K t v 8 l g M U V + c f L R q 9 I b L M Y E o I u R T O v V B 0 k r T s w I K Y S Q f N U q M z P 7 T w F / / D e 0 d t 6 L E 7 U J c N k u b / / d m G J 6 s h 7 X h S j q D x 7 e A g 6 g d W h p I f l m J k J m g S z R W E i b N Z E Z p Y b P l I m k 9 D z w k 6 v G 5 S E i a l i + j 3 / K D F M e i 2 x 5 F 3 e q n U b r q J f l I P k T / c l M K X j w Z z U v V t R n S F k x g B d + r X 1 x L o s L W J g S f m Z c r s b Y p h l k s h 0 J o O o b e z m r 7 6 5 G p K 7 6 b 2 0 w Y D z q J o T Q o t Q V I Q 3 E L J X C H O i 3 z 2 x 5 l 4 A 0 p X N 5 F t G I Y i C H 5 k i S J G n 8 s / o j j F m c j z n y X t F C t d 2 A E 6 9 9 6 E z f d 9 F 6 8 + e Z b 2 L Z t O x Y t W k Q M m M G e I x O i F n h V Z R V W 1 l R h w O H C 0 S O H o D c Y M B I 7 F Q 6 b D h a H F V e e r h P z R A v L S R g Q 0 0 7 M k W I 1 E 7 a t 6 8 C Z 5 6 9 A K p E R 1 Y 5 K S h 1 k F s X B w V G D x o F E M g q T 3 g a H 3 S 0 q C X F x f N 5 4 b n B g H G + u f w P X 3 / i e q f m v + Y I j l F z J i f 2 t b M p H C j w 3 1 8 I Y j 3 Y g O 0 D S S J v C m F 2 P S l f O H E 2 S Q D G o Q u u s b W J D Y Z h t T k T C A a Q i E X j / + i C M R 4 7 C 8 q d f k r A l s z G R J L r L o n x p k 8 g 8 U M C a L 1 1 E E D F T c s Y B v y u G r R / / J I x v r K U x M W J 5 z 8 x R Y Q W 6 j o e Q b v 2 4 / C k f P N 8 0 o 4 9 a B I L h p 5 Y H a R C S N Y 5 T 3 0 j W l T r I w 2 O i a j + b c q x 9 Z g H v r 6 W U o N M k D v 0 8 G 4 8 Z M F r N f k o + e N c + X c H E 5 l C f D 9 X 1 + Q O p h o d + o 7 H M n J J T i P 7 X c 0 x V + c d O j D h b y P L x o u H 7 0 q R s J x 2 / 6 O O v Y 2 e / B W c 1 Z c U S b U 4 R 4 Q V e v E x d h I z p o T O B I 5 h M V q H m h v e Q p k y j 9 4 k n k E n a U V 6 T x k u 7 7 P B H U m h + 7 G + 4 z D m A N T f / C R e 0 k N Q h I p k 4 g f Q U B f 6 x F C x G t 6 j q U 1 N b h b 7 e Q X g n J 3 H N d V f A U a L F A / c 8 j 8 9 9 9 n N i 4 + y L L r k I L q c L D f W 1 S P q y 2 H 1 8 t 9 i g + 9 1 X n o r e a J 1 Y O 8 V F a B h H R n V Y X J E W W e R K b t 7 e A Q M q 9 f 0 k K H J p R D n I g x / v J 5 u s T j j j C t K j Z u g q J G t j f C Q I r U M P C z G U Z W q X v y z M B h e Z c x E Y D Q 5 R p c p A G o 0 3 n D O y i Z U g A Q c n m R t B x J N B 0 p R z M 7 9 D 0 0 I a y Y p U K k 5 K l u i A N G 0 q I U l 3 H i e e t x r 8 w S 3 Q t j S h + g u f x x N P P o s P f e j 9 g n z T a c n a U d / H 1 n s 7 w g 2 8 t 2 5 x i O e d u 1 m z w p y t I h + x i K W Q C t K z c 1 7 o i U F o K K 7 r L P a k n Q c K l 7 o X Y r b J v G L g u a f + 1 y 8 T 7 9 s H A f c f y I H 2 t K L u G + S w O 7 S C 0 b i P 3 Z d v x C m c 5 U B m A p d 5 5 m 0 / G R w y 5 k H Q + o 8 g 4 1 q M o Y t W o u o D 9 K O m M P b g E p x 6 / U P i v B 1 P H 8 M l d 9 7 M D 4 D n z C 5 c / t p z 4 v h k / D i N y c z P 8 0 6 h 7 o d A X w T 2 W j J D Z H + J w b t E 8 H 5 V x T A a A i p m s A Z n B E l f f 2 q c T N 2 4 8 I n C J I H T A Q N 0 T q m f + n s m S b g 4 Y C F B Z K b x j h T x S x g W 0 r J R O d g 0 X 1 j I J N K b m q D X 2 P D i q p c R D o V R X l a K o 8 f b 8 Z 5 3 3 4 g t W 7 f j A + / n t U V p H D l 0 B G V k R X j c T v Q P D i E Q C J D / E s W 4 S N o t x a m n 5 A q W q i s D F 4 K D E s K P m o G h J q O S / + 8 p E s 5 X I x 4 0 o 6 Z 8 5 h U P S l X h O c E + J 5 n J u q 9 / 5 z M / Z Z W m T 0 a Q K U h 2 L Q T P i p v M 0 j k G j R 1 r X 9 6 J h Y u a 4 R 1 N Y f W L G 3 D B K W d A S x 1 w I h N i Y g 6 F X j H v H j j p 2 U d X e J D Y M I L I L g e c F x E j E W H 5 i M D G d 9 y C x j O / h U c f f Q w N j Y 3 o 6 O z G 4 0 8 8 R R o r i g 0 b 3 8 b y M y / B e M S I j m Q p m h u f p U 7 Q o G M s i 4 Z T y F 8 j 6 K 1 p B E c G M N L X B 1 8 y h q Z P S 6 l P Z u o s Z R 9 c t d P 9 n 4 L r t j G 8 R 5 N w t 5 i l 5 y Q E Y l I t P Q 0 H A o j o B 8 c C s F v z d y O 3 y b K N a 5 H z n s Q K u F e L t Z D 7 m 8 P / 8 U y A f E 4 t 9 C S k e P J S b 0 g h H d J D Y 8 r C 6 b Z A T 1 q D I 2 e 8 R m 0 m 8 P d 8 D Q U O I u o E C V u O h P E 1 i 8 F l X k x W A T 8 D s H j R A i x f v h S t r c 0 4 6 8 z T 4 S Q z f N H C N o y O j s B E 5 r f B X w Y 3 T 4 / Q 0 z g d N m I 8 D 6 q q K t H C W q u K H f 3 c U 2 b o m o 7 x v y J h k z L z 1 e A w 9 0 x z T Y E 4 t T W t h 9 1 I d C 3 X 0 5 s J 4 U g A J Y 5 K 3 H b 7 n W h q b s H 2 H b v Q 1 d 0 r G H z X 7 r 0 I x 7 I k E L Z h y e L 8 n V Q k y E G f J D O d J A G F h u I 3 d f 3 P o b 8 u t z f q X H j 4 n 2 t w y c U X Y 2 C g F 1 1 d f b j y y i t R U V F O P s 5 6 X H / d 1 f J Z 8 0 f P a 5 c J b d X N d Q 3 7 Y 8 i 8 a h Z d W / 0 1 K Z p 4 l F w 8 S 9 1 1 c J x 9 H 8 5 q 4 D k z L Z m f x H i j E Q T 6 s 7 C X 6 x F w x O F L N 6 H u q y t h / n g X 2 k c 1 s C w 4 F e d + 4 H l x D f + 4 H 5 P v f T d i y S w W r l s N n Z 6 I W l 9 C h O h H N D E K i 7 k K E T + Z X A N D i I Y j 2 L l r D z 7 y y a t w e M 8 Q B o e G B X G f f v p p M J u N + N e / H s Q H P / h + 7 N m z F y e f v F z s b P / 6 6 2 v p / T J U V Z e j r b k N A 0 N J 1 F b r 0 U e + n 7 u s O r 8 O O s 9 r y L U c e I M 1 3 h N q J g w F t K h 2 Z s T i R y 5 W 6 Q u n 4 S a f k J H l i U 7 S T h M k s d W Z D w r S k 0 b o S h L Q R b J I c T B K x b g n C l 0 m P V X w U U E p Z 5 H z U v Z 5 Y v J 4 E J 4 F + a Y U m 4 I R E o x 2 Y r B C x M J B 8 v N m N r 3 G I 4 d Q 3 / d Z J A 1 1 G K n 5 t X x 0 / u C E 3 W q n X H S V a I o 3 i O M + 0 i b 6 k N E 6 o D G W I J l M k z C a 7 j P m g e f S y I + a Y i j G g L c C Z y X u x 0 D l t f K R H K y h X r g T 7 R j 0 X C o + 7 3 q 7 R 0 i 8 0 8 9 e h D d e 2 Y n 3 v v d G G l 2 S l P P Q T u 3 j e l G 3 g Y t E c t a 3 M s Z d q y V / i p m q 7 L 4 + e F E P b U k M 5 R 8 b A P G C e N W 3 b o K n W Y u 6 x Z W k D b W i e i e D N 1 O z j a 5 D s u p C I N K P z n 9 f C H a j + y J u X P H N f a K o x + a X d 2 P p 8 Q 0 I v L I a i z a 8 i b H Y M Z T r y I m X S 4 9 x R 4 b T Y 4 i x O a Z 6 D u 5 o / q w n S c 2 R T W Z 8 h p Z U P M / d K Z k m 6 Y y B z k m J s m c a c h 1 c + n r E 6 T / e y 3 U a V M 4 u p 9 l w z b d A M E B / y R y L J b C A J P x s 8 P s D G O 3 Y g / p F y 2 F 2 O B G L B x G F D 6 F O n 6 j s G v K N w 7 1 E 8 r s M f Q s R M / b C G K 9 F o v I Q d D z 3 U w S s h T i E P B N M R G D a 5 N j U O X Z N F Y x G C 8 n o 2 b X A T O B o r F n V F l 6 G X 2 n J b e r G 2 8 V k 9 W 6 Y h 5 9 G r E 6 y N N T g B N p 9 L 3 0 U l 5 x E 5 9 F / X b W P i G U 5 N u P M c 3 S F 4 G E u s 0 x 3 U 3 q D m 2 k s r a i x r Z C P z A 9 5 D M V R O 9 6 4 q 7 b v R R I 6 O m j N Z C K Q v d X X c J N Y r q 3 n n B 1 q g W d s L x 5 Y R 0 5 r M i n s X o + n F F d e c Q U 5 l s k p 3 2 Y 2 c G W g X P 1 y C R w p y R C H d 7 0 i B y m I q S p v 7 c A E + V M V n / e S O T p B P h Z x H l l n Z 3 9 v A F X O N C K R C K x W x U b m x 8 h J 3 4 6 r r 0 P m X f s R I S 0 w a W n C y k + 8 g f 3 P T W L 5 u w v s Y Z 6 U U 5 X + D S Q H Y T d U E l P Q 8 6 V D i G V y d Q C r S F B a N E N Y 8 / i f 0 H b N 7 + S j 0 x E d c c B c H h Q D F a P u 4 K p I J 1 X l B 3 f U O N G q r 4 x 4 e B 9 C Z F 6 n U i k R o F G Q 8 4 G 4 L / K F W z J O b Z h w w l A V J m k g H 5 T B 4 X M 2 7 U 4 E l h Q x o E h L 0 5 L P W L A v b R F 4 O y I o a Z 3 d p + E 2 Z 1 N c p 9 A h p j o i 5 F + V R P c h V X 6 e J H h I W H E Z B E V h c L q X v + c Z p K s 5 i 0 M a f 2 Y q A w m 2 Y g h E 7 b C b e W 6 M a V 3 q 8 1 J e 8 T 0 N + f Q 0 X + Q x 1 E w o X J 3 J / l b K I H W M 4 n x L U n x u o t g z a M A p N d O Z T h P p R t b a R I I 7 j v b V V / M c G b p J i 8 Z v 6 4 b R V o + a r 0 k J q 8 c O k M S d c O P 6 f + y D 1 + d D C Z e 6 I t i 7 f o t Q 8 w / E e w V H X 7 o U R m 0 G X S M a r P y f N d i 1 e j 9 O v / Z U + V s Z R E i T y T 4 c G W r B O Y 1 c X a m 4 H y l 2 / 0 s E 0 X 3 8 J Q z u / B v O + t j z i J M m 4 4 w E N f S 9 r U g 1 S G Z q K q W H R d 9 E P l O E p J 0 B o e Q Q U v I M P 2 d 6 e 0 y N N P h R 4 f t w W N 0 9 w y K 8 Q s S i h x B W E f 9 g n x c 1 9 T O b j N P A I 9 5 D j n i T l P v H h f D j q m T o 2 c C + i V 6 X o t + Q 7 i 0 I X n h M z U S C M 2 s r 3 z F 6 x o U F n K w g E 0 c 2 3 g 2 N n N A 8 P D K K q k p V 8 j L 5 c p g h Q B H m + h v p 2 U v d J U L D 8 G 7 + H k 5 f C P Q 3 P i g f J f p K k Z 9 m a J w y x 7 l U g z r X 8 0 T A S m F e P 5 0 c y 8 9 w Z m Z q G F 8 F u y o z Y j 7 M x C j G T A x m J g b X 7 y 5 f 9 j V i Y p J C i S S s n 6 i F g b T l 2 N 9 b o S F 3 o a W c 7 l / m Q y I S h d u V i 5 J F y q V d B t V Y e N 1 a k E W M B r J 8 1 t x 3 B Q 1 Y E W Y h w u T 8 r X P p 9 j M x E 4 M n E g 1 G F z R d 9 6 C G p K R F 4 y Y G k N r M y H R X w B i L T z E T Q 6 9 P I Y l 2 h F K D Z E J s E 8 z E N T b G A p V i S o K z 2 k O p E Y T J j h c 1 6 u a B E P k M a m Z i M D M N D 8 w j d 0 0 B C 1 5 i J k 1 f D X V m d k 5 m Y l N Q A Z u 0 n D p U y E y M y X g X f D N k 6 j M X O 5 p n k d 0 8 u S w z E 5 v X C j M l s 2 F q Y g y 2 / n 8 g m B q e y t V T v 3 j f 5 9 k Q 8 w / g + O r v g c h J r M e r K z O I F 8 O k T + T 5 t m p m 4 u K o 8 0 U m P i L m o o o y F J e M 8 k 3 k 0 o 6 U N C Y F L z 6 + B Y O l 1 8 I V 2 Q 8 N S e h n n 3 9 R 7 L j A P g i / s v P g U 3 b + i q F 9 S w + 6 9 y + j 6 + h Q W 2 d A q s S A i n a J S C c 2 O 4 S q 5 8 W / b 7 Y u Q j A u S U P 7 0 Q t h H f w f J G O 5 j h 0 c H h V 0 4 z j 5 N m J O s u o G S c d M F C f a z V u 2 Y 3 R s A p N e P 4 K h C C Z 9 f h G E i E R j 5 O f l B I X p L 3 f D 9 H u S a n + O i J p 4 O i 6 R n N A j 2 0 O + R d M o E u b i v o k E y Q S L J C z 0 u 7 i Q 8 o x M R g u j X h I y M y 0 b m Q J r s w L i j 6 a l j P q q 2 p w p W y z L m 6 c 7 C p G t H 6 S O 0 S D V n / P x W H N 6 w 2 6 x 9 k s B + 0 z K C g T e l C x J 2 t a k y S U c q 8 E a m 4 m 8 E N 7 2 q N h q t T j y 2 6 Y O n J A Y g z / R j 1 H H a e Q n 5 w v 2 + a L 3 y 7 f C R P z D O Y k D k y b 0 d h 6 R v 5 k d e b t h z o I U j U t v L I R u f 0 e O 8 t V O O N d f c 5 d K H c q 7 s l X W 5 T r P m K 5 E K B R C + + E Y D v l P Q / / h V 7 B s 2 X L c f v s d 2 L F r H 5 5 + 9 g U 8 8 I A 0 9 z M T w o l x s Q Y r L f b c k d C + v R 2 9 + / v Q d k 4 j T r l + A W m X N 0 Q g j F 1 z f 1 s r 3 B 2 d S A 1 W w P a 8 D s v f Y G 0 C b D / j Z P H b 4 R H y 8 0 a B r U + 9 R 3 x m c A g 2 m d K g o v Z U O H 6 X w p L X N R i / 4 + v i O d n v U M C 5 d P X 1 d e Q L l m H n z l 3 o o P v s 2 r U b b 7 6 1 A W 6 3 B + v W 5 R a 0 G Z 5 7 H v X B E H o + / 1 n 4 J 3 1 4 6 J F n o D O T E G k s v r s 9 g 0 1 F K Z E 0 K w j V a Q n B p l p X F U / l t C I H P J g Y m Y A Y Y + q 1 T I S J 5 A D i y X y m t X B Q R Q U u e p L M R K a Z o l w y q y i o H 3 W 1 I a S j E r F z p L D E 5 p t a + 6 W k l + n p r 4 3 M L i X K F + f N C 2 Z F A Q N z x a Y i y I q + y T F Q I T g c z 4 j Z a 9 H g l d K Q u E 3 B e W y m p m D B A 3 9 E X f j 9 6 C V 5 l U 7 F E W l / h N y J / B z D 4 p i 5 X W p w v R E F m v V b X s r W N k r 2 9 7 D f g y p X v u k Q C S V g t e e k Y p J s 6 B p H K z G a a o B I a j m G 7 k Q 8 U Y O M v R F p e n i R 7 F m k Q V x q W I H i D O 5 7 / Q B O v p y 0 U n y Y 1 G Y V H N Z D 0 J B f s f 2 N N + D 6 X 2 l R G e u o s N 8 P P Z l 5 b a S x e L h Y z q y 4 7 x 6 Y 6 r Y h M v w 6 O o e I A A 1 O L L / x e f C + b 0 N + a q u x g x i 3 F D 3 X 3 o A D w S h u 2 L 2 F L z c F D t d a W X Q V Y G h 4 h J i y U o R 0 9 Q Y 9 / v G P + / D 5 z 3 8 G 0 T A x i N e L V a + t w v t u u g k l H q f w 5 R I 6 c v h m Q C I V J C 0 0 P f T L K T w p 8 j m K h b s l a M h H l Z Y Q T I S p 3 2 a e P p q C k Q g m o T e R K T k M i 7 a M t K F e 1 F c I T R K j F K x Q V S M T I 7 L g l c 8 F y 0 j e O X J t Z w Q 7 d H C 0 z s D U c 0 C t 8 Z r G n 8 d + p 1 S q m W u s m 9 X p V 3 M 0 / c g 1 n 4 H n q 0 m U X v J H 6 K w 5 / 6 x 4 U E K C 2 C Y 2 b 2 K X + i j l I + 1 F g m z K R e A b E 6 3 H B 4 m 5 n L k J q 0 J m Y j A z q c 2 F S l L / e c z E I P M s W P M N J J o + Q P 7 N 2 c R M P P M s M 5 N K 8 x X D 9 q e P C G Z i M D M x u J 4 3 L 9 2 Y 6 H 4 d l W + 8 K q b P m O W t 7 D P R 9 d p b W 8 Q x H v u d n / 4 c S p b 9 i N S u V v h K o c A E b D p J Y 1 S 7 U s h a G q G 1 2 2 F 4 9 3 t w 2 r U X i u N q T D F T w U 5 3 z E w M L j s W j a f F 3 8 7 2 X n g D Y 9 i w Z S M u O P 8 C 7 N 6 9 C 8 F A B I 8 9 + q Q 4 d y Y U Y y a G n m x p N T M N e a V 7 c t F J C a T V 4 h 0 Y i 3 b O i 5 k E 5 G y M W E C L a G Z c a C s d m U 0 z F a Z U o D V n k A n O 7 E M W Q q n d U I j g 1 K b S + e O u s e e 0 8 o m A B Y M a 3 W X v g o e E u j G V p G e b f 1 Y 5 Y / E r 9 6 L i 2 g f z m G k 6 e W a g i Z F / G T m G a I R o g l 0 T X g U w 9 T I j y 4 m 0 e f 6 2 T O t c e 3 E + U T 4 F b k M d B g Y n 0 F B X S 9 p E q v M 2 F 4 z D r 5 I o 1 i J R f o X 4 P B E j O 1 O j J 7 W d R M 8 q I 0 5 7 X 3 5 V W c b 4 t v 9 B K t K H j g E y V e h 5 l u 4 8 B f H d e 8 B Z d 1 Y y y c a J o S o n J m E h T X G Y W s + x k R s G e t H + y k o i e O r o u w 0 4 7 0 0 u g q g R u X 9 m M q C P b e j F S R c 3 U o f k E w 3 P X 3 Q f P w i b w 4 m K q u l t U e A 9 H k f J A s l s G R 4 d Q V W F R P w K i v k N c 6 E w z W c y 5 I b H 7 k M k O Q G r e l s e g h J d m w v s w e Z S q X h o 8 6 0 E Z r B k l r S y M B W n f 5 8 Z c E J b O 3 c Z O T U S n A + o l 1 w E D k 5 x x J d h 1 N n g 0 F f L d T J Y I u T f C 7 E + g D e Q k M H m u N p / 4 p X U / D T F E C K T r 8 7 f D 1 / 5 6 f I R w r w p O Y d 4 P I k a 1 x L 6 L f U t + U L q b Y M k T O + j Y t D E e k m R N M w j e i C j 1 N h K f G E W z M Q o Z K a h 6 G 7 5 X T 4 S V V c K Z j L 3 P Q y 9 d y e p 1 1 Z 0 v p K A f s 8 m X H T W U 9 K 2 + w r I t 2 K U n f U g + T + k c U i Q s A T Z s 2 I P q V 2 9 2 O n O T 8 z k I Z N v u N Q j V p c u 5 G c l S X / 8 r 3 9 D Q 9 s 9 q P + b A e l k E m v u l y a n T e Q I i w 2 T x 8 j 2 l 5 m J w 5 u M 4 a F + M u F i q K x p R S Q w i c E h y S 7 X 6 m j w 6 d p x M u X 8 n T H 0 d Y 3 D 0 5 p C T + d h k Z L C G e 2 F m C 2 H M R g t r q G Y m d R r y J i Z G M x M E 8 H 8 M P h M z J Q M m m H S l J L 5 Y y M T k p e J G 2 A g Q v b x x L 3 B h d X P 7 I D R k D P 1 D F q r E G b s 2 3 G o W b 1 Q j 8 H M p O k r n t u m r G 5 V E E 1 5 h U b i s D / X b m c o z M R I y F o / O M j a r I A o m Y B V z M T g C k 1 q z F Y w x W 6 s R M S e i 7 K + U x i J 0 V k j 8 d q 7 Q m b S M M P P x U y c d s S 5 s K y 1 6 K / m e P e W r L Z g A 6 5 0 L E P O t t Q x n N + m f j D 2 K b R s k h j y M 8 6 5 S K L b m J v d H + n p w + B e X n 3 L G y H T b 0 x x G G w a l N d m U d l c R g 3 I / d 7 a / T d E m r 5 A 7 / I b 3 8 G T v J k k u v t j s D + Y Q J X W L f Z Q 6 k 5 H E Q 2 F o X N 6 U N s 9 x F s H k P b S 4 N L 2 T g T u u A w a o x a H u l N Y + r 9 P o b z U C R 2 Z k E P U N 5 X N 5 e A 9 c X n Q 2 X d i p M m c G x v q R U N z A x 5 / / m X x f E s W L 0 Z r W x s G B v p x 8 h I S J C Y b / n X / g / j 4 x z + G f / 7 z P j G R + s k P X y 9 + L 4 I 5 q r 6 Y j 6 b q n 2 h E X a m 0 9 C C W N M J s y C d q h j U V m 7 G W h x o R r 4 b 8 3 C w O H j y A p U u X 4 b V X 1 + B 9 7 3 8 3 e r r 7 0 d 7 R A a v V g q t v P B / R R C 4 C y l K f I 1 P s W z F j 2 X S q + R 5 C J q Q j M 3 l 2 f 0 c K C u S r B I d q C y Q F D k M l o g M 6 u O p z U c M s C T S N v N x B w b R 5 J x V m 6 9 O G g W f R W / N u I h 2 Z d t 6 B l p r N h 2 K z k n 0 1 B X N Z Z p q u b b 3 Z R J h L 0 N o w 3 h u A q 0 Y L b U s f t E a p g Y W S 9 w 9 P h n B S s x 0 + M q 1 W t B h Q n T 6 K g Y 4 o U k E X T L o S 6 E r H 0 X Z O k 3 D k T w j E K J b e + 0 l k m J C w n 4 W M r R l Z k u C 9 X 1 k J H d F e t x 9 o / d 6 3 E f 3 9 r e L 0 b i L 8 F P k L v N F w Q 0 8 X u k n i X d P V S Y L A j L G D 3 b A 7 6 Z m q q k l q x z D U G Y K 7 z I V k l M g n Y q C 2 2 T E W 3 4 q m 1 l Z 6 T n k u i + f R V N J V g c 5 3 C O m S p f S 9 P F I 8 c I W G N + + U X i B g m G i V T Z E L Y U + X I q S T w t 2 + i A N u a 3 6 U k O d 5 O D T 9 n 8 J E E j O u N Y r y 0 U q 0 j v e C K o w M F o O u p w X p x u l F S k q S A X g N T n l O L U x i T C f m i Z g x i z E U Q 9 f b B v c C G m J q Q z Z D g l B X P M u + E D M x E q d 7 i Y I t K u i S Y V S O r c N g t S T o T g S z B i X I l I O l g f z 6 o M j t E 8 e I B t R R c T U 0 g 9 3 d W S u n e c s I j U R g L T P j 8 M a j C A x H x U I z l u h 6 n R m u B i v + u t W B W I L J J Y s / f d 4 G k z X n A / x H I J N h a M y L E q c b Z k t O I s R i c U x e e T V n H G E 0 n c H Z d / 0 Z w 1 / / J o 5 Q G y r 7 u j B J T F G T T J D b H c e i r T t h O f Z H p M m s T F R d R m a i H T 3 B z Z h 8 t Q H O l U 2 w 6 D O o 1 h + D x j a D K a H a 3 o Z h O f I 7 9 D f f B J u B N F v W S K b U 7 C t g 0 y R 5 d Q W S t 3 B L I I + x D r 7 k 8 B S B x x I m m I 3 5 8 2 P 5 f t B / D 7 G 0 V 4 y l S Z t P 0 O z 4 8 y 6 G h T A e D S N i I a F U F y Q 6 k A i I 5 6 M S 8 2 R 2 j m E S 5 U D b W 0 r + Z / F M D v W W O m p E U 5 N 5 m x X M F 4 a o F 0 l z 8 X t F w w l Y 5 F R + q Y e l P h Z W G N E M 4 8 6 7 / o b P f f 6 z e P b Z 5 3 D K K S u w c e P b + P x n P 4 n V r 7 2 B 4 e E R W C 0 W X H j R h X j r r b e w Y s U K r F + / n r 7 / l P g t o + h m A b 7 j W S F R + F b 5 o E Z E e x A 3 N s G U l J y w / w r o m t 6 4 a y q N q B C x z V s w 8 K 3 v 4 G g 4 g h h p p h U L 2 j B 8 6 D C C n E f Y 2 Y m R s 8 / C 9 l N O w e l n n I m g f w L v / + C H w V v 9 j 4 + P i 5 W 9 y 0 u X Y 9 n l 8 u 4 S q q T U a S C J z p k T D P v g n 9 B T K p t 1 5 K N F M p P T C j k y 1 B r 8 6 K g O i 0 r G 6 P p s j 9 v p b 0 7 j + Z P 9 c B p q o G V T i f y m O B F o g u z v G P k 0 G k 3 O P + K J T J P O O T V h O 1 + w F r L q p k 9 E 8 v x R g J i a i b s Y 0 y j g 3 E X 2 h f K f M Q t D 3 E / a M o 0 0 P U 9 6 y A 0 b e b L J a B j 6 s m G k n B m R Q J p N 6 p E 2 s J a V S I n n j q Q o I H 3 m 3 D v w / J u k F V m w J x M p M k Q k C y Y e T 4 i F o o W Y z c x j v 2 0 m b d g c f g V d 1 m v k T z k U B j w U D A / 4 U F X r l g I o B h I e 5 B K w s N P p j M L 3 5 p S n j I Y E P P 2 W f 8 + v d I o E B S + F o e 8 L N V V x h u o N w 9 1 Q I D U 4 A l K w k 4 W o i y d P v L 1 j E B F 3 d A 2 i t X V 2 B 3 P o S 1 9 B / M B B H E + n S d L q s Z h 8 P J 5 0 7 i S J u e L p p x E n T V Z R 7 o J F G 4 M v Z k J J S Q k 4 u T L L a T 3 0 1 2 y f 2 x / J k h O q I U f Z P P g o B k r z 1 + C o J Z o a a o b i g p y t Z c S w x f p K R m / 4 b b F W q s y 0 m A b K g P v u / S f 6 + w d w 4 4 3 X k 8 8 2 i B u u u 5 p M K N 5 i J Y z N b + / C x P g E 6 h t q s O i U m W b t y R / K x q H n Q Z 9 C V q Q 0 c X v d W s + 8 z E c l P G 3 W l h C T 5 K w O U 3 g E E S t L f D L u 8 k L F B K K c X Z v 6 U V d L f U a m + l P P P i 2 S l b k U w b u v e z d + + s u f 4 T e / + i W 2 7 9 y G 6 u o 6 D P c P o X 9 k E B 6 3 R 6 w S O H L 0 M F a c v A L n n H M O W U D 5 Z D g b Q 4 W T Y 8 J q m A n 6 R A g p M u v V G B s J o r x y e n B I S 3 2 t 1 B X h 5 + Z N D X r C G + l Z T a i z T l + H N R c 0 / / 7 3 Q 9 l L L r 4 Q D l K 7 L 7 z 4 C g 3 s d Y h 6 I 9 A 7 D N i 2 b Q f O P + s k G j C b c N Z 5 L o Z D 0 P 8 9 c C f O 3 7 T p W H k 5 K Z g 0 O k h w X L V h L Y I b N i C V D q N k J U u k r A j J F 9 r D O 1 8 8 g N N v k O a 5 O G o j 9 v m d D T F y 2 M y N 8 w o u 6 E i b u Q 0 5 L d 3 r 1 a K h h B r H u 4 f w z u W F I M n H / y n E r 2 T d K z Z 5 M k P 6 i d O Z C M E M m Y X p p B y R I 1 M m H a e e y g q f S A 1 m H L t e H c K X + l R K u v W L e 6 n r f L 8 T V I + 9 j k 7 P q U V 9 L 2 k K h C Q 6 M R t R C G l Y H X 3 m g p 0 6 k a 3 B d Y A 4 l c 1 g N I p S X f y s / a E d q L a f T G d K J Q x S y R R 2 b T y M 0 y / i L Y J y 9 D C f M S g G 9 8 Q + J M j P i z j y h X Q k H I f V l u + i W N N R R A p M e Y e x B k Y 5 G s r 5 n f O i G x n a U k 8 p / n H P v d i x c 4 9 4 2 E S C B j F l w j 3 3 3 I f 9 + / d j d D K J M Z K S Y x O T m J h U V Y X h F a c q s L l w Q k h H S H P k S 6 W 5 0 L r u d f J H N K g h z T g U H o T 9 w g s F M 2 n i M Z h I w n t f m V 7 3 2 p T N + T T z 6 R T L x A Y i S Y m o 5 4 K a m Q 4 O 6 y V m Y t B g F I M m M Z q n S V z y k g 3 F b B D M J O q 9 s T l I U p b 8 S s 5 C 5 7 k d 9 l s K m Y m R z 0 w 8 D i G h b Z i Z 2 M T j g E H h 5 O i J Y q j 8 c i z 2 v i 1 / y o f i C 7 K J x + 0 U f 5 m 1 Z J O P m c t j b S C m l t L X + F l Z 6 G m z v J Y s K 6 w H 9 t O X n 9 0 m 6 C H Q P j 0 w d K L w e U 4 W z F Q 7 s R p a 3 o F B h p q Z W D i Z q X 8 L m Y k R T A y K j B 5 v v F c K O J E Q n A + Y n I X J x 4 m t y j o m r t c w f j S E k r Z 8 E y m Z I s d f r x p Q l b 9 x o t B E u j A Z L U F J 6 f w l J x d v 5 E 0 B e o N S 5 M x A B F b r k A j a / J u f Q P f y m z j 0 / p P Q + L W 7 x T E F h z c e w Z I L 5 l e F i W H t v w / 9 5 Z f M k 6 l Y m n K l n 9 m X L U y B y 1 R x H b c 5 w E V O / G m e A 5 m O 2 Q I W E y E 3 S u W 5 L L W J G i Y t Z i t g v H c C u / c Y Q i X 5 O x 0 y Z v N p G N P n 6 C Q t q o a Y j p G z P J L R J I J c L q J p / l W N 8 l A g p 5 u T a z B s f R + i S T / 6 j g + i f k G N / A 2 X G / A Q b U 3 C x O u v W N P C h H j a B 6 P G g 0 R 2 k t r e S E 2 d v 1 U m n k C 9 K J C r z + g K 9 g 5 i q J l J k 4 m 8 Y 2 b i o E D P u P 6 E m G l 7 n 1 G U J p b 7 W 6 D G n t M 2 8 W 9 + C c l H v j 3 F T B H q I M b E 0 I T E T L I U n R f o H v P V U M r I F S a i z o g i f V Z Y w J I x E z M x m E 3 M Z P 4 V g 8 J M D L X F Y O S C o 0 X A z 1 m Y m a 5 o n G J I y 9 k Q h Z i N m T K R Y o J m + j O r C 9 h k T X H B T N H j 5 M e T R X L C K P h J l + E K 7 N z a j s P b O m B 3 1 G P 1 s z v x 9 M P r y d / 2 4 B c / v Q O + I R 1 W P b M R j z 3 w K m J B L Z 5 / 7 G 3 S F + Q T P r R e L F c 5 E R Q N S v i 7 o 3 A 1 z R 4 i f q c I B I N w O q Y 7 h z O B l 7 Y r Z b b U m I i M o d Q q O 6 Y Z E g h F H O / d T w 3 i 1 H e z p q X v 5 l k S y t Z / N 3 r l N K n 5 w q x 3 w a a b 2 U m e w g w 7 N g q k g z Q a R u E g j 0 Y H M B k q Q a V r / u t x I n E L r K Z 8 M z y H f I 3 A 8 z i 8 h k j J x 7 P o S k R 4 n 7 V Y m s w g n S o o U Y i m 8 G p 0 2 + Z f M y T D W 8 F 6 5 l 7 N W w j F f 4 q F U z C N 1 0 D T K J c + n g G c T e / 3 x e B y m 6 H n Z S L 0 y D p 6 v t 7 e I G o b P Y h m J u H W t y K b 8 U I b S Y n Q O p v T G n 0 c Z q 2 F + o J 8 P 0 2 C f C Y t 4 r E U X n h 6 L d 7 1 o Q u o b 7 h S 1 D z G V o Z K 5 u e Q U a 0 B K g r Z 5 k / w v j Q n i B N h J s Z M T V G Y y T Z 6 b 1 F m 4 k h b M s v z S p 5 5 M x O D t S 8 7 2 g z e 8 2 g + s G j J P 8 j E y E c a I X + u X 9 w 7 l Q k j m u g R h B G J H I C P N x E o x k y k E Q Z 5 D 2 w a O H 9 6 F F 7 6 D a c Z n Q g z M W Z m J k a + y O Z J U X W A g a s + s Y n I 2 i m e D f M 7 + R v + b o J M o N w m 3 c x M p t G d 4 n y O t s 2 J T F E S m z f M N r 1 g J l 3 P 7 P 4 v M 5 F T Y S Z C N p l A m k w 1 Z i Y G a 6 M I 9 S / n p M S s e l S M P 4 u s L i y e O U L C L E 4 C J k l + f T w V o o v F c O M H z x M + Y Z Q F 3 V y g 8 w x j b 8 I x c F t x h n I 2 W p A g L p 4 R P J d D 4 G I g 7 F g q T j V j f H w i 7 z N D I x e W 5 y j h i W B j p 0 n s l j E b E p r c 5 t F M 0 D S C G A k P o c s 3 g B X X z 5 w L N h M 0 9 P s S Y 5 O Y W F T m Z N R h 5 G I I k N M / k e z H e D a I c c T E u i V / c g g R W Q P w A r 2 0 T K R Z 9 S 5 6 M e p + Y t 5 q l 7 S 9 6 F Q + n P j 3 v w O u 5 D s T O K D B z M U C h A M Y / N e q 8 + S N n 0 n r F s m 0 a m i t 1 d R G z a y h a w U F p C B Q Z K 3 j N I i 6 + I S 4 T N D p x j 7 0 7 p x d g B t E 3 i a 5 B k T g x F n y 0 R z U 0 x 5 D F Z e j y Z 8 r 8 2 y S + 7 4 Q n o J J c D X s / X + G a e B Z a M g E T 5 L f H a z 9 V n G G 0 h l I 7 Q 3 n B y X U 0 G T 8 a G + X 0 l K U y S 4 F Z W W l 0 m c O W t C D j Y 6 O o b 1 f 6 g j e f X 2 + 4 B 3 P R X X X W a A h J z N Z f p 5 4 H w r 7 p X r g 9 E j R V A R j u / w w W W Z n h G L I y g v o 6 m x n C W e a X x z u d R o q U W r I J Y 1 y c E B H x M o b l a X Z 5 J w H 0 q S 5 N K b c x K l T N 4 7 x G G + B 8 8 7 K Q c 8 H K d X k 8 n Q Q U 5 C p W j g h z C F v B k t v H s r C C e G o v Q a W 0 I D 8 a Q 5 k p o u H m e q k c j R Z A d f F 5 7 4 3 q R J W G 0 6 3 Y H j v z L 4 7 M 6 + V L A U x r 6 T l j f j y h Y l i e S g 4 4 r i A h H A I T d 6 X Z i 5 Q U 5 D 1 L 0 D j b e m + F 6 G 6 r y N e + x 5 k V T X k Z + x t R 0 s S / u P F J Q x i Q 2 h r m 8 U u T g W Q Z F u N H o x r 9 c 0 1 a V u I N 9 t N 0 z Z V L g b e I k e B 3 e a C J i o t I S + z u K H 3 v b O o F m s o N T g z h H e 1 0 G t t Q g s p 4 O A A b 6 N S u O P 9 b A j L t b h F O J b g S 4 8 T w Z 6 Y 0 1 s I L n j P K D p O B H X R y h N F h M y 9 Z M H 0 i A I d l y q e D 9 L F 7 x + M T e c q r j Z b a N 0 U R g i r V i Q w v E f + U I D Q x A S i M n F z D R B d A Q O p w b m I Z t I + W a M d 3 S X X o X 5 0 l f x N D o U b D 7 K C s P e T W Z f w I d r 0 G f l g P m b p b Q 1 c C 0 h T H A 0 K x u I d H l I x k s Y p M l 5 s U u 0 0 k T i o I k B N f F B 6 w z U I s i R t x A K w G U a 6 C L h M 1 H h Y h 0 v a Z t d M U 5 A r 3 f K E K C N r I c Y l u 9 5 u L J 2 S s i e K L A c w V O A F i i y l Z t v e c r 5 Q K r a G k y P o 8 0 8 W L b h / o u B K r w a S x L G k S e w o + d + E N M d V f P x C 7 s V o m p C 2 8 k y p S h l M w w w M 5 T A X v y 5 b N 8 x U X L 1 V w v T z q k 6 h y w 6 T S a i S f Y Z U D A 5 i y P l C X 5 D h M 1 Z 6 J c o n 8 1 d z q 8 8 w e H f B M P w m a a V v I W O e 2 d T V e s m 0 m g 2 l i x 2 C s S x u E / R m H X z t 5 H z L J p 6 U y 6 c l R u L 1 R e R L m e T 4 P j U 2 y 5 k C I u 2 d T E J e F y O Y a 2 Z 0 e / V k E p J 2 U e 8 e X w h O + 4 8 R 0 3 I S K 0 H r k d K j l O w C A d m u j 5 M 5 + M 6 g u r / s A x U D V y n i n c N T P I V w A u D o W p 3 9 T N h M u Y T Z / x S 8 h U u J L o C x t D T H x R u O / 7 d g n L b g L o f u 0 h t g C M 8 R u C G G Y v + w W N Y D V 8 I t B q a v u t p q Y i z 2 L Y t n 7 O u q Q m R 5 6 a D v b U Y q n k G y 2 F K X G U x L N T j H k U s 6 c w 3 G C e e K P E 1 v k p e + 2 / r v Q t K 5 F M l q q c j r b N C W z M O 0 y k N m u h q V t v K Y u f V Z H R E + M 5 c c z C i G p p I Z T B 9 R 6 U Z + S r p P 1 k x M y x n h p H 5 D q f z w r b o z j A V L r v k 7 / l r 9 U s A Z 6 Q O h v Z g M E 0 f L u 0 A I y B N 6 x T b 3 4 o l c T u n h R Z f z L Q H G y E T 7 E Y g c z j P F C p c i v B N I u 0 l K Y 8 A b j n P d P H b O + W U j n 5 L n r n g T v P 8 u N K i K b I d + t j J k m d y z F T I V l 5 V m q 6 Q Y s r o Y J h O S V Z C I p x C P c S a G e t T o 7 s Y 0 o l U d K P E d g a 6 v F U b v i T 8 f Z 8 N b d B 6 k y K r J k L l Y O / m G / A 2 B L B N H 3 2 0 I 1 3 2 F O H h + / r i W q / 7 w Q k n O l p g L + w 4 c w m R m D K M j E 4 j Q A w Y D Y U R j J y A N B e H k d w p j / 1 C R e 3 N Q g y F 2 g p / O r O b + J 8 n 0 z A + l s u I c D u p F x 9 s q 8 i e O + T u + i v q l o N 5 + B m r t K + C x 8 U S n q u N k / 6 H Y R C 8 7 u P y S b P X p n b 3 m h d 3 4 x 5 + e I 3 f S j U 1 r j s K i r U A m V I o j x 1 N 4 6 c W D W P 3 s d m x Z e x w 7 N 3 X h v r u 4 q E w 9 h r v + M 8 2 i 8 A t X d O W 6 e e y c 8 4 v T l p j h C v 0 p Z j Y T m Y m a 5 C R p 2 h O r z 6 B g x H a W / K 4 4 Z q w / I 0 N V P z U P Q b G D o z R K n J n O m 1 Q I y 0 h 1 P f 6 4 I L A K w c q T k K 7 v g N / h R 6 a n C t q 5 p n 1 m w W D p Z W g Y W w X 7 + E E Y x j Y j W P 8 t + Z v 5 Q X f V V V f / 9 K W X X h L F 7 k f H J v D q a 6 8 h F I p i x 8 5 d W L b s p D y p 8 N h j T 8 L t c W D / o Y M 4 d c V y 7 N i 9 R 5 R i N h d J v 5 8 R b K 5 p O d w O r D 1 u R t e k H u c 0 F i G k O a S 2 J f E G E r Z z 5 E 8 5 2 E 3 E F B k y P 2 N d s J X K J i g T C 0 d 8 + G + R a E 5 v a D v 6 O 8 J w W H Q Y T j W j u 2 8 Y 1 d W c y m 8 W y + L b j / a h p r q G j M H 5 E 9 0 p y 0 8 T h V w y J B h 4 b m R s 1 C / q l x 8 9 e h S J B B F 8 P I m K i j K c d u p p 2 L l z N x r r m j H p n 4 C n 4 p 1 P q M d S F r i 0 Q c Q K z J / M D H 3 J / l e a 5 / B 0 l q k I G K 8 U n m 1 3 j k K k D T a Y Q w N w e g 8 j a p + + d D 7 j p 2 u 7 c v 2 m 7 E o y F 6 J p N u u L c K N K E m o y K Y T 0 N a R Z p O f l t V 5 x 2 w C i m R A M X a 3 Q l M 6 n V N h 0 R H w 3 I B 5 p g K l J m n b h M g H z 9 c l F p k Q 4 y o N u g U G X I f W t E 2 W x e N G X r k h 8 0 9 c d h r t p + o K w E w E z k 4 a X 0 e u L F 0 u c G 1 n y 2 y b J 1 C z u h I Z 9 Y b E I s n S W T Z a y 5 N d p 2 B Q l p J N R b N m x D / v 2 7 Y X L 5 c Y n P v 4 + / P 2 e f + P T n / 4 k 1 q / f i P P O O x u j 4 4 M w u W Y 2 7 b Q 0 u E a S + A k i R m U 5 g B p c p o s r C z G U r A a u 0 a B o k v 8 G 7 G T a T W T d M B V Z U s / h / R O J S M 6 1 c U A x V I 6 s w 0 i l V J t e g X F g C R K 1 h + V P d F 1 9 i V w g J g c 2 + 4 p p q m J + l x p N g Z f R 7 Z y + s Y W S 7 R 4 Z z M C N p U h U 5 + 4 / K 4 g u 9 f 2 t c C 2 Q 6 J 6 D c R w / C C T J T E 8 O o s 4 6 u z Z m 5 K U e Z T J k w M g r M 2 e C r y 8 E d z X f + c Q y H t T Y 3 m v E m Q 3 y o B e m 4 7 D d Q g S W I p v f n 5 R y 2 g q X Z N i H / o J Q 9 Z f l T w V I + X H 4 7 V E s v q B N Z D H P B b H x G f l p h s n D y N R f J b K f F c G o 1 e u Q I X s 4 G x + E T 5 M Q 8 z K F K L Z B m Z Y G l L U C 1 9 0 z p 5 P w a 6 w k q C T / M U z M Z C u S 1 a A w l 9 i f K c 8 g n T 9 4 o + n J p L P o 9 W d L q p 0 N J 7 o c v 2 5 s N f r L c 7 5 t a t A C f U 1 + e 6 Y n y 5 J 2 T W p g L p j E 5 8 j q T H m V T Z M v o t t z g / x p d u h 7 2 5 C q l 5 i T t d i a F 3 a h s r I C z S 2 V K K s u E V W b 9 K A x 8 l b A W q M V w 8 / L h N j E 9 B 0 n p l w g c X t / Z N u c T J U n F + Z i J o Y + M / 4 f M R N j i p k Y C j M p E T V 6 Y F E j m 5 m J x 5 9 e G W W 7 y A x J n n D f z M z E e y X p X Q g O E u k Q M 3 G G e i H 6 Q z v l d x L E L o K m W u z o t y K e C p B P G M N D / 3 4 U q 1 5 e L R Y t P v j w w 9 C b K 0 X 2 R C G Y C Y r t 9 q e Y W G n 6 G 6 b v F W b q H q 8 V x J 4 q E t j h + R P W V D M R P U e 8 F D B r F A N v N M 3 X 5 3 L K h e D r c n D i R K E w k 5 K Q K 2 1 Q L Q U 7 + K V G I h 1 B h + d c o a k U F N s E n T V P M D V C z 0 v P J I + x 2 c i F Y 6 T 3 y s t j L r 6 l T 8 P Y C / N m J k a w d h t 0 f S 3 i m t x 3 V 1 9 z G e K J B E Z H Q 3 j o 3 h d x 3 9 0 v w G V s w L + e u w e h Q B R P P P E M J i f 8 8 H f H i Y 6 I H o 9 w L Q z y y / X l g q l m Q 9 H k 2 N k Q G Y v C W v 7 O 7 X z e d J n 3 h J o J / M C 9 / k H Y z V E 4 t N V 5 J b A Y 1 q 6 7 E S + 5 A G n 3 c v m I j O S E i M p w W b C x z j E 0 L J / f g j A F p p E 1 G N C d i f I K J 2 K x D H p 7 + 8 j s d S A W j 6 C 5 z o N A h n w g X o k r w 5 4 K i + 1 k Z o K y O O 2 d w p S K I 6 7 P M S t n j 5 u 0 z m l r m w q z G O Z b L e m / C S s J l o g q W 0 C K j g j q J Y 5 i 7 p g d X F p O 4 i L 6 C f 2 G g w 0 M d Z V h C V n U D b 2 E 4 + X n y 2 f r y R 9 N w 2 m d e e V C O G 4 l I R M R z G 6 O m 6 E Z X 0 h M k k U i O w G z r g p x 4 z B S + h j 8 o S D K 6 0 z w m F o Q j c e Q T m l g l 9 d P 9 Q c 7 Y U i b Y B h 3 w t P m o F a k M R 4 / B q e + V s 7 k 0 A j r p Z 9 8 8 R M 2 3 n V m c r B D W k S K S P / 5 Y F t P j s h 4 T b 5 f z h p g s O T i S k H 1 d t I I h t Z p z G T u e x C R 5 p u R d i 4 h H 0 w l b c l s U 1 J E j r 8 W n M Z M w 4 G 5 H z N R c h b q 4 q 9 T m 7 Q w G f V Y 0 N a M 6 q o y N D c 2 i M F T 8 u w U z M Z M j N g M S Z W R 2 P y E E T O T W q M w M z F R F K J Q W z E z 8 e / S M y S l s o b 5 b y O P m R i k a W v H X 4 c x n N O q s 4 F X W k / G l F Q 2 8 W c a O O R f 2 / M i + q u v F 3 6 Y W b w c g p k G + m Z O 0 l X q y B t 1 V m S s W q Q b 2 p G q 6 0 D M G o G 2 m v x 4 S x Z W h x 0 d v P s 9 a n H k W D u e e + 6 F K W Z i G L R G J H V x w U y h b m J K 6 F B u W i J q f 0 R S k 8 K / Y m Z i i F 7 3 R / O f w k 8 O d O d 4 E Q e W u J A n d 8 v t G V h J R b 8 T n N e S M / d Y n b p M u V W v S u 4 c F 5 r M 2 x i b 7 m s c X o N Y / f 9 I n 8 n x t w 3 9 T X o v K h V J C Y y 7 n j u K 5 e + a H q h w W + d u a 9 b o Q r w s t 7 C w N 7 h V / B V I T q K E N 2 W e J d F U Q Z Y 0 E 2 s n J Z r F 1 4 u r d o 2 w k u a d C 0 o b p B W 6 L A + T 4 h q J v A L 9 X O P B K C o Z F S K s t 4 p K s 8 X w 3 5 + L y o d i G s a T Z i S C 8 7 d k + J l Z I 6 V E / 9 H v S U O U a U p R 1 b c a T Y F V K B 3 e g o H G G + W z c w g m h 1 F b X y 5 K A Z w I H G V Z m J n B 0 h k 8 8 9 Q L a F 6 4 E H t 2 b 8 Y R Y q x S T x n 5 V b k I Y a V N i l 6 y p r I 3 x e A 9 F i M f S 6 I p q 5 6 z c n j X R H Z d y L D u H h j P F u 4 m O B M y S V 4 / k p 8 M + 0 7 A n W W a Z 1 F 6 n f 8 o E U E c K b e 0 0 8 Y U u A D / 8 J t I 1 N 2 A f X 1 6 R C I J / O s l H / 7 + r e l h 2 Y m w F q W 2 u Z / R 0 v 8 w I n U f I V L N f z 5 R U 0 B n x g S Z f X M h l v Y T U U h M w x W M W I O Y d H Y k M m E Y N G a S d j N r N i 6 2 o j C I Y s p p M 0 m E M h M z u O Y k g f U V 1 N r p 2 o i X d 8 d m y J K 3 J 8 l c L d D + / 2 1 w H l y m 0 4 l U 2 9 w C R A E z u 3 N 8 H 1 y a P k z q l i B U I g U v c j s l S s i V P e N x e m e C X Y E 9 G a G + y C 2 c r A o O I u k 5 k / q b 6 1 3 o y M y P 0 J i x Y M i n i U Q o h U Q g A X s N / 1 Y S e u l M A v 8 P Z 5 N J c k q E D f 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 P o l l u t i o n   C a t e g o r y "   G u i d = " 2 9 a c 6 1 1 b - a 9 7 6 - 4 2 6 6 - a d d 3 - f e 7 4 e f 3 1 3 4 9 3 "   R e v = " 1 2 "   R e v G u i d = " 0 c f f 6 5 3 d - 8 0 9 a - 4 6 d d - b d 4 3 - 4 7 c c c 2 3 d f 0 c 9 "   V i s i b l e = " t r u e "   I n s t O n l y = " f a l s e " & g t ; & l t ; G e o V i s   V i s i b l e = " t r u e "   L a y e r C o l o r S e t = " f a l s e "   R e g i o n S h a d i n g M o d e S e t = " f a l s e "   R e g i o n S h a d i n g M o d e = " G l o b a l "   T T T e m p l a t e = " B a s i c "   V i s u a l T y p e = " S t a c k e d C o l u m n C h a r t " 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9 & l t ; / C o l o r I n d e x & g t ; & l t ; C o l o r I n d e x & g t ; 1 0 & l t ; / C o l o r I n d e x & g t ; & l t ; C o l o r I n d e x & g t ; 1 1 & 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C o u n t & l t ; / A g g r e g a t i o n F u n c t i o n & g t ; & l t ; / M e a s u r e A F s & g t ; & l t ; C a t e g o r y   N a m e = " P h o s p h a t e   P o l l u t i o n   C a t e g o r y "   V i s i b l e = " t r u e "   D a t a T y p e = " S t r i n g "   M o d e l Q u e r y N a m e = " ' A l l D a t a M a p ' [ P h o s p h a t e 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P h o s p h a t e   P o l l u t i o n   C a t e g o r y ] C a t V a l S o m e   e v i d e n c e   ( 0 . 0 5 - 0 . 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P h o s p h a t e   P o l l u t i o n   C a t e g o r y ] C a t V a l H i g h 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4 & l t ; / X & g t ; & l t ; Y & g t ; 2 6 4 & l t ; / Y & g t ; & l t ; D i s t a n c e T o N e a r e s t C o r n e r X & g t ; 4 & l t ; / D i s t a n c e T o N e a r e s t C o r n e r X & g t ; & l t ; D i s t a n c e T o N e a r e s t C o r n e r Y & g t ; 2 6 4 & l t ; / D i s t a n c e T o N e a r e s t C o r n e r Y & g t ; & l t ; Z O r d e r & g t ; 0 & l t ; / Z O r d e r & g t ; & l t ; W i d t h & g t ; 5 3 2 & l t ; / W i d t h & g t ; & l t ; H e i g h t & g t ; 8 3 . 2 2 0 0 0 0 0 0 0 0 0 0 0 2 7 & l t ; / H e i g h t & g t ; & l t ; A c t u a l W i d t h & g t ; 5 3 2 & l t ; / A c t u a l W i d t h & g t ; & l t ; A c t u a l H e i g h t & g t ; 8 3 . 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3 4 & l t ; / W i d t h & g t ; & l t ; H e i g h t & g t ; 2 6 1 & l t ; / H e i g h t & g t ; & l t ; A c t u a l W i d t h & g t ; 5 3 4 & l t ; / A c t u a l W i d t h & g t ; & l t ; A c t u a l H e i g h t & g t ; 2 6 1 & 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5 & l t ; / M a x i m u m & g t ; & l t ; / L e g e n d & g t ; & l t ; D o c k & g t ; T o p L e f t & l t ; / D o c k & g t ; & l t ; / D e c o r a t o r & g t ; & l t ; D e c o r a t o r & g t ; & l t ; X & g t ; 1 0 8 7 & l t ; / X & g t ; & l t ; Y & g t ; 1 7 . 5 & l t ; / Y & g t ; & l t ; D i s t a n c e T o N e a r e s t C o r n e r X & g t ; 1 7 & l t ; / D i s t a n c e T o N e a r e s t C o r n e r X & g t ; & l t ; D i s t a n c e T o N e a r e s t C o r n e r Y & g t ; 1 7 . 5 & l t ; / D i s t a n c e T o N e a r e s t C o r n e r Y & g t ; & l t ; Z O r d e r & g t ; 2 & l t ; / Z O r d e r & g t ; & l t ; W i d t h & g t ; 2 0 8 & l t ; / W i d t h & g t ; & l t ; H e i g h t & g t ; 1 1 3 & l t ; / H e i g h t & g t ; & l t ; A c t u a l W i d t h & g t ; 2 0 8 & l t ; / A c t u a l W i d t h & g t ; & l t ; A c t u a l H e i g h t & g t ; 1 1 3 & 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P h o s p h a t e s "   C u s t o m M a p G u i d = " 0 0 0 0 0 0 0 0 - 0 0 0 0 - 0 0 0 0 - 0 0 0 0 - 0 0 0 0 0 0 0 0 0 0 0 0 "   C u s t o m M a p I d = " 0 0 0 0 0 0 0 0 - 0 0 0 0 - 0 0 0 0 - 0 0 0 0 - 0 0 0 0 0 0 0 0 0 0 0 0 "   S c e n e I d = " 8 6 0 1 9 5 e a - e a d a - 4 1 d 8 - b d d 1 - 7 3 c 1 2 f c 2 9 2 0 2 " > < T r a n s i t i o n > M o v e T o < / T r a n s i t i o n > < E f f e c t > D o l l y < / E f f e c t > < T h e m e > B i n g R o a d < / T h e m e > < T h e m e W i t h L a b e l > t r u e < / T h e m e W i t h L a b e l > < F l a t M o d e E n a b l e d > f a l s e < / F l a t M o d e E n a b l e d > < D u r a t i o n > 2 0 0 0 0 0 0 0 0 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J 4 S U R B V H h e t b 0 F g B z H l T 7 + D f M s M 4 p l k C U z y R Q 7 s W M 7 z H A X p r v k k s t d 7 p d c 6 H J h z i V x 4 p A D t i 9 o Z i b Z l i y w w G K t l h m H e e b / v e r u n Z 7 Z 2 d X K l / 9 n j 3 a m Z 7 q 7 u u p x v X p l O T 6 2 r Q C i r f Z 0 2 G x O Q D 5 Z 1 C E d F r 7 U Q V g t V u T z B f 7 l M T k s 0 L 7 S / h L Z P G C 3 a u 8 1 a D + Q f / O F N G w W 3 k M / K p + t / C y n 5 / j e D P l d v p D h 7 / Q L q / s 7 5 m 9 r o P i t o I B c F r D a j f u x L f k 4 r + 2 G j Y 0 q g I 0 D G 8 f j B f m y Y I H F V o C F z y O / V 9 f I J Z C z 2 n l / u 3 w i y u / I 6 + Z 4 1 F b 8 J p 1 J I h m b R S I 9 i q M P 2 1 B 3 x R T v m U J n 4 H w U C n l Y M l N I x K q Q S + e R 5 m N 6 g l a k x r 2 w d U Y R c G S Q g R 3 O f A L p b A D h X h v b H U O 8 0 Y 6 u G t 7 I H u A 1 c m w j b 0 j M H M i j 9 l Q r Z q P H E M l Z 0 F m 1 S h 2 3 8 N 5 D 2 W H U O r r h c d T C k g t j 5 m g 1 q l d F 2 W 9 Z x H J J h L M T a L W 6 k H e v Y Z u G s e e J K O r X 1 M L e F E X L + E P I r f y Y u l Y 2 O Q W 7 u 0 G 9 j 6 U t 8 D m l d 4 A M m + P M T 6 D g a F S f C 4 U C x o 4 f R 0 t 3 A / s i j 4 K t i v 2 X h C U f 0 X / D v u V z F Q p Z f s 9 f s E 9 y P C d v d S J 0 y I H 6 d R x 7 u 5 1 t 7 0 f B 3 s q h c c D T / y s k u j 4 E S z a E s f 0 W p F Y M o N v l R 9 7 R T L r K I j w 7 i T l b A x r 8 V r g j Q / C E 7 s R w 6 j 9 R W J l H h u c v C d I C r F 7 9 w + I Y n M 2 j o 8 Z E x B z w m W Q c t d 4 A Y q N W 2 B r m 4 O K 4 y D O 5 2 K d B R x D Z R B q J 2 T j m G c q d 7 0 B t b Q 0 y m S w c D q 1 h d j 5 s M p k k o 1 l 5 j A S e z y O X y 6 m / 8 h t 5 L 3 C 5 d E Y k 5 g l T J 9 6 s o j 5 2 r P q s Q R h D m M W A w W T l T K V B m i 1 / S P Q F E j q f U + 5 v I X M L I 6 R J o U 6 n k + 3 O s E 1 2 p F M p H i c z 8 K Q C 7 y 2 / k / d y F a v V g i z b L O d 4 v V 7 9 O h b 1 f E b 7 k Y u x Q T 7 9 g w H 5 U t p v s J A m W M g r Z F S 2 Q R g q z v O I X X f 0 4 q w 3 r M B o b C / 8 t m b k h 9 r g b u m B y 9 P E 0 1 z q N 5 b M N I m v m p 9 t i t k K 9 l o O 1 A Q i J D 5 n T Q z J 1 G q 0 + U M o O H m O C Z l 4 F l a n j e 1 l u 3 O z b B b b 4 K j j N 1 Y M R l 9 E k 2 c t x i I O M h k F T 2 a E 3 9 U j N R t G Z M K H + h U z y L D f O Y r I 8 7 r 7 7 p 3 A + s s 9 8 F Y F E Y m H 4 f f W w j b 6 M N L 1 l 2 I 2 6 U K N N 4 8 t W 7 b i 8 s s 3 I 5 v N k t n Z f / k R 2 J 0 t 5 L g Q i a O K t 2 c H p K Y w N 2 p D z Q p p h w 4 y F T m J z S L x U h i I 9 O m L P M f + s q L B 2 4 2 A x c 3 j S c S n M 4 j O k n G 7 p l G T i W M y N 4 K c 0 4 9 2 7 2 k a I 9 o C m D y Q w 4 r g T w C H D X P e N y P h Z H 9 a x 2 G 3 B U l D W U w f J s O 3 O D F a X Y + p P O k o n y G 5 p Z D n u W Z Y c m Q m m 0 d Y X D 9 S B L t R D W 3 5 N + r 5 e F R o R A k M + V c X 2 A a 8 b M O p 1 l k K G x v c D v 7 C Y K j W 2 t P Y S I 2 w D V h z K T a C D y + 3 o u Q W O Z 4 l U R S l 9 0 L I x a w k y o J N J I E 0 g w 3 h T c 0 Q h h J t I Z L 3 5 O D k u b w q H 1 A Y K E + G y W Z z Z B R q H 9 U r b C 7 f O 5 w O M k 1 G M b w c 9 7 g 9 J H x K f j K Q M J O c K 8 J C X k p 4 y L m q w 5 e S X n q v m y B H C t k C U o k E I n O z C A 8 m 4 a q x 4 P j e f m x 8 5 Q a E j 9 t Q v S a H 8 e g I U i Q y q 2 1 O 9 Y W c 1 + k 5 n U R Z Z N z x v S F 4 1 s 0 h m V 2 J R p / e L 9 k w f x P U 3 h P Z V B Z j f W M I d G V Q R U a y 5 F N k m g Z M x k a R y s b R 4 a W G o B S O W r p 0 r S I E o U n a 2 U E y 1 J w T D a f 7 8 O L d f T j r d S v Y H h t 6 e n p V 3 7 S 2 t O I P N 9 + M f D K M w d E 5 O F w O 9 q U N V 1 x x B c 4 9 / 3 x E o g d R 7 V + j r l U E 2 8 k 2 Z C M z F C o 1 8 A V n K R x E c O i a I k 8 B q Q Q a 6 U X G m o R u U R o s h L y r m z / Q + r N / p g + N E 8 e Q K F y B 2 l M o Z F K 9 y D r a e X 8 H x v c k 0 b S B 1 2 N b I s l + B N w d v A 7 p k N o + 2 u + G p y U B V 8 C J Y 3 k / J v O a w B J Y h O a E s d n b B b t f j i h q F D q W 2 x a U p i o d z 0 o Q G i 3 Q E i D J K Q F q d Q i t 5 S j 8 b a T F H K q t e Z x m 4 z j p s I z 1 3 F m I + 1 r Q V n M K / v m 7 f 8 K D 0 5 Q 0 c j b x j 6 t S + N p H 3 4 p j P c d Q X V U N f y A A t 8 v F D i H D W K T x 8 j u a W a k o b 5 C n p q I 5 Y f U h H o / D R w 1 A a l P S 4 t D B Q w j U N J K L N e 0 n S k u u Z + O A b n t h K 8 4 7 7 z w l 6 Q 8 f O Y L V q 1 Y p g v f 7 p R M 0 J G J p / T P Z k G a a l R q P v C G f 1 H h R C a v v p D 1 Z S r p I a A 6 B q i a l k Q p W d i j v 9 9 j j j + L q V 1 0 t l y s D L 0 S p Z m i P l 4 N 0 J k U N F V U E F I 9 m E e 2 z o v E M N 5 k j D D c Z Y j p 5 H E 5 K 5 d n 0 I J p c m z C V 8 K C t S o g d e P S I C 6 9 Y k 0 L 4 m B X e l R Q Z 1 D 5 m W N I j b J u X R F H N g Z S 2 J j G x J 4 2 m s 6 j h + M y W z A y J l N q M E j v H e 9 k y k x h K t K P D M 8 D f c / B d r U q S H 5 9 5 E T 6 P B 5 O P 1 e O M 6 2 o w k 0 q g 1 k 0 G l A 4 U U F O C G s 2 S m o M 1 O 4 f D 8 d V Y 3 a A J w n J R Y u E 9 h J H L M b Y n j O a N R Q G g o f x s H X y O P P s k S 0 F W f e R 7 i J / 6 J X V Y T N W R / Q k K 7 Q B p x U d S t C J O h p X r e A K 1 y J D h P Y F 6 B F Y m s X / M i d O a 0 w i l + j F s 6 c S M h T R F 5 h X 5 q J M w D u 3 c i p n R E V x 0 / R v 4 q U I 7 C A s V g I U 0 p d w A U S D U q H R s t G v w k G g l i 5 1 M T I H 2 0 B 9 / j e v e + 1 E 5 S 5 3 r p a W w 0 V U c M 6 W h 5 K s W a q g P / + A u / G G s T f u G + I 8 1 U / j W R 9 + A r / z 3 f 2 N 8 f B w e D s j 1 1 1 + H R x 9 9 D K e d d h q a m h p x 8 O B B J B J J j I 2 N 4 f 3 v f x / u u + 9 + h C M h R b x b t 2 7 D v 3 3 6 k 7 j h 5 z 9 H k r + R r s 2 k s 7 Q / L d j 6 w g 5 4 v D 5 8 6 U t f w L P P P a t M s E D A j 9 t v v x M b N p y u T M 1 z z j 4 P Z 2 7 a h E 9 / + t P 4 6 M c + i r v u u h v d 3 V 2 8 h m i n A l p a m 9 H b 2 6 d M v v r 6 e r j d b v Q e O 4 j Z u T l c f P E r s H f f X j Q 1 N y q N F Y 8 l 8 L 7 3 v p d S T 6 Q l a V T U N g c V V t H A / x c U y F B p x E I h 9 O 0 6 j P B 0 H u 3 d n W g 4 N a g E j z I h i R Q H a C x J 0 4 / a u c l / l j o m G I 9 Q i 3 k K 2 H M 0 i 0 2 d O T h 9 C / 2 A a P w Y Z j I W t A U 6 Y M 9 O Y f p Y C / 0 o C w Z C P f x W / C h y o t x H n o U a Q 4 h y k E z V 6 e 6 h e d e O Y T E / 6 d O E j u T h b X C h 0 R t B P r h K + V 0 F M e F E m u t W h y V T 9 J E 8 x 3 + K x M q P q / c L w P u U C 6 H p n g i a c S s y q 4 T g i r B k x n n N U v P V g I V C J z W 7 B 4 l g J 6 p c X d p B C o 6 p w 2 O w U I D X N 5 O w s 5 M U e z T r a U I L n I g g G n E j P 1 e N F E 3 O + v U + 7 E 9 5 M E f f L E 9 u u u V b X 8 E l r 3 k T d j / z O C + V p 0 C O w u V 2 I R q O K I H u r 6 6 l w q M f S 8 s i E Y 3 S j H X Q J P f i y j e 9 E 8 / c 8 z f + L s z j I X g D N Y i R l t / / h a / j g Z t / T b p L o v / w I W y 6 5 A p s 5 v V z O b p A o S m c W 5 u E j 9 a O l a 6 C E k 9 C 6 B o q c 7 D g Q x / 6 I F a s W I G n n 3 6 G D E T z j z / 9 0 5 / + j L 6 + f h w + f F h 9 d / P N t + D o 0 a P w + w J 4 4 Y X t 2 L l z J 2 8 q V x V u t + E j H / 6 w 0 m I f / u g / Y 8 3 a d Z S Y 1 F Z i N p h w x o Y z M N A 3 j H A o i t 2 7 d + P 3 f / g D p m d m 8 L e / 3 Y Y w H 3 R 8 f A L D I y O K i E d H x 7 B 9 + 3 b E q B 2 O 0 z l + 5 q n H 0 D 8 0 j l A k i Z 7 e H k Q i U c z w 3 L l Z 2 v w 6 r D a 2 h l p A p E 4 B L t O z n w j y y 1 L t o X 2 2 Y K J 3 E l M j 0 1 h 9 V h 1 O u 7 Q b N Z 1 p S v p B f k X T l s Q p z r q T 0 t 9 D v 6 n R t 5 G E P K 7 O H p o j k 4 U t 9 L e 2 Y t O a O U Q H 7 P Q 5 S a h l 8 D s b 0 e G r h Z 2 M I o S Z 1 3 / T R S e 5 y 0 / i J x G F S X T R z B g m E n 4 c D w f p h 4 z R r O p C M s M e z p y J Y w 9 O w V c b Q E O 9 C 7 6 Z W 0 n k 9 N 2 E m Q i R x h P x A 9 p 7 n Z k E W x y f h r / 3 G 5 S C x f 6 b h 8 F M O W p m Y q 4 / A l 8 9 i V 5 n J v v s X v j 6 v 8 d + o B k o z C T C y 4 Q o r y l + m W / 4 F 3 A 2 X I I q a l g D U 4 e j Y u H B 3 + S g 7 z W u z M O s r U Z 9 5 8 i N 0 T o i 3 X g 9 C K y g n 2 V J Y W 5 o D o h x L O j H 2 G D H O Z d f h d 9 / 4 4 t o X b E K E 0 M D i l k 6 1 5 2 G d J J a u b l N + b v e A L W z X I / C u L q + C U 6 X G 8 c P 7 l X H b K T V p g 4 K K W q t L O m s d / 8 e z E 6 O Y Y D M l M t S m J M U x L o S 5 g x R k P r o 9 w k z C Z S G E q 5 q r z s L 7 / 7 a 7 / C n w a I z 9 6 8 b c v j + v 7 x d v a d C 1 N l N C E s 3 E 4 g H H 3 o I V 1 + t m V K L s e M h N m Q d G U h 8 H w P 5 H K 9 I Q j h y / B D W r F y r j v X 2 9 W L 1 6 t W 8 z s I r j Y 6 O K u Y 6 7 7 x z F d N + 5 M M f U W a m q O q H H 3 o E c z P j e M v b 3 6 M Y X W s d D U L e w 0 J J J F f b f 2 A / T j t F u 4 8 Q u s Y M E v n j L / U A g 1 x L J N f J Y v j g O F y N C T x 7 w I c H t 0 a U y S H 9 5 X F Z 8 Z V 3 i Y k q E T A x W X P K 2 Z Y I V o H m T o G M c n R H P 6 0 t K x L U P P V t j Z S W V o R m h p A L t + O U V z X A 7 t D 9 V d q t l u w 0 / x Y w f t i P x g 0 0 h 1 R A I 4 h I e g x e R 4 v y O Q Q H x x 0 4 p Y l M R 6 K 1 5 M P o O 2 Q B 3 Q C s 2 N C h x s C S 1 S J v c A Q U 4 x d c 9 E s U p D c I p b k 9 Z G 4 L 7 D S Z f c e + j t j q z 2 v f m S G d x l c 8 x N + T m L 3 1 H v 2 L U t h i A / C M 3 o L o 6 v 9 U n 1 N 8 f h f b 7 e n 7 J S J t H + I z W j E e 3 4 t m R y s m D v t Q d w r 9 9 P w s k p Z 6 / k 5 v k w S s F K U S N A N T v N / 8 d 9 R C L 0 3 a E J a g W t 5 K s 1 k G g C M g D 8 3 2 W 8 T x X g b Y S + w B + t r 0 i 2 3 2 P H Y 8 / h A O 7 n w B / / C Z L / G 4 T l V F Z a 7 g R R Q b 7 W T q v j h i C Z r f c z M T q l V + q j d x 7 g V y Y K k m a K S o o d J v N e Z b / A q 5 b J 4 N X k i 4 e d B h F 2 r U r y 6 S w g w J u d r m m V K i L s I Q O V h z a W Q t H h J U h b a I E 0 y 7 W O z k Q k n 0 r t h y 0 Z I W v S O l 3 U Y o f T m Q o E i a 5 u l I z y C + c p c d 9 T U 0 L x M 5 N N c 5 c G Q g i R s / V Y M D T x 6 i V q p n / / J 5 C h l E U x N Y c U 4 7 g n V + x H I O 1 N g n M J e v R b o 3 h v p 1 N B V 1 A k j F U z i + f Z A E S 0 e a 8 P i E M Z 1 w 2 Q J I 5 y L I h H 1 k y j m 0 n 8 J r 2 7 3 w 1 / n g d J O p J I I q Q k P M Q D 7 z S / d N 4 P R r 6 9 i G M c w h A 0 f B g 8 b o H x G t / 5 S 6 7 j y U L 1 k 0 O W n R q D 4 V W B M j s I c O I N 1 8 l X Z A + k 9 1 I d t K d T + 6 J 4 S W M 0 2 R v k q g j + k + e A N s T v q a b e 9 C z G 4 D n w C R g h O z 9 I 1 8 s V o 4 a L Y F G n l T m q 9 J N k c e R y D m c 1 5 + z d t F U 1 Y E 3 U K F P J 6 l u T X + E 2 y v / 1 f M F B p L I n B F a G 1 V A W c Z c w p O C y 2 V U p j o Q R h K f F k y r h w t f i d R P l K d 6 R 5 V h T D a C w M U P C 5 4 7 b V k q O l R u f p J M Z R g O b 8 p Q m P B H B s j k A D E Q m j f y V W X Y s i F 8 1 w C g 7 m y / N c k P g j p R K s 1 w w F J q d 9 o k b x i 6 7 W W m a E d E c Z W G o 4 E I + + F b g x t Z 0 D Z 0 G Q o G v N I R c W E a s T E n i Q a N 9 K X y U b Y 0 I D + S y C S C s N F L e T 0 0 Z R Q E S + K O j J F I R P m A D l V V G p u e D 0 m f B m s b u J 3 Z c 8 v z F B w a j 6 E Y G J P l P c p B m 7 E n x J f K k P H e e 9 D u y i 9 W 9 W c n N M Z I H E 4 M B f q Q 8 N K H 7 V U N T V T N Z x 9 f 0 O o 8 S r 6 x T S 1 F O H k M R N 9 E d X e M 8 l E F l x y 4 x E 8 8 x F t j k t B F 8 u B / m 8 g 0 q V p G j N G d 8 6 h d S P H g U R l o z + R p 6 0 v f 7 O Z 4 v R I K p 1 G J D m M r s k / I N 7 9 b + y 3 N M 3 B W v U X Z K R o v w O O l g H E s 6 0 I u A s c y Q x S 1 D j D k Q F 0 0 T 1 w W C h w q T k L 9 j p 4 D n x P B W o O t 5 y N a l c T a M Q h Y 3 H x N w H E B r O o X l E U n u K n i S a v h N n e C P 0 r 9 k c V f b m Y B Z l Y A d X d p d M m l u w s 2 + f l v V 2 I j V r g r 5 / U + o z P K t M Q V Z Y M + s L P I u D o h O X Y 8 J Z C v W d t C U M t B b E f F X H p n 8 1 Q L M F / h C E U 5 L 3 Q J 9 / Y 1 H g s f n 3 p b P G v o n Q S x T 5 1 0 l G 0 8 S Q J f c t L 5 k I k 6 C D + m 7 R T P k v k T x g l k R K N Z 1 c h c b / f p 4 I k E k C J x W I q N C 6 h 9 D Q H V s 5 P p Z J i D c B L G 1 z + l j 6 H t L v S k x U h 2 l W g m J 4 / l b Z m U i E k R J z m 4 p j p s a B m j Q e p T B x u J 8 2 y 7 J w a + M H w c X Q E y U z z 0 D o n n 7 c p f 0 H u P L M / g 7 r T i h r C Q C W n X j E A 3 Z 6 6 U 9 m n Z M Z 8 J o K J V A T N P v p A l O 7 W V C 9 9 j x X 6 r z W E U s M 4 f P 8 I N U A 1 T r l 4 D d y D f 0 S y 4 x 1 K S E k I W N g q n a f f R 4 1 z 5 Q + f x z O f 2 a y e s R z O w T v Y K P 6 2 7 Q 3 8 a 8 E s T c q a 9 e y P 9 A i Z v p U m n A O f / 8 J / 4 a v / / S X s 2 3 e Q 4 5 L C m j V r s X X b N j z 7 3 D N o o R 8 z N z u N 1 7 / h j V i 9 a i U G B o Y Q D F R j 2 / b n s X f P H o T C E X z j v 7 9 A Z p x F v N C A o C N G k 3 i a J r S Y p v S 7 j n 8 T s Z W f V e M X T g + o Y + K n B 1 0 S U N M a P H 0 s j J o V 4 t t I / / A B y Q C L Q c z e n K 2 N 9 8 v R 5 I z R t 6 + G x R d C s D W g 8 4 S M V Q 7 B 0 e 9 h q u n j N C m L g k y Q E d N Y t B 5 v P W / y q Q 9 L 3 N S A 2 Q w Q i B Q P 9 V I i r H Q s 1 e Y T o q e n D 6 v X r E I s H M P E 9 C R W d T d h a i 6 l m O n R R x 7 F R Z s 3 q Z B o Y 2 M 7 O 9 K C y b 4 X E f K v x o p a K 6 K j B 2 G r W k / m c X B g v B g c G k N n V x u O H D w O d 3 0 n O u v t O H D g I N r a 2 9 W c V C I d R t P U 7 U h 0 v K f Y 0 e X G 8 Q l w 9 M k w a l v t H D 4 6 w o E 4 4 q N 2 / O S 2 7 6 u I o s x 3 X X v t q 5 E k 8 5 9 5 1 l l 4 6 q k n 4 S P z j 4 + N 4 + K L L 6 Q P 2 I P q 6 h o c O X w E 2 V y G 7 R 3 E a 6 9 / L f q O 9 i J Y X 4 2 L L r i A z 6 L f i D C H q R P 0 m z y O e r 4 r I D m X R G y c T L i a f V + g B i b j x t J W + O y S E U A f T c 5 V Z 5 V C N O 7 e B 4 5 R A 1 T B F o x g 1 d m d c F A D G P j i n 7 f i 4 Z 4 M / v D B i 7 G u Q R G G / k 0 Z a E 7 b Y o M Y 7 m 1 A 8 0 Y S o d 5 O C d P b q X X z F C o y v W J o L C F O R W y 8 v 7 T B 1 / 9 j x L o + i f A A p X w X x 4 H 3 E b N Y h K W F T G C h R i 8 P z / s H v o d o J 7 W b P J k + w Z y h X x r P T M A / 7 0 d q 7 U 3 H M 0 h M x n j t K u V v y v g W 7 F p w Q 7 S W T C 6 b g z C C O A X T Z H w C r f 4 m M o k P A y 8 N I T w k 3 l U M a 9 s O w b P + M l i c 1 P K 8 R Y Z C 9 O C 2 H v Z B H R X C H P x N t G D m p s f 4 j B Y V C X G 6 F p / Y r D Q 4 5 f b k U t B m m h f n O M m c k A n f x c E W c K A s Y i 7 R P D C u J e 1 S w 5 S T m f X S 9 u c z e T U R t x i s N L m 0 G X X R O o v / b g F I D J l 0 j v 0 l 5 q k N 8 W i I m i u D 3 d u P o G t t K z U k B 9 H m w e H e E T T U N K O p 2 0 / p a s f h / k m 0 N N Z j 1 8 5 t O P P M s z h E h z E 7 B K x a u R 5 z c x F U B 2 u w Y 9 t L u P j y M x U B n h A k u u m D B W q p U l 9 T g c 8 G S l L F Y H r q U C V 4 + m 5 E v O s j 6 D 8 w i r n j W b i C W X z k 0 V 3 I + x r w 4 L 9 e r s 6 1 Z s c 5 g F p U T 5 j W j M l 9 S W p V F 3 t P T D v S g v h v 5 n F Q J g r v b / K H 5 w U E v 5 t 4 K Q L J H 2 j Z R C v C E q Q P x e 8 p 7 c O p A v t w D n n e T / S P e + B m 5 J x N y D S / S r + K B p k i k D k 4 8 S m d M p Y 6 k x n I J 2 Y Q m X K i q q N U q x g w p 3 U Z e L Y 3 T 8 H l g Y O + d C Z n U S l g Z 4 R / j M S q f 5 K h x + x g C O G x K O r W V u O 5 F 7 b h u u u u U Q L i 1 v / 9 U 1 F D u S i 5 l 2 Q o F Z W T h 5 W + W R 4 T V U I l x h L z R b v i Q q I 2 f m / N R U n 8 N P G W Y E y Z h S / Y t A l n U T h W F Q V S j 0 c I 8 c t L 3 m k Q h p J A x W L X q 4 Q 8 f a Y c + 8 J B B j H a k g i P Y W x f A f W n 8 j n y c c R 4 c 6 9 J 8 o W H o 8 i G v a g 9 Z e F 9 h u I v K G H S 4 b u Q 1 7 M i F k r R R 0 z Q b A p T s g f Y P k p X + o Y q d a Z A o W G l L 6 B n o Q g m D 4 T Q c G o V o j S 3 X D Y 6 9 S q z x Y Q T m D v + g 5 9 H 9 J S v 6 5 / E R 7 X g 8 m 8 8 i G S y g J + f 0 4 5 T X 9 U C n 7 e O T D B D J q C / U 4 b E 9 D S c 1 T K h S k a i V h R / Q w j c z E A K I g y z 9 D 3 k r U N 8 Q W k / r Z t j J P a V E Y z u S 8 D b n E B V Y y M i 2 Q n V J 1 V O b V 7 K d + T r i K 3 5 3 P x z p P N R O K 1 F B r G m B 5 F 3 t t H k n J j 3 M 2 c T V t R 4 8 g g n a S L a c o i O x 1 H V X p m p y i G T 7 Q Z O o T / b V p V D Y O h b i L R / V j + q I U e B f e 8 D D 6 K v b w A r V n S i p q a W N C U Z j 4 T F 8 J / I N c J t N / 7 8 R p o t 1 + L n P / k B O y I C a 4 G + D f j i X y F u K x 9 K D b I i 0 c W w 8 L t y 4 v 3 C F 7 6 g C K k S M w l y d N q s h Z h i J o F x / l / / + l e 8 + U 1 v w q 5 d u + c / X / v a N + L R B + 9 R m m n n 7 u 2 4 9 r r r 8 D D N x S w d W 2 G m + + + / H 3 / 5 8 5 / V 7 w W i X U 6 K m W j v S o h d m E n O V u e y r 6 K j Q d S f T q 1 p c W K O T C r M N B Y / q M 4 5 N k 7 b v s 2 v m C n U o 6 V 2 J f S U x a n k Y W U e t X n O 0 f s A i A 0 l k X d 7 M R H 3 0 9 G V 8 H A c k 4 m X l G Y o 0 K Q Z S R 2 S W 8 9 D h Y Y J P 3 2 X B c w k E C K U / D b 6 C X m a l 3 r A c B 7 x v B u D s e f 0 T 4 Q w o M 2 J s 9 c 0 o O 0 V G 9 H z W F o 9 d y R f h 7 0 j t C D E Q j D B 6 g k q S 0 W i q A o 0 P R c w k 0 D M L b a / P x 7 H U K h f y 9 v M J 5 F N J 3 l u F C 0 b a 1 D V 1 I q J / T m a W h 5 U F x y w J n t Q i I 8 g 0 f y 2 e W Y S 2 G U S 0 d Q J e W c H Y h Q A G X s z I i m t P 4 S Z L L k 5 B N 0 c Z a q 9 6 H g K c T G R q b E F o n l m 4 7 o J u g g u 7 q a G t G 5 D Y P j b C 5 g p k r K q 6 7 7 h m g 3 4 5 L 9 8 F B e v v x Q X n X c u r H f e e z / G J + b o G A 4 r J z 7 K 1 6 2 3 3 o p 7 7 r 0 H P / r R D 5 H M W i g R X B x Q S k u + 8 v I i c e c p I X J W L w m C C j m f w v b n n 8 I r r 7 q i 2 L E K h i 4 o h U h 2 A 9 u 3 v 6 C / K w f J l c Q p d n e e t q w B O b f 3 + H F 8 / / v f x 2 f + 3 + f w j n e 8 D d N T U 4 o x f 8 B j H / r Y J 3 l O D u 9 + 1 7 v x g x / 8 A O 9 / / w f m f b 7 P f / 7 z u O L y y 9 V 7 i 0 S Y l s z d K w M Z R y S S z a G F 1 0 V j K 1 B l + 9 p l g O U t m Y d S d S Q s S b o b M B m 1 Y H V T 8 V m r V q V p j 8 c Q O U j f g z 5 G g / c U d L l P h z 0 3 C 2 v i K D V f F o 2 n + p E Z d 6 G 5 t g 4 t g S A 8 J M Q m 3 9 m a c 5 x L o y P j h X f g F 3 C M P 4 k U t Y Z k 6 x s Q q S 7 R Q M 3 M M o F + h c w 1 W W 0 O V H k k g 3 y U v 8 n B M X I 3 8 q f + J 7 y 2 Y r j b L t Y H z / / W W 8 7 A W M i K j V c D u + 7 s Q T 4 1 j u q q J 3 F g c o L a S p u Y F r / E 5 b V j 9 k i M t K G Z W a J 9 r O r 7 x U l V p i m G w 4 M U G p N w e v w 8 p 3 j / x t N d S P b w s 5 V + l 7 U R 7 u m n k A + u 5 n N J m 0 U S k S 6 U 2 V l K W z 6 3 D f Z C G A E X h Z 6 Y U u w L l Y 7 F r g h R W z V s r I P d a U O i L 0 Q F M Q N n Y R q 1 z m n l q 6 V I 4 3 K K Q H 5 / Q V e G r y Q 8 T g / a A + e o d L p Z + s M Z C i T 5 X i D 3 E R g C u W q V g 3 L I B u s F 5 5 2 F 1 p Z 6 l V o k U T N 5 S S R N o m Q B f w D / + q / / q m a T R b q 3 t L S g u 7 s b Q 4 O D + O U v f 4 m z z z o T L c 1 N + P y X v o q / 3 H E f n n v + B W x / 8 Q C + / 9 1 v 8 L f N 9 B M 2 0 d d I 4 x O f + A T O P f d c 1 N X V 4 Z 3 v f C e a W 9 r w l j e / W T U k E o l g / f r 1 6 O j o Q C q V w H e / 9 2 3 9 3 D M R z 9 l 4 7 r + o c 2 X C V y A P s G L l S m z d u l U F I H w + n 8 o 1 b G 9 v x 7 r 1 p 2 D N m j U 0 i + w 4 s P 8 Q f Z N V J H L p r A L + 8 p e / Y M O G D S q l S b u Q x g T L R S Y l Y W D R a P T L 6 D d q Z u 9 C o h G T u J V + S G d N F g 3 + h d 8 H 2 3 1 o P t O H 9 q + 8 g M / d e B d + c 8 t d u P 3 + 7 b j n y e P 4 8 1 / v x J / 4 u v F P P 8 A 9 d 9 + L 3 / / + d / j e / / w S Q y P D e O y J J z E x H U W u 6 h T M N r 0 S 6 c Z L E D 7 k p f 9 S Z C i V d C w m D x l b W Q / i T 1 S A T z I k q E X c a W p 3 / q 1 z r 9 O / A a I S r e R z 1 X g d O L O D R M n f n v O m N U h O A 6 + / o R p f e D i O O D y 6 H 1 S v z K y m d X F M 7 J P z N O w 9 P I O e Y / 3 q f f l 8 X l u g G 8 n J A l w 0 D 1 u q V y I V m c X g 3 C x C 6 S E K B P 6 A 7 a 5 Z l 0 f / w Q R u v / O v S H W 8 Q w k J l d V B 4 S F p R I L 5 6 / K v R N m S y R y 2 7 z o q B / g f L y R z a q Q V E a Z + a i k n j Q o n n 4 k 3 I P P X 6 q 8 a / t y q J o j V 5 a g x b b S G / G Q W P / 1 j g f w b a / k 4 2 s d + S g t A E o b V Y Y U s t Z x E N Q U y D y W w t r W 1 U f r M 4 p y z N 2 m c z c Z 8 6 E M f w k U X X Y R 3 v f v d i t C F g X 7 2 s x t I l H 9 W U v 7 b 3 / m O + u 2 7 + f 3 w 0 B C 2 b d t K 8 + u N u P D C C 3 D W 2 e f i t j v u x Z N P P o k r r 7 w S N 9 3 0 a z Y 0 j e 9 + 8 y u 4 9 Q + / 4 u V z G B s d w c y M 2 N P s W J c L B w + 9 R P P s 1 d i x Y w f u u O 1 2 / d y r 8 P v f 3 q z u 8 5 3 v f B v H j h 1 T D T a Q T G f x l r e 8 l Z r q e + q z M W z S M c Z z X P + a 6 / G Z z 3 x G d f 6 N N 9 7 I 9 / + O q 1 7 5 S u 3 7 s j y 0 R c H f Z h J a d j o t R 1 7 L M G e E U c W H O n l M R l N I z Y 5 j Y j a O 0 1 d t w J W b X y n c g P M v 2 I T 6 2 i D e / v a 3 4 r T V Z 6 K 7 q 5 0 O 7 3 U I R R K 4 b H U I r s R B m m 7 T c D k 7 a Q a n 2 R b 6 c S Z T y I B t d h c 1 2 F P K O Z f c P D P E h B w O a 8 Q u q V f l u P H B 3 T g 2 p Q k d 6 d O + G S 3 c 2 L i i E V 7 M Y v h Q L 0 b 3 D u N o S H I A K a W t Z G g y R 9 O p K U Q m x z C 5 n z 4 g T c / f 3 3 I L 9 h 8 4 Q m H s w b 5 9 h 9 A / M I K h 4 X F 8 9 r N f p N l 9 G 3 y p W t x 1 9 / 0 I d g z g 6 O 7 9 C E 9 Y 8 P 0 f / A + + + 6 N f 4 c G H H 0 f N y m Z 0 r N x E W v s B d h + a o T X y e R w + 0 o P B k S l M z 7 A v a B Y / + 9 w L c D g 8 G B k e h J f M 0 t c / h M e f e I Z W h I f P 6 c D P b v w 1 z X A y l a U 4 S r W r g o h N l 9 m 9 B v g c M h G e z Y W V M J L l P / a Z b f D 3 f w v x 5 n / U f 1 S E X Y I W m T n 9 k w Y 1 G m L K F W F B I h 5 T S a 1 P P P 6 o 0 i h 3 3 n W X C m U + / P A j S q O 8 5 S 2 a d j G g E b A G 0 o X K o b v 3 3 v u o a V q x + Z J L + V A O O G h r 1 9 S 3 I l h V w 4 G 0 K J P H o m x h T Y O I 6 q U t R Z M z o Z / b g s 2 b L 1 b X l O R X g Z g 0 Y n v L 6 1 8 / + Q m 8 7 3 3 v w x V X v E L 7 X u c o t W S D o u 6 n N / y E W q t D a c c X X 3 w R B w 4 c 4 G B + F h M T E 3 j o o Q f Z 6 J x 2 z y W Q J d P K 3 I S E f S W i b g y M 8 b h C z A Y j V 0 I 0 O 6 a i T + W o 8 Q h T F l D V s R r n X n w G r Y I Z X L L m d N S l 1 + F c M p g n 7 E X n q k a 8 a e N L 2 O j d h T M 8 + z B S 1 Y K q r o t p u s l q g A L G X o q i Z q 1 + d 3 H 4 0 z R l U h x c 6 a O a s 5 B u f T X 8 P V + h F t G C I y p s T I x H R 9 l / 0 u / 0 M a w Z j C f 2 0 I w p a p f b d g z K g 5 O o g D G a r t 2 1 J k 3 O / r r 7 P y 5 G 1 8 a 1 S G w d R p Q O 2 Z 6 J R v S E G j C V q o G v v h k N p 7 m w / t S V + P I X P o 9 W 5 0 p M H 4 t h 4 8 b T l I / b 0 d 6 C L 3 / y u / j E u z 4 B f 1 U K r 7 n + a g S x H 1 d e c Z m y M P 7 9 0 / + E / / j 3 T + H V V 1 6 E z J A T 5 5 6 9 E Z / 9 f / + G T a d 3 U 6 j + N y a n J n H K q W v g 9 g Y x G 4 r i 4 v P W q 0 z / 9 v Z u N V X x 5 r e 8 H l d f f Z W y d N w u J / 7 5 n z 5 E 8 3 O S z 1 s c J Z m X i o 0 U n 7 c S Z K 2 V p + 8 3 c M z s Q L b 2 f E S 7 P o u C r G e r A I k 3 C 6 I p 7 e 9 C 8 U b 8 4 I c / o l n W j g s u v B h 3 3 3 0 X 3 v b W t y p t 8 L v f / Q 6 / / v W v 6 W t J M A L q / V l n n 4 3 z z 7 8 A q 1 e t x u 7 d e 6 h l t u O a a 1 6 l N I K 8 f F 7 x f 3 g z I V 4 T 4 w k k t i c T f F d e c R X u f + B h n H P u h S o v s P R c D e I 7 G W p e k m Z / 8 5 v f 4 L v f / S 6 a m 5 u x a d O Z m J q a 5 t 9 N m J 2 d E 0 W P z 3 7 u c 2 z 7 3 e r 7 R C K O Z 5 5 5 G j / 8 w f d R U 1 O D i y 6 8 i G Y h m b B C I q p A z D p p q T R Z z D y r Q 7 u v o Q 3 0 Z h D F g a q E N K W c o y T d S Y P x H M 8 f H c d g u B d D y Q S C K 1 t R v T a H Y H O e G q g J 4 R 4 r I o 3 / i l T 7 G 5 F p u 4 4 E o w 8 V i T 8 b j 8 J V 5 V Q 2 u 4 I 4 / M 4 q M p v M j x S n H q K r v g T v / q / D f + j z 8 A / / H I G p H 2 H 9 y B 9 h r P L N F v x o 8 m z U 5 2 4 0 T M R F 3 B W U H 9 h M 0 9 X A 7 x / d j k w 2 C b d D / D 8 b N l z f B K f b i e w L B x H f t R d 1 P h r j R n d w n F 1 u B 2 p W 2 1 G z w o G h 2 Q L e / 9 r 3 Y / Y Q L Y v q J H y N Z O 7 c H F 0 i 9 k / i C C Y o c 2 R 8 r Y N P w j 9 2 A 6 y R A 0 i E p 2 B N H e c J A 0 i I A C h Y 0 b 3 B h q n I M X h o j n m c v J l k P 1 A w 2 j M j 6 r Y W 3 l c y w u 1 k G h H S B f o 8 B f o / 8 w I / r 2 m m x g 1 B T O w 1 C Y o y 2 O b 2 I t X 8 R m T r z 9 e P L A 4 j 8 u l 3 s d / o 5 y 0 7 b C 5 T W / I v L 6 H + 3 v i L X 6 n M B N E A R l K h Q D K I n U b S 4 g l g h J 0 N W L J R m l U y Q V z Z H J O I m M T W b C Q a c Q 7 N 9 q w G i V C K p q P m W C K 0 r 2 x s + a t C 8 W b t r E F s e X s + w m f x w e 4 q 3 k T G p c h M G t S U X y y m 5 q G W g 4 H I C 2 j 3 n Y n W z z w K F 5 / 3 m a + 1 0 9 m 1 Y q W n A x Z X K 9 s U o u 9 I n 6 C 3 G t a u 4 6 h y y 0 I 8 6 Z s w h h M 9 s B x t h 9 1 j R 8 M p 2 g T l y 4 J M / P B B f M d / h H j H u + E Y 3 Q q n 5 R g s Q S 9 W f L 0 a X n b / v r f u R 7 r 5 V f T Z z k D e 4 c d l X 7 4 D G U 8 D n v v 8 l f p F S r H / / m m c d m 0 x u H D V b / t w / 3 t W 4 p t f / x q + 9 c 1 v o r / / O G 6 9 9 S 9 4 / w f f h e 3 b 9 y A e C e E V 1 E S 1 1 n 7 0 T t K f o g C / + 4 H n 8 a p X X Q k r f e c t T z + F a y 6 q h W v w N h R o Q l q D V h y 3 X A V n b S 3 S 9 H U a v a d q N + K g W N L D F C Z t y v 9 S O Z v O 0 s l a A 2 m S s M g g W T G d K 3 g w 0 5 d C / d r S f h T m 8 / d 8 B 7 H V / 0 8 / U k Q 8 M w u v Y 4 l + J + 1 Z Z q f H C k M h J 7 o a n N Q I l b O F K + H Z L c / Q L M j h s s u 0 q J k Z l Y l 9 I Y S w R R 6 a o c 0 3 i V S v z B B m 5 q 0 E t U h M O v k E D V B M J T l k h O R o i R m k E l j E j M u S Q S x e F S 6 2 i z d 7 A s R j 4 W U z l I H m f 3 t A / R 3 7 / q v V 3 / l c P b Z j Y P g o v K F u 1 J / m Q S Q 1 i I C k 3 I g 2 Z T s j v Q 5 U r d L K E C w O 6 V f t r x G O F 8 w m j 1 E Y 2 R F U q 2 V 5 u c M / Q r j 7 U 5 S u 6 q O C R M S q P A u v v f m / 7 4 e V E n 7 H P x x H o u u f 6 S a U C l 8 h x J f u G 6 f m a i Z d 5 H H 5 9 5 9 D K j K D v 3 3 o b P z s 5 z e S q b 6 B u + + 6 B 7 f f e Q e a G h t x w y c 6 8 f m b 5 1 A d 9 O O t b 3 4 1 n t 9 x C J P j 4 / j H f 3 w n v v 3 d H + O S z R f i s g v W c W w 8 i O a S 8 N u 8 1 E A y z 6 h l q S f b 3 i 6 d h p y 9 B f t G 7 T i 1 K a s m Y m V M L W y n l r u 3 u F A V h K i N 0 z Q d C + 4 C H N S 6 0 V w A K 6 P 3 I 9 P 6 C o Q z b k S S F j U H Z S B H c 1 q E + W K w p I Z h G Z 0 4 V P D Y K Q l O o K E q o V z D G K i c w F o O G f L i A 6 t C H u K o E B Z Z p m y l G V O h 8 X K G D P d i X W W h 9 M 3 l H c p M 0 x i W D M I f i 3 Y x o L S M O k C C K / B e J M 6 C u r c F 4 S S p i 9 8 7 q O F S m T y q f d p c R W l r S 5 G c P Y i M t b J U r I Q 8 z b b W z z z C d 5 Z 5 h s r T d B F m l m O j u 2 d R q L O g s T W I r 3 3 j m 3 j T G 9 4 I u 8 M G l 8 u D v / 7 l b 5 g L z e G q K 6 / C a a e u p f / Q y b b l y N D 0 9 y Q F J z u N a D o K v 8 M N v 7 O D 1 1 x c + P i O f h W x N V 9 E K i u R r j x m E z Z q 5 Q K a A h U Y 6 h u P 4 P q N b f j s d Z p m c I / d A X v q K D I W C g E 1 R 6 j 1 0 / a d Z + F r e 7 d h 1 F a L L f 9 x E c 2 2 O X i H b 6 I J Z E d v 6 B N Y U X U D z r r 7 U j z 8 6 h f w o u 3 f c E F X A o 6 5 f T T P k s j V n s N r 2 D C 6 Z x q t m 8 R X 5 B h S + 4 B m m 4 y A i s r J O j N 9 u Y k s Q 3 F P 3 k 6 C y 6 o 0 s j x 9 8 J G w C y 3 B P A U 6 W y O C N T u L Y 2 F Z L a 7 Z J T U e m o g U t r P J o 1 h T u w K z h y 3 0 R W n 5 s J 9 k f P 3 9 3 6 D P 9 J 8 Y j 1 j Y D 3 I G 8 N K o A 6 c 1 Z z S 6 W Q K W 1 E D R 5 J N 5 D o t k a S 4 X e o b w U p B Z a p l Y M y D L n e 3 6 3 I 8 U G S n o i 8 Y q w Z K e h W f 6 T u S s k s t F 2 7 j q Q k z F a e p U 2 / H d H 9 2 E z s 4 O X H L h R m x 5 f j s u v f B 0 7 H p p C A 3 1 9 T h 9 Z R D O 4 H r s e W k P G h r r c f T Q H o x N R l S 4 / / z z z s F P b 7 g R 7 3 z f P 2 P f j s e R S l L i k W n P P e d M e O w 5 R A t N u O 3 J s N K u L j L k 2 E w W H 3 l d t S a x 9 c 5 M 0 / Q u V 1 p 5 + g I 5 i 9 S 7 W K j N N v / i O N 7 V F c X H r j l D P 6 K h + d / u V 3 / H v n + t + j s P d t f U U V 6 v O o M / k 3 k u u f B C V A W r 8 f w L L 6 C j s w 2 D / c M I R e c Q D A R x 7 b V X 8 3 l + j i 9 9 4 X O I S Q J t r g p + d 3 F y N 0 P z p 5 I P Z 8 A 2 + x I S w W 4 4 S L A j s 1 a 0 1 R b H y s B g b C u C O B P X / f A p P P m 5 q x Q x V o T M g c k c J P v h o i / e i W S h H r d c u w K n X l A 3 7 2 e E e h z 4 j 8 f u w f 4 Z F x 7 6 0 E r 4 6 r q U l W O h 8 H R O 7 0 K u / k z 6 N g n U r U n A p o Q 7 G U K W 9 1 u 9 S F E I u R x 1 F B q S S b L Q J X B M P A V 7 / C A S 3 R 9 F M m N R B V P m I b U s M r x O m S k o M j W f y S E y G k F 1 V 7 W K 5 s X a R P v S D R A B X 0 i r e 5 s x O l d A D b v U r f v V Z k h y 8 D x D L Q f T y S k 2 I o d 6 T x P / F l R w Q r K 7 B Z a 0 L F + Q p M 0 i Z u J W 1 H p L p V 0 i N w O X N V i R + B Y F 7 y n z J Q Z 8 Q z c i 1 l 6 6 z N p A 5 L g d g Z U L H U 6 x B B 3 h A 3 C G d 1 B 9 p v E 8 X o d N z W R o a U c 2 h I H E Q V T H T 0 O w S f e p e M + e i R x W N d C U s 9 A U 1 g M S F a E I i d p U r l X 2 u 8 3 f 2 Y I u Z w S 3 f k r T R A a a P 3 2 f + j v 2 g + v U X z P G 9 0 X R t I F S X 4 S W i E V d U 0 e G k g i 0 F x l G S n z Z b L N w 2 6 q R y M 4 g n B 1 B k / t 0 7 b v s J H z 2 h X U f i p B h t 2 C O Y x Q M P Q l r y 6 X a 4 Q p 4 b E 8 f v n z 3 I W z 5 4 j X a A f a N h f 5 E + X i L 8 L h 8 h Q 9 P 7 j x A 4 r f i s X + / T N V h 2 P v A U T S t r 0 E V T c 1 r f v 0 H 5 F w N e P 5 L V 2 D 7 U B R t d U f Q 6 i m W B J C o 6 m i S w i N w I T + R o V K j 9 I + 0 u Z 4 M m c p h C q B U B C 0 U 5 9 R D S D e 9 V j 9 Q h v Q E J a L G W E a J t F 7 2 9 + m N f 0 C 0 6 W P s k Q p q q C w / c O e g E 2 d 3 p N E f 5 d j 6 N + t H i f S k 2 G v L 4 6 f e u W O o c 9 f D W 9 B S g C R S Z T C T Q E X N y k A r h e Z X 6 f U 9 N A V O x E z G E v F 5 l J k t 8 a Z 3 6 + 8 0 m G 9 h c S y c Y 5 B s D 4 l A p Q K n 4 v H c + 5 B o + S A 2 N U q o 3 a 7 U d I z E 2 O n b g C P P D q B v T u o 0 A B N R O 1 Y 1 O W l M 8 R n 1 6 N C i E C 0 g z z / P T O Z n L m A k U X z e W G Y K g / G t + q f K c N M B P 3 q s B 3 v 3 H 8 P / / v k u P P r 4 U 7 j v g Y d x a P w Q e v u H 8 O R T W 3 D v / Q / D z c s K M w n E b E 9 L D Q s d w k y j i d 3 K D B p P v q Q f N Y M m L f u l m g I v V X 8 p P L 0 0 y x b B K 8 7 o x s P / 7 y o S l j 4 F w P E o Z 6 a x W d 5 7 Z g C Y P M Z H z u E v / 6 w t V c n Z H O h + 1 W l o W 9 8 E b 9 V W p A p 1 c J I n t g 8 4 c W 6 7 v 4 S Z n F N P 8 4 S C Y q a B i K R D 0 W N 2 N p A e R v m + g K H I I O m p 6 N O U Q J 8 W o G q b Z y Z L u n S O S I H M 1 E d G E O 3 k L w y p Q y s o v O a C H 6 7 M T A K D m f R 7 K G a a t S t m C k z 8 B O 6 h / 4 V 9 c h v 8 Y 3 + Q o M R 4 Q Z I v p e b d U k u F c 1 k J l 1 b I F V s G c n l K U r F p d a i l 2 2 o J Q i W I R l t C G + h w z G z F l J f m k D I p C 9 g 1 5 M R Z 7 R m q 8 D T 9 p y J z C 9 G I l S J L u c 0 I T P 8 P I g E 6 t i q d n 9 / R j N i / 8 z g y D S 5 0 1 d V S r W s B G u l 4 q 1 p G s F h 7 l w C 1 9 u Y f a r U a t v y / o g a Q A E T X F 3 f R N M l R Q 7 1 G H c u m 0 r B L f U N i Z F 8 I r R u K E r E c c 3 2 x + U V w o f Q g q u g r q W c w E U S W D r z d 4 s Z c e g D V z k 7 9 q A 4 J c C i N W u z n 0 b A N q 6 e / j 9 g K b R W v C C G 3 R G u V a S 9 a Y X H a E F z 3 1 b 8 i Z C V z R y d J q Q 3 Y 8 v l X 6 t / Q 9 O + x 0 W r I 4 R 9 / / B C O z d m w 5 U t X 0 r m 3 I E H T z E P T L D Y b x + i R K a w + v 5 M C o I B s M g e n t y i E 4 t G 9 8 P p p M m d m M J i M k u H K n u d E 4 D P Y x x 8 m I 4 e Q 9 F 0 O d / R J x B v e h T T 9 K p l b F P q Q Y F d o L I + Y N a y 8 Q Z k C 6 u 5 s R j I 8 i Q t W h y H L l K S i V N b e j G z N x X B O P I J U w z U U L K U L F 6 3 J p D j x 4 j 8 t 3 m G F X P p l M 5 N M E J q Z S b A 0 c Z 6 Y m Q S Z 2 g v Q P P d n h O i k 7 h u x K 2 a K 9 r n n m S m e 0 G b 7 x d a d j k m P 8 f n 0 V z q T p f n Q z U 6 U 4 9 R + Z C Z Z V v 2 n P X V 4 f F v V P D M J 5 B S J A i 6 G b D q F W G i G D J F E J p m g y Z J G j t d X c N Z R 4 K Z x b D q J f / i L l p 2 g J r d 4 3 y v W 0 q 8 w T T g a z C T + W O M q O u D C y f M o I J I V K a 3 B v K L U b n W r 7 O u x h F Z g x I A w k 2 A B M w n I U L F M q d Z v C e Y U M 7 k m Z d I 7 D 7 K i 9 o W y P L R 2 Z m U O j L Q g k O x z M + 7 7 4 l s U E x V c M u + j R T z l G S a H 2 e 6 O Q d W P v W M z o M K S M g / 0 r 6 2 K m Q S + G i + a N q 7 E s w c t e O h F d p s w k 5 j R c g / 6 3 Y q Z B P T F F D M t k l K 1 G G Y y w 8 i 2 X I d 4 / b u Q 9 7 R h t O o K x F I W O K 0 Z + K b v g 3 f 4 5 7 R y y E Y 0 T 1 t q b W i i 7 3 3 1 q 6 7 E u v W n Y e N 5 l y N R + 1 o y z + u w 0 / o x p B u v R 9 5 R g 2 T b W 6 m G 9 D Q 2 E 6 w e j 1 u t O l 0 K F u m F 5 U I W b r E T 1 I s w k t j n k a 2 g h s 0 Q f 0 l J 2 x M j R 8 a s c n V g Q 2 t O O a K u x i g m o 1 Y M z N q o U X M 4 O B h D O E J / J J B H I p 5 E J B J T f l 9 y 9 j i S 7 K A C z Q n D n J T 8 r T d U T + P T b 6 m Q 4 i 9 z V X R S K 8 H u d M F X V U u G c M P h 9 s B O h r Y 5 D O k q E p B 9 l 8 + j d 0 h b u i B a Q Z z j 6 z c J o R c 0 k 1 i 0 g A 6 r s w p 2 b z X C / U U z s z / 2 L G Z S P Y i Q 2 Q y M H 5 n A 8 b m d J N q 8 W s r g K H O e l 4 Q 9 q H w H y c M z Q 6 K z I n U 1 U 0 k b O J m z k T H p D x 2 n y T W A U H Y A U V V q j A K B f l Q 5 L G T A H 7 3 z P E S H p 5 B L 5 9 D Q 1 o K g s 1 W N a M Z d x / t a E e r N U d D J 9 E c R A X c W F 5 9 S w K v P t m B w 7 w S G X q J 5 K f e o 5 L s a J p j Q m i A 1 p v 0 1 P p e h D i I g i 8 K r i u 3 x u b T V y c k G M l r r h 1 W E t K q L v y t b 7 2 X G K c 0 Z p d U M 2 I w g h z C / j g q t L U c e G X 2 J x 7 I g 8 X + J 5 O n R P F F 8 8 6 d L N Z 0 K D X 7 w 4 c f w 2 9 / f i i e f 3 o I n n 3 k e O 3 b t x f T 0 F D 8 / q 4 7 9 4 p e / w Z 5 9 B 7 D v p Q P Y 8 u x W f r 8 b v f u f R b r 2 M v 0 K w L E p O 2 J j W Q y H b O i s y S F h C e K U D h 8 C f m l H A R 6 P S 7 1 v T v 8 W w U a 9 + l E Z z n y N p j k l O l m O n 2 4 N K a d 7 K W T J H E l 9 i b y B 1 Q 3 i g 7 E D M p q A M d C t V w h S R G X y P 1 W K U D 6 O 6 t Y o Y l F t o L r c 4 m d Y E C C z G X D b 6 r C y + m w q E 6 0 U W E b q d v N q / b E t 6 u 9 i U N n S O u G V R 7 1 k q k P O L L h q 4 R / 5 j T q m M s E p d J r d X W h x a 1 r d L w J G h I B M c i o B W M Q z X 3 w 1 1 i C A h u z t F D J F s 2 3 7 s T 5 q z T w e + v d X w N 7 u w B U 3 H s O r b u r T v y 1 F x x m N a N / Y j P j I f h x 9 T p a 4 L w K j T o T h Y / O z z B W p J S Q m F F z N e H H 3 X h w + e h y h c A x D I 2 M 4 c P A I H n n 4 I a T S W s h 8 c C 5 A R i 8 d O 5 n 4 L 4 d U V D p K W i u B K Z K q R f m U n V w c 1 B J I h x k N f h m Q A V p I n j r S l N q i J Z a J 0 k I l B R y e c G B N Q 1 b L b C A x z B 2 l k 7 1 m c W K y R Q 7 B m 3 g Y k c Z / 0 Y 8 U s f e h I z j j 6 s q M J v j q v U f w 0 P 4 x 3 P V P 5 6 E u U N n 8 f S U J J J H J Y 8 t H N I f c E t u P 2 w 5 X 4 1 N / 2 o u O W g + e / W x x E l y Y r / 3 T 9 2 D H l 6 9 C e 4 1 c r y j b j L D v 0 O 4 x t G 8 y n p e g T w Y 9 G J C O Z V R R T H l 2 E V q T y Y N k q i Q a P a e R c B e O p Y V S X A h L e s e a G p m P n J U j R G G i + a W l S K W K j O N y L a S H m Y M J V K 9 2 q k x 8 p V V E o 5 u C T 8 l c i E J A E w i X f / k 2 p D 0 N u P O f z k d j s L I 5 n U / 0 Y y A 3 i G 7 P 2 R Q C T h z f 2 Y 8 1 F 5 h r c m i w J A Z Q 8 F D b C y P p 0 V B L o o / P 1 8 5 j s k T H A 7 X K m 2 2 Z C 4 V R 4 5 a J 3 H b E w h J G r 0 L A I j S l C Z Y 8 h W E i b 1 P a u w Q y L 8 r r L A d W 6 e h F m U n w M p l p e l q z s e e Z q Y J 5 o J h p E V O q E g x m c o 3 c x n 8 t O P L C v b j l 1 j / i y O G j 2 L X 7 J f z + g Z 8 i P J x A Q q r U 6 L D F e s m I m q m U C 6 x H p G F h J d S 9 d 4 3 i j F d q q 0 O V v 1 U B n 3 2 1 L B / J 4 + 0 / u F c 7 U A H n 1 F B L h G i v y 1 o p a o G C 7 z R c u b 4 R f p o 5 s o m B G d I v L R 1 d e M d f x V w p 3 v P o s V 6 E Z i e x 7 Y W d s D f Z l C 8 o 2 d U P P / r E P D P J t S 0 e z U 8 R Z o p k x u C X 3 S l i X d j y 9 A 6 1 7 u l F 9 s f 3 f / h j S u V e H D h 0 F H k y k 0 D u u x g z C c z M F B j 6 g f 5 O Y y L j Z S D c w + u R o A W 1 p 3 j o v / I 7 M p N 9 e i f + 4 9 Y X S j S 6 w U x S 2 T V J + r a y L 2 u X y E K x U t t 0 + z e j L 7 G T J r Q F a 8 7 X x u e l u y f o o x a Z W z G T Q r E P C 5 5 u 3 o j 9 L d k V 6 o k 1 K j w a q m c / d C C X C s H p 9 u K 5 Z x 6 j z 1 P s C y u l s k V q D J Z j n p m K f V P i 4 p p Q c R 5 K 5 c P R i 0 w l j s L t W a u c X l G l n i U m Y g 1 M R 3 L w O v P w u E x + l 5 4 2 s x R U 5 E + l z 1 f w Y X Q Y k S f / 4 P c R 7 Z B C H U V Y o 5 R U 7 i B k o V v k e A p 5 D q y n 3 o r a 8 e 8 g u k r P y z K E Q 4 6 d p q 9 u P f x c P 9 Z d x M G i H Z y 1 + J S m W w y b v / 0 0 q W g M W 7 7 + V v 1 I K X r H x / E P v 9 2 P L 7 0 + h 3 U d H g Q d 7 a h y d O O C r z + G y O w M D n z r a g r R Y l T I I D h D o 4 X o q B t R S 5 m W E K d + 9 M g 0 W t f V q / f l i I 6 G 4 Q l G I W X Z x D Q T / 0 U s i n T e r h V 7 F M j y A o d m Z m v Z G C Y B a Z L q B p T G k 9 X Y I t W V + S R r r I q m 5 l B 8 G 9 q 9 5 y M 6 l o K / 2 U X N N 6 R p A x 3 e k d / R J 3 k v N n + R Q i 9 A y V / V h l e u m 8 O X L z + L / k c B k 6 F p v O 3 G v V h B U / j H l 5 2 J m r W L C P P U O L l Y y / A u 5 L I c O p 3 5 Z M I 1 N Y G j u z N Y c b q D 5 L K 4 c F g U 4 v P Q T J M I 8 H y x T B O i 4 0 n 4 m 8 x W i B J D 2 l s d a h 6 O J u / o b I 4 W i w 1 O p Z n N b K 1 D G G c 0 8 a K y H 4 W Z B O L 0 L o e Z Z H m 1 X L y E m a h 2 F T O V R Y X K o S J / B j P x 3 h J S L Y c K 4 x L Z t E Y g 5 k c s O J 2 Y y k 7 D M f 0 0 p m u H E a 0 f 4 2 1 z O F 7 / S Y R 7 r S S A o i b 0 T / 1 S T T r v v r s f D Z t W 0 A 8 h 8 b C D T 5 g u J U Q d W J j G P z C r n d j V y O 9 I s E / u c N P n O A M 1 z m 6 l Q Z z 8 J 5 Z M I Z r V B q k / 8 h z N U 7 a H 2 k y 9 d D j C W c T H J J 3 L g r 3 i M + 4 / h B n 2 2 0 7 6 l M 8 8 u 0 3 / l Y Z 0 m I P e E s B 4 n n 3 h a t G y F A S 8 / z w z C V S N D Q 0 L 0 p D K m E k g 7 Z X V 2 C K Y Z E w K T v G X N G 0 o E G Y K D 8 U V M 0 3 E x t D L 5 z I j a 9 e Z y 1 u r p j A w N w R / W h M i T p s F b / v u w + z H H G 7 + 0 P m L M 5 N A Z y b B P D M J a L o V 3 K 1 Y f U E X y a U F h 5 8 a R i p e D O o s h d v v u A e x R A q P P 7 2 T f b o H e 3 e / i J n Z h Y G M X L T I T D J B P h r W a F E V K i V U R N x Z S 3 K w o K X G r r J q l B C i 6 2 T N 0 u 4 e i D y v f i i Q q F S r 9 + w i c Z 8 E k t E K Z p 1 h z + v p J 8 s C 7 z 2 f L K 7 C z E X I 7 H a m S Z v T O T S u E w Q Z U M z B O m c n e s h Y k U Q L a l y d k D L G D Q E L B 3 8 E b v r W q W Q a E R L D j O 1 t 6 L 3 / K D a 9 t k t l c i y Z c i X 2 s 4 6 A W 3 5 X K q k E n T X a M m r p Z 1 n T 9 d z x W b h s p f M T I p 0 H J z X T 0 9 N 3 O g a D t O G F Q U 2 a x 9 t o R a R 6 P 9 m p g A 7 3 O m w 4 b T 0 6 G 9 t w 1 p k b c M n F p U s J d r 7 0 E g f Y j h a v 1 C 4 k E 7 J / M 7 T / t e i q q Y 3 W 5 d n + 8 + c I U R h 9 r 0 A z y N Q H M 0 c T C L Z r A a e g q w r n 3 5 D C 8 K Q W X P A P / B D p x q t w w / 2 7 V D 9 Y Y h J g y e H f X q W t t l Z w S 8 S 0 O K a h 0 n W j J m j t G Y w s M g m u I q M W r L u s D S 6 v E 6 G J M A b 2 L h 7 A k K U 3 b 3 7 T 6 9 i c H M 4 9 e w P O P m s T T j 1 1 L W q q S 8 d J I K t b V J I 1 I R P k k h s o k O 2 T B P K d m K 5 S n a l n y q b G U Z b J S x o b z U Y 3 O g M X q k I d g 1 T n 2 h l y Y k m v K k i I V 6 S n A W N d j + B Y T y + a G m q 0 s K J o p f 8 j 5 p e A l I V N x W F M e 7 V 9 i k 5 p 0 s K Y t u i Q 1 s F W B 5 o 8 F + K M u h h 8 + X 4 e k z L M X l i 9 b S q 8 7 X I 7 E W j 3 0 P F 0 0 y a v v G C s F G y D y R n 9 / t v O U I f 2 D + i z 8 i b M m w 7 U A t m y y T 5 1 E g n p j 0 9 r k 7 x O j w + n N t S r 4 p v q O x O M 1 K H q 1 d p z + 2 s 9 m D 1 S 1 B B z f V r k 6 c K L z k F q Z o S 3 c 6 l p A h k J u 1 U 0 r R D 7 w r E T p I x M h 4 q g t 6 H 7 0 1 I b P a N o i I R C c 6 t A M z X W 5 1 R O e + 0 a K R C a w 3 T q G D 7 / x y d h m e n H 9 5 6 M 0 w Q K I 9 r 5 r y o C 9 t F r z u S p p B Q v t S c Z q w T U M D / 9 B w p s H V X C a 6 V d o E N 7 h o 7 A B e r v A o g 5 a o A M W t U Y R O c Z n U h E k k h E F / p B 4 s Z I g r 6 s m 3 N Y 6 R L w n q N j U w i F o 4 h R w + n 8 M 4 / o g N n k K 8 J w 3 4 w e X l W v B c U M z F O r l L G q c / L p M p P 8 9 U K J L e p O 9 l s 6 d q w H c 6 E I Z v m a m p 7 R 5 l G I 2 r p 6 D g I l 7 N w E b 2 r D z J E Y Q v 0 h Z B K l H a r 8 s 8 o 9 u B B l Y U t L U i S h x t T e / p + r y U G H N Q / X 0 B 0 4 M K G F L i V S O 5 D u Q 9 p O + 9 0 I Z 9 K H k 8 p J V p o O N / 3 2 F t z z y I M 4 T k K 4 + Z Y / 4 v d / + F 8 K g z 7 8 8 E c / V e H 5 l w 4 c 1 s 5 R K B J m K l v A h + 8 m I 7 H 9 n / j V o / p R D d P J Y + q l o G u d T D S B m Y M Z S K X Z l O K b A r Y e H c f k S x E y i 0 1 N d q d k g Y 7 8 v g x m f 0 n W d d W s L Z p m 1 d 2 a 5 V B I T u F w o g 1 z R w q o D o u 5 Z x Z 1 p U j M p e h X 2 p D o 1 w r M L A a J A g p O a U q z X + U d t S 7 7 b K Y n C V 8 3 f a b J m 9 X 3 U g a g z r U a 9 x 5 1 o l D V i k 9 c R T 9 L 3 z z O 5 5 D M A w u 2 f O F V a l L / H + m f y h 2 F T O Y S V t z 6 q V r U 1 p a q p d m j R e a Y j G X 4 W k a g y h S q 1 o S u 9 l w e T w o e v x s v 3 q 5 P p J c g j x X d H X B 7 a 6 i F C 1 i 9 s h P V V X 6 k 4 S 7 T y r R G + L z R 0 S J j S t u 1 5 7 A s Y L 7 n e o t m 9 U k l x 5 o R H s h Q 2 t s R 6 s 2 Q x p K Y d F f R X L e g u y q D i Y k c W j q c S n v Q I F H L j k 8 K o i F l X b + 9 p m I Y V 0 p F V R V G k H d r c z C B y Z 9 g r u 7 j a i C 1 j i 3 r H c n F 0 0 2 f H b c d w J m v W 6 M I r H r t 8 t u V p l n 1 i u 8 / y 5 4 d U Q O 4 5 e t v U c f F 1 + s l n z X V H E W d e z X e f c N W H J m O 4 4 U v v U J 9 L 3 j P r 5 / H Q / t G s b r e g y 1 f L C b J r v / P + 1 E f 9 O K Z z 1 4 + 3 + J E b n Z Z / u r f A + l E j L 6 / C 5 l U m v 6 Y H Y 6 A k 8 y i f 0 l k K L k t N h u u + F 0 f j k 8 n s b 7 R i y 3 X 7 k O q V c u V a / 7 n P 9 O f C W D v l 6 9 D U 1 A b I 0 t y S I W l S y B R S Q o 1 8 Q 7 H U 7 1 I R e p x a H + / W l 0 t K 6 q H h 4 f U f m M y b u 9 / R F b Z 2 v C 5 j q P w e n 2 4 / t r S w p Y K 8 8 m q W m P 7 B w Z V Y R + X k 4 y t m q G 1 R f I Y B / Z O Y s W Z r U p I D Q 6 N o L O B j K E L j n L I H F 0 5 q U r x z 0 C H F a o U W W g W / q r i 2 M i S E L m X + N 5 G v / F t K b G a I b p g H m y Q 2 I 5 z x z S d F + y U l b X 0 T 7 q s q F k T x N q 2 N F Y 1 Z M l U N s V M A n G O o 7 G 8 y s 0 S x M a z i E 2 m k Q p n q L k q m I U y 8 S s Q D a m X z C 1 h J p m Q l J K 7 9 g Q K H p p x A 7 9 S h w t S 3 k u Y i e c X k t r s v 3 T g b L J X v R c G l S o 9 / U / d j n P e u A 4 2 O 2 1 d + l c n A 6 f 0 t I y W S E O f 1 r b I U B a J 4 0 l 0 W q L I Z r 2 Y m 8 r g v e d 3 q I V u Y m M b k H V E a q N v h e J x m V R U 1 z T 9 d g E z y d x T B R i p P 2 Z t t i y k R k k 5 W g B D T M 9 A t x 2 1 6 7 x w B j V m y u q T o l K Y J p B + C v 7 o w y i M 7 U d u q p / O f 1 g x k 9 R z 2 E 3 r g x d g e w t o J D M N h H s x E t v D B z D C 2 C b Y g / R x G + h O N 6 I 5 c D 6 6 W l f h V Z d u x D v e e C U u v 3 A 9 r j 3 z T V h 3 y u n 4 x F 9 f g j c X g S 8 z h 7 e + + Q 2 V m U m g T + g e P H R E Z b / I e M p S C z H p 9 u 0 / A E m n 6 z n e x 7 9 p N K 6 r w c H 9 R 7 H t + Z 1 k 4 F l M x S u b c g J j i M 2 o X m l X z C T D Z m Y m g Y y z m i l g v 8 m a K Y H t T a + 4 4 L / G e g 8 h P D m G u u Y O p G I R T G Y P I Z o e R y Q 9 C p + t S T G C M 0 A 7 n W e 6 a 3 l x H T K Y t h w H V t Q v m W A 6 3 Q M v H b e 0 J B z q w Y g s j 7 v 1 k k x O P 7 m c N n S K z p v f Q / N w g L 9 z k d j J 4 r 0 j W d h p H r r 8 5 s i T m I c G I Q r 4 2 V 6 N 7 / 3 w B j z z z L P Y c O n 7 8 f u b f o X O s 9 6 L 5 5 5 9 F v s O H k N N f Q f 2 7 z + E 9 o 4 2 e P h b y S C w k a E c k Z c w M r M a 9 Z 3 a X E 4 q G o e r a m G U a y n c 9 C x N T p e P f J v D + y 5 b C X e V D Z 5 6 O 5 / L C b 8 z Q F P C h u 7 6 N H 7 3 / C g u 7 r S h v r o a h 4 / 2 Y F W d B 3 f s G M T 1 z v 2 Q K k / T 0 7 P K h H 7 8 M E 1 m D t Q / X N S t a 1 c N 0 z O z 8 H p 0 3 0 3 P O D F j I n G A 4 1 I F V T L A 4 l W C 7 Y Q w 8 t 8 k u 0 G F j T 2 4 6 Y m D + M T D E b z / n C K h G C s B p P 5 g 1 r 0 K W f q r N 2 0 b w 2 y c D G a P 4 d 0 X 1 q N p 6 i 9 4 4 y 9 6 M J m 0 4 1 8 3 Z P G X P 9 y E e n 8 T H r j z W c z O h d X a s x / + 6 C d 0 A x p Q V V W l y s s 9 + N D D O H 3 D B p r Z / 4 u q 6 h o 8 / e x O T E x H c O D I I H w N T o T m Z v D n 7 Q P I 0 S c U s / 3 9 5 / k w F y 3 g J T L I 6 N g E d u z Y h Y H B Y W x 7 Y b t K J + v s a E d D f R 3 7 0 4 E q 2 z i s 7 i Z F 2 A 3 V V R J G Q X U w Q M 1 h h c s 6 i / r m T t J D K 0 Z e m M N K C r e l M C / 3 y i D p U l O k W / P 6 P o G Y f 3 J O j J Z K j Y d m d 7 n J F 6 I G s n l z k F x Y V 7 W m h c o x M j q O 9 r Z W O q y 0 f S m x E 9 k 5 x H P T / K a A e v d a M p p W U E U Y T l K C R B C v b S T D k B f v v O s + u N 0 u J H i w u 7 M N 9 f S 9 J i c n 1 Q 6 E c 6 E Q L t l 8 M V Z 3 r 5 g v Q B L q j 6 K Q 9 q G 2 a 4 Z X p 2 Y J 7 Y f H e h D Z m I u D H s V o 7 W s R d D b B P r U N 2 Q Z Z Q 1 N E O D 2 C u V Q / m T 6 N + J E m r D l v v f 6 N h l B v G l U r F o Z u K W z 5 b C H Y b L U q + d V V l 4 e 7 2 o 5 r f v w c 4 v I w f O 5 X r n T j y + + 4 R D + j C F k h e v G 3 d 8 C d n M S j X 3 2 n O i b a 6 t K v P 4 K b 3 7 c G K 9 q K O 2 J 8 7 e 5 9 e P C l C f z t Y x e g W V a t z Y N D Q q d b 5 l v U T v D l a 4 B k 4 l r X 4 G E q d W 2 Q p T 5 d f G F O X 4 W 5 p i S 1 g J s C 7 / L / v o 8 M 0 4 A t / 6 E 9 x z W / 7 U O j 3 4 4 / v K V o s r 0 0 M I 0 P 3 b x H Z c b / 9 v 3 n Y l N n U E 2 s n 3 v P 2 T R 5 4 t j 5 9 q h K E b X X s e 8 N 8 S 4 U x v e W p M w N F j W W J C U 7 D c s g G 8 F X b t u P R 2 b r K e V t c A 7 t w Z z b z f c + P P v J l T T L N M J / b u t 2 h E J h D A z 0 c 0 z y W L N 6 B R m y D u e e s 4 n 3 o O V T w d / P 0 Y Q 1 Y N O T j o 3 f y j X i 4 Q T 8 J f 2 9 P O T S t I S c m k K Z z 8 Y v Q 1 H d 6 K i i w + x v d V I T 0 Q R Y R P K 1 k Z m e 3 7 Y d / U N j + P V N v 8 f t f 3 k I W x 8 / g i f u 2 6 / y 7 2 R 3 8 Z f 2 H y b B u 2 C J H M f U s S 1 w 6 J M 8 r 3 / d d b j m 6 q v w h t d c g 4 a u T a q 0 1 F l n n o E 3 v + n 1 + O D 7 3 4 N 1 a 1 f P M 5 M 4 q 1 V d f n h b M 8 g 7 6 9 A f n 0 W P o x H R u v c j 2 X g 5 U r 7 N 9 G 3 I q D O 7 5 5 n J N X A 7 b H P 7 1 X t J y p Q I Z r 3 t Y g 6 k Z i b I 5 G Z 8 c l z t 0 C 7 C P 9 S T 1 + Z L T L j 2 4 e O 4 / r F p B F b k U L P O D m + 9 p N R Y 8 b N 3 k C G l D 2 P T e G x 3 5 T w 0 q b I j S J r 8 a s 3 c K + C B 3 S J 0 i l j R I A G G g l q 1 a k A 2 7 B b m k O k G 5 Y v o z C Q L 7 e S l o D N T f J q E o f x h b Z w W J s i y s T o z G W u l B m L P I S q Z 6 1 a X l i t t u n d k c h B H e g 6 Q E Q a p w u k r s q 8 + + e v H M D Q V g m z 9 u 7 F T 5 v + s S L W 8 C d b J / d T 6 0 6 Q R B + y 1 F 8 D b d 4 N 2 E Y H O W G Z m k o n a e W Y S 2 A N 4 5 C X e I z y K z O w Q Y r R s V P t 5 7 k z O 2 F E R u O i C c 3 H O Z e 3 4 y I f e j 4 9 9 9 I O 4 6 q o r d W a i t V L G T A O x r Z W Z S a D W V L H 1 t O u E m c J T l R N p l 4 J V K i 3 p q M R M g h K G s i S 1 c k w n g k y E n n / u W e i i G n 3 D u y 7 G N W 8 6 G x e 8 Y g 2 u u O 4 0 n H 5 e A 6 V A T t U 7 y G V S W L W i E 5 d u v o D n i P l G 6 F n o l k Q v W g I p F X Q w I H N M g u m D c c h S 5 5 o 1 G j E 4 f V r H u K e 0 C V 0 F d y u y w d M 4 C F 2 Y 9 G i R r 4 H I V q Q 6 3 4 h c N Y 9 P b 0 d 0 R P P J j j 4 / g C 4 6 p g I J A 7 u p F Y M r c / A 3 k W j p W J r X T y m E 2 A / y 0 j E T z 6 m s h r E 5 G S x 2 J A k t 7 9 G y B 0 r 8 T I F M G Q h B + f Q 0 I Q M 8 d s c L V H 2 m c O 9 l 6 y R 0 X 8 C v H 9 2 n H S C k r m A l F F w t 6 m V G d s 5 P T a / 1 m S r B v A A W 7 B + L q 7 Y 7 d U b v 9 F 2 E e t d a l U R b s N O M l / b K x K 1 M M X B c X 3 d G F x m B B C 3 p S S T Y V J 6 a j 0 y u N p f T h 3 A 2 n l X V o t 5 1 H v 3 F 8 B 5 E y S z x r n / C K 7 7 9 G D b f K N V b K 8 B F k 4 w m q o G h 6 B 4 U 6 B r k y R g b G i e Q t W o X f / I z l 6 D G v M o 7 F 0 X D f G V b U 1 + L L y s Z O C a 0 2 f X F i l Q E R W b S r 2 V k c + i p b i 6 v i 0 N S m S l k D Z k s z i y H p D H N H t X m 5 I 5 O s N / l / p K U L D T N 9 y L w S h h K Z q D N q e i y g Y A K E V L C P v z o 0 9 i + / U W + 1 U 4 5 d r x X m T K 2 g o f + k g s P 3 P 4 C n 4 N S X / e d V N Z 0 Z h r 3 3 f 8 g d u / d j 0 n 6 D X / 8 8 9 / w 0 u F B P P T I 4 3 j 8 h W F s e f Y F V F l 1 q U v I H J P M d d S d 4 q V 5 K G u U i s w m c K E a 3 d W r S E l h W G K j m I t P Y 3 j O x g H Q M j q s c C q m E m T q z k V q V u Z R 8 l h / e V F S 2 m i j G z P e A l + b S Z X o 8 C q 1 X s D Q t E Y A 4 5 I C Q g b 7 0 h + f 4 2 F 2 i L c G a b Z G / J 8 F q z x t f n T W U B K r 6 Q E z C k h I b T 1 d Y 0 j n N w b d K t D z 7 A F t 5 a i U I 5 N N 4 U 4 E W Q w o c N Y n 4 N E T O b W K S S Z m 1 B n 3 p o d 2 s e 3 D l N D 6 8 h E d l v R l 5 C M 3 r j y 1 A 5 m C E 3 1 T Q h w Z / P v V 2 h z f P F x + t F R 7 8 c l X r V U m u 1 Q C + j S 1 l k x 4 3 3 q k g H M e 2 E w t q Z V E S M f Z X + F x + A Z + p p 9 c i o J d T x a g P / e O b x 2 C x d + o t P e + H p q H V h F A E j F b 2 J 8 K w g h q M p e a 2 c i i I Y 3 M r + 7 W + 1 s Y y e b Q + z g p / V p C 4 j x o 5 z k T i q G O P k t N X A G y h q z F Q y 1 o g l g 2 A m t L Q V k 1 a x r Z 7 5 I B J F p V T B 2 + F 4 F X d j f C F N + f n J p W / o 3 s t n 7 x x e d h 3 f q 1 e P z J p 5 V / 5 P L l M D b b o 2 a P 4 + E M r n v T B a h x r p h f 0 K Z S i R x 1 u O 7 a a 7 D p j N N I P D m 8 4 2 1 v x u m n r s P V V 5 y D K y 6 9 A J d e S j O N h D B 7 J I 2 R y I D 0 p z K t D M j a p v 4 Z m 1 q S I V V o B k c f w Z G t j + D o n j 3 Y s e U 5 R P o G s L 4 2 z o f I Y q L 3 K D L H M + j 0 n o e + f T u w 6 6 E 7 4 W m k v T y b h M O k + p X 1 Z Y J D M r a F M 0 z 4 y 4 f P V Q P 0 9 u 9 p i b C n t H B Q + T k N D o Z I P J o 5 D h V 4 U V / P w 5 i f e N N 5 M t W u M a q E w Q V 5 S v q c K c A g n e / k s + a l / J h P y 7 g f i b y E u U i l F K 3 S 9 q n F g O M Z u K u k M I x 2 b C p x F M O x X d Q C c / w 5 r 0 n G H Q 8 d x b b j o 8 h m q a n L s v p l i c s z X 7 g G / / X 6 U 1 S 0 6 p u 3 b e d 5 E r V i / 5 P g J 6 I 2 t T 7 q y c 9 f j V 1 f u x 5 v v 0 D z / W S r z h 9 / + H J c s 6 G L o p w E O 3 V E H U / L j 2 U i l 4 Q X 6 / w n d c w x 8 n O V B b 8 A k t Y k j 8 R / z p N 9 m 9 S 4 W / B D m T g n J E F 5 J q m V I j C Q z 8 x i K L 4 b 0 / E k P I V J D M c p K A j x M W V C W l b 6 l p h 4 v O i C 8 L 2 O m / 7 4 s H J Z J q 1 j e P q R F 7 D z x X 0 4 c E h 7 j s V g 1 R V N l d 9 L d 8 O O 2 c N F 0 9 K M B Q x l M U m y + t o a N D U 2 q A 0 B f B 4 3 g g E f r r h s s + J W 6 T s X e a 9 g o 6 w O 0 A 8 h w c 0 m j 6 g Z d C n R V J C t + I 0 w O C E M N n 9 t C X u K p O B / U 0 c S C D U N o F V W Y p Y R 6 I q 6 H L p q c 6 o 2 m p R 0 O v 2 S q 9 B 9 + u V o C F 6 I s 6 9 + M / L N 5 2 I s 6 S Z D Z O C x r E P 7 2 n M o E K T C 6 D k 4 6 + r X o / / g K A L + W Y 5 b q b a Q g i a j i T 3 6 J w r V 4 z r B c o A z 2 Q S q p a i 8 N u L a c Q W + 9 9 X g K 2 / Y o N r 5 5 4 9 r Z a L N M B j q 9 W d 3 4 v Q W b b J P w u B C a 8 9 9 + R o 8 / 1 + l h V o E s r g z Q Z N K i n g 6 A x l E b E d w 4 I h p 9 a 1 K + y n t G J l s 3 X N 0 L w 4 f O Y 4 / 3 P J H R K J x 2 J N 1 a A u c j 7 H J G O b C N N 8 o O Z 5 4 a C 9 y 9 B 3 T J M I h W T l b B q M y k G j L 5 m o P T f Q 8 d g w 6 a c 5 V o d G f U x p J I m V l w 4 K g N Y w v v O 5 U m g E p / O o D l 8 I a 6 8 f 1 3 7 h T 9 d k n r 9 B q / g k y r R 9 D c 1 Y 2 W C j t y 0 / 8 + n F e R D N f d x w 4 D v h J G 7 z X u d 2 a b 1 j n y 2 M y l u L l i h p 3 O j f N f m T / 5 H d i l v 5 g m 1 f M O + 2 a M q 9 k X b B 6 t r z V R b z v P e / G h e e f i / P O O w u b r z o H t Y U q n E p l M R j d p m p Z D J p S 8 e a h h + o F s m C 1 Z p 0 T 0 e m k y g k 1 Q / t k y k h Q q 1 j L M D t X K j V n y 6 S H A c n w 1 v 5 a M J M n 8 0 j 2 u A n l 1 4 6 M h V C / 1 o N u l X + y N H K p H D u 4 g N 6 4 B + 4 V d h w c t K B 6 O o e p C d q v N g 8 C 3 X k 4 P P Q J o p o / 8 u K d h 3 D K p a s p p R a G S a W g S Y t n o 3 o v / l 7 1 G m o K y b V h u x 1 2 L V w 9 F q G U 1 w d d M B X L o X c m h Y 3 t Q S k D h 4 / + V C t U a a B 3 x k 4 f Q y K b w t M W 3 P i h Y k 2 F M d 1 E E y g + J W R / I Y F W P 0 5 j + C 7 f Z g 6 I F a e u N Z U c M 6 U + G R A / 8 M K L z 0 Z H U y f e 8 9 Y r l a C r r q l F f + h Z N D f 4 K e i q q O 2 G c M H V m + j 7 Z B D 0 u t H e p j 2 L S P / j 0 3 Y V p R q U l K X Y I a U t v / K O i 8 n w 1 + C c j v J c v n L k + X s t b U u y I T r r q u C c e Y J C g Q f Y l 2 8 5 T 1 t m o c G C i H 0 F D u w / i G w m i a n p E L Z u 2 4 H n D g 5 T o 8 j c I a + m d 8 h V 6 0 t p Y 1 3 d q R w O v d + o d R s 8 6 9 E d 3 I x u / 8 W o s h l j q j d U T D t z 5 k R Z h o 0 Z f 7 3 t T r o a 2 6 i V 9 q K 3 d w A P P / w E b n v i D g w O j e L h P x / B v m c i C D j L a U Y f t D L k 5 l z z V b 3 k M Q b p f i w r U 2 J 8 Y k J V + x S I l p k q 6 H M a h J 1 S R O a a y i H a p 9 Z l 2 k V c I G Y Q N Z N K P G R f i B R d A L 0 1 c w N h 2 P K 1 / E g p Z Y + q b W A E I u 0 N q 1 B + q p x q + m 3 H S C S d 1 W w L f 3 7 8 0 X G c f q 2 + G l W Z X j w p q + 1 h d H x G M 5 M 6 q r U w v o H 0 b B 8 c 1 Z 1 s k 2 x y V s D a L z 1 B y R 3 B + 8 6 t x 5 f f f j E 2 / 1 w z C d x j L y L p q E E h M o F n v 1 2 s v m S U p D L D y B r Y S + W w v i F F E 6 + Y o m L g t d 9 / H D O U x l u + p B e 8 z G f Z P l M 0 r A K k U l N 4 h s 9 X S 0 H i 0 u 4 p g 9 n B 5 1 c Q y 0 C t c T M 9 4 B L o C 0 t F W Q t a / Z 3 8 q / k f B q 2 W Q I I X p h A + P V T + T P O z L / v a v a p k 8 p b / v E r / V o P 4 q 2 I h i D C U H U N m 4 3 l c 9 9 1 H Y P F U Y V 0 g j U N h 7 V n v f c e 5 q O 4 y M c U S E G b U N p M u h S U p J Z n J 7 O y / 0 f h e t H h N g m k J j I 8 M I B E L o X v V a r x 4 7 y j O f G 3 Z Q k b R l B V o X C C p d Q 5 P c b w W 6 f F S w m i q o 5 T U 1 a 9 o G c n j M h C m 5 C 6 H d P I C Z i J C P d r t J B y / G D P J W h R B d W e Q W i e L Y H d h n p k E c R K u Y V p J 2 o 8 9 e k i 9 X 1 1 H k 4 m + g C c / i L V X m K K B 0 h F k u A i Z U 5 h l d W A I K 2 p L m U n g 9 H u Q i W v P 4 q I 9 3 + E v I J n O 4 B E 9 P N 5 Y o C 8 U H k N c V q 6 S Q H L e Y h 1 v g Z m Z J O 9 L Y N j w Q U 8 P R q K y / 5 E m z c y 4 + 9 9 e M c 9 M g l g s g Z n Z W b U T u u x i U g 5 x w i f 7 m x F o c a v 7 R F L A K P 3 L R j + v n T M n v y 4 y t D o G 4 s V d C 7 u D q + G i f 1 e y x 3 E p C S g k a N I b k D k v G W f B a 7 7 2 N 1 X I 5 r P X L F x R K z 6 2 E U 3 L c x y u + + Y 9 7 G B J s M 3 j 0 D A t H 3 5 V 5 3 X S j V w o b N Q 4 Z 2 Z U C p u h 2 Q W S M 2 q G F F y R v E 5 l j Z B O Z X 5 M M Z P 0 d 1 n d j E p o a u 1 E 9 4 o O d p k H 9 0 c b 8 e i e A h 7 c a R q r R Z h J Y G Y m Q e V e L + v M e J o n 6 R d N 5 u e U n 2 T A 6 z c 7 g h o k x G o g F U 4 j M a 0 5 c F X d l b O d p / S B C v c W y h Z 2 l Y P M R a d Y N I z s o S q d n A 3 Q p z H h w C M + O D 1 s k + 6 v W V J a k q R M b c n A j K b Y 6 a Y V v f O g 3 y B L y s P D c X X d j 1 + x E s 0 1 d J j 9 G u P c 9 N 6 z l N C O p T L U C r x Y L o 3 R n o P o 2 7 c d + 7 c 8 i O O 7 i 3 Z 3 t S e P / u i z a s t P M w Z C W i q U B F k U O P j j k d I h C A Q C q K 2 p Q V U w w P d 6 h M t A I Y O Z w S D N Z C d k U w Y h u A D p s I X + p d 1 C T a x v f L C c E i A d 3 g v R H 9 / C H t X G K u B y V 1 R K Z n i 8 k m + n Q e a M p l L a 8 8 1 G y d U k 3 t e c X s + / Z c R T C d Q g L a 4 U S U r u X c C f P 7 A R d r U 0 p h T K 9 H T U K k F p l r + S S W G + i x R c C d r F L a H G z M q O J 3 r w R 1 w Q c 9 0 M l b p W O h c o U H U o V G 4 g 8 P l 3 B t B R Z 4 E / P k l 6 W d i m S g j 1 a a F 0 g V U R l 1 7 I c b 4 K j o S 8 T Z A 0 G K M 4 v d t a T b O r 3 A E s h R G V D g + E 4 A o 6 4 a k T A h 9 X j b Y k F v p f 9 k F N m w V X l A 2 p a c 5 G Q / F 7 M f 3 8 h R m 2 m f a U K l D C j q G 9 t / 4 a j a g k q i W l c a G X 0 5 L l F T I w z Q F S m z 4 x W g L d 3 5 O 1 P r I x 9 W v W t p A x N E G S 4 W c J V M h c W s D j w r 3 / f h W 2 / N d r 0 d S 9 F h 1 r N 2 L F G R d j 5 S Z t Y l l 8 K U E X b f 1 6 0 8 6 A A g n 5 i x M r Z q k C r 1 2 p j v g 8 0 s V w u k x D p G I F 2 F o 4 F q S m Y 1 P a 7 u Q G J H v a W J T p c G j P M q o z q z a P J F W G 8 q p e n 2 A w / r x a U S y a K p W P q u C J 6 q / F U E H S 1 7 u 0 5 7 P 6 a J q z U V q N O h J / u o L A I t 7 1 I / q d E t F k + 0 e n Q t Q o j b A V U n D 7 f G p 1 w g L o c 5 a V o J 5 U f a + z l i r + Q y F b V n i m B P Y g M o Z P a l r j p c z c + e K q B a y j Y b H 5 k i a M H V x 8 f Z U Z V d 0 e R I Y 0 N 8 i q i E v P x J 5 v T A V H 2 G y z e s u q h p b D N q C p / m C n s X S a A y 8 p N E T B U 2 o K x i d T q F 5 D D i w X b M p u N Z s g R e I R I d j g o 1 M b 6 2 e b W 8 l Q l M 7 5 F A 4 9 F I H d q C d H y G Z j 2 v y M M K Z O u H F N G w 7 x Z y P J F 3 k t H i 8 r b S Z 5 b L 4 6 N 2 5 / o 2 S M F / D W b 9 + u f S G / 9 T f i P T + 8 l y Y j z V b 2 S T a b Q S o Z Q 4 x m m k D M y X I I I 6 n 5 M 0 K 0 l 0 Q u T w R L h o L C q Z m M P i / N u y E / X J I z y K G R b T t P b Z b n Y U d I v 8 i k r N U O 2 Q V / H j z e Q m Z V c 2 W U 1 B J N F B P N q N f X 5 L w Y N Y 5 u t L g 3 w m X V N K G 2 Y c I i W G L B q Z i s z 3 5 J K 9 M c l a K g z h r 4 J 0 2 Z E w K 2 p 3 9 S s h M K W C U V n / S V x E 9 8 7 m r 1 1 2 6 a G 5 y H a Z p h I f h g 6 v s y I S w Q T b Q I 5 r N J y m h c V t u W o / P 0 N q T j K Q z u 0 5 O s e U 9 L U t b Z U b u m p 9 R 7 t V k d C d J T p 7 k l l U 2 + J R o k C N i a K R E r d E C f l h a f 6 z z O A b R j 4 M B O 9 O z Z h q l B N o L E K G k f 0 y O 9 O L T t M Y z 3 H 8 b I k Q P o P / a 0 2 s N 3 A c z X F 4 2 o f 1 Z 2 t d 6 H j u Q h P i I P U P J E 5 j I 4 7 T r Z K d 3 E 7 P o 5 m X z R Q b f o 6 3 b a K d B a 3 W c q Y q t U 2 k x Q u 4 7 f s b P G J j R f 5 p Q W 0 X 4 F 9 I 1 r z H N g 3 I H Z X J C W V i t 8 N N M q Q b X X B D F j 5 k 0 + Q R k z K 4 u J x F d w F C O M k X 4 v q l Z o j H B 4 N E O f z K G b s r y Y P K O u X S V H M k c t G p 6 m u Z v T r i t z Z X a 7 T W m o + f 2 F i W g i g 0 Q u B K d V 1 + i E m m N b D E s S d x F + f c f E a M M / q z V k / t G f 0 C o 5 j v 4 p a i C P F P c s o K e X f q l b G D S P O + 6 8 B 1 M z I V x 2 z 1 F s / N 4 e / O r X v 8 G D D z 2 G I 0 d 7 M T E 5 o 7 I 8 L v j 5 c b z / N r 1 U w H x G S A V G M q B C 3 G U d f w L E K I r F l T G 7 M 4 K Y f R T 1 q 7 P Y d f 8 R W g g Z a t U u 5 S 9 K K W p 5 r z a r o z 2 a z K W Q m M k s H u U T 5 1 f T W J U b L o X p x f m z 9 r c j 3 6 W Z J m Z Y o 1 W o q d N C o Z K 1 H h C i 1 T W h Z E N E R y K 6 B p N B 5 D 1 M V V Q X Q z R N 2 9 b k / M s + T s b C t p e e e g m n X 6 a t d i 2 H E L W y x x d D l v a 3 v Z b P L I X p S 9 N 7 N n / 1 Q f X 3 g Q 9 c j K z d i t f 8 6 j l M T E z i y P + 8 U 6 3 L M q J s S 0 H M U 7 n / o m 2 Q M K 9 Z A + i X n D 2 S g 6 c 5 B z f N 5 q m Y F S 7 6 H E Y F s 1 C S P y p Y l f 9 Q H m C p B A m V r 6 w r 1 Z 5 z m Q F U O z o R j y f g l b 3 B h F j 1 y l I K R n v L j 5 8 k f I M 3 4 M y f U 9 D 5 G 9 g H F h z p G 4 S n p h G 7 v 3 w l n 0 f i w T Z c 8 p X 7 a H a s x B M f W Q / X 5 L M o V K / E u 3 5 9 A H 3 p K k T o R w V c 1 v l i N k t C 3 B W z U D 0 B o t k J l e c o c 1 6 y K o E 6 a H 7 6 x 8 B s t B r J t B O n t w S x 7 / 4 R n H Y 1 F Y r E / H U M D 4 + i r a 0 F k p W z 6 F C o L O c K z B Q Z z K m a c I 4 w n X V S q p m Z p B Z C Z E 6 z e w 1 m Q m q Y z E T J J G o y M 4 O 5 I 7 J o z Y J g m 5 h z J A r R h j o z y R y J R P G M K F k 5 h J l G d L / A G h u Y Z 6 b h w 8 M l z C S z / G r l s Y 7 R i E k j m P 1 D 3 f c y 6 l 6 U M 5 P g 9 W d 1 8 I s C v H U u 1 D T y f l T x D Y 4 0 Q s e z K I z T T F i E n 8 Z M E 8 d C 8 J W Y S R h N E M o U J w 0 l m B I Z T a h d K 2 r W 2 h Q z C e p p 4 p r L A V a R E K s 8 y 2 M m Q c l e u T q E m Q R p i 0 8 9 h k V 8 a T F r y / F / Y C Z B t P 2 f 1 X U t N L 1 7 e 4 5 S U 1 U h S 7 + u i p p W p g g u + e L f 2 P c B r P Q k V B J 1 v u U S t d 6 t f 2 y S b t I k x g f o d 0 t u p U o l O g E M k 0 4 w 7 x c t j l Q u r J h J 4 K D r Y G Y m p 5 h z R I 1 / D i 2 1 E 9 R e P d h w b a t i p t 1 3 9 K u 4 w h h d J 2 E m g R y v O B y 5 V E q t / w g f T y O f n l F 1 0 O Z 6 N C c u 0 G G D w 2 t D 3 D e 4 g E p k e X C g W n u g g r H 7 u K T h k y D D Q 0 H k 6 a / 5 u u d o 6 4 c R i 0 t 9 B Z 5 v M r d k h t x L p h E / Q 0 M F a t W Z r 8 C O H 4 p q k b W J Q 8 X g h e R 5 y S w / H A 3 6 i k p 1 + y K k E q p B N E b n 6 w y l U D Y p e O e Q B 3 a v r E a m / 9 L / Q 5 p U 7 L J g M w o t T r X I U h 4 h O Z d U 2 i S b y s 3 n C T a 7 i k t F I o M Z m m 1 J p M I p 5 N K y o Y H W X o M Z q t x 6 e z i w 4 Y k q B F o 8 s D r t 2 D r g V H N E x k s e I 5 k v z g E u h t 4 Z X Y C Y g g y L a c e R s X H V 3 / K 1 7 A 4 o d d m 1 O u m 8 m 9 y w b J f z i t B D c E a e Z z l e / d X b l H a S C q 2 Z r B Y R v M O c a c I B y q f y + M P 7 t V o T E o B 5 9 0 8 e U U U q e 2 k e S 8 D l 2 Y / W w k 7 h a 5 9 7 A b 6 R X 8 C a I L N U 8 H t K T F N R C q b c 1 H K Y E 5 v 3 7 x h H O B m g 2 e Z B O k K T m o y e N s 2 5 u V R N 9 4 J i K n l 1 X E u B S g f 1 w A v P Y H B o T P m o / Q P D G k M l 5 y h x K Q T S U + J 8 0 d l 3 u W i z 2 x B c 6 e T A 1 i o n v X q l 0 V k F z K Q r l y Q 2 Q p t K U 6 n Q d A F z R 0 k s N j e C 3 V Z + b 6 G / 1 K i y j n 2 B c 7 T f Z h e G M Y s o U k H P t E 2 Z b q 1 B M g s H R G r B t f s l s s b B s B Q 7 7 c i k O N Y a g a o t I o l 2 f V v H i K r 7 Q B N D o m f m O R u Z H D Z g L M T T I R G y r L 4 t y g u + a + F 3 e z A 5 O Y 4 X n n 0 M t / z v X 7 H / 4 G E c H e 5 T 2 u S G X / 4 C u 3 b v x Z b n t u O B h 5 + h 3 3 A c + 8 f s F E I O 7 A e 1 k N e N i I R Y 9 Q C P 1 O E r A f s s R y 0 t h U 6 y e Q s u 6 E y r O S J 5 1 d h a V W + 4 x e f R i U R M z k p Y Y Q Q 9 J G C j Y 6 w s P J 8 i 4 x z q G U R r s x Y s E r y 4 f x B z k Q h G e x N q R 8 R + E V i m M m Q v 7 N i F r 3 / j O 9 j 6 w i 7 c / + A j + M 7 3 f q S Y S I S I J D 7 L t j v 9 g 6 O I x J K 4 6 X c 3 4 5 e / u g n v + e s Q x i y 0 V t h U T 4 Z 9 H m y n J s y i U R K I i U v / 8 0 + 0 C e s o B I v E K 3 5 w 3 0 Q Y c Z U h n 8 d q W g a F 4 K n I + v m q P g + x 1 o 8 g L 7 u y l x d o V X m M f H Y y m i U b g X f w 1 7 B F 6 K 9 J j b 8 K k H r x A g s Z e u P G t T z P C g e F i 8 N l Q 3 L W Z A 4 Q K Z t 2 r z p H O + p c q 9 R L + O K q q y / D Q / c + j J 7 j / U h S E S 0 r U 0 L 2 D p U F X / H c l F p M u B T K M y f q s 2 k U f P o G w 6 o y k b k T e O s M G U 9 M w o r I q 7 k A C X f v G X V g F X 0 A a X Q W l C K 0 Y C T B U w o t 7 n x 8 C m e 9 u j Q 7 W I M 8 m k Z 0 E 1 G r N v l Z A p F R Z M 7 4 E S q r U 4 y f 8 r b U I L p 0 2 n y j m B v D u P W j a x B L d q i 9 X M 0 w N u m W F Z t S o G Q 5 C B + 3 w 9 F J / 8 i 8 p o a a U Y g g n W + A w 2 1 X c 0 l i u k q K k D x 3 g U 6 v V D g S M 6 P A P r U 5 S w d c 5 u V q 5 j X 7 i Z G g S X n o 0 E F K V q s q v L N 6 3 e k 4 f U 0 D s g W P W k m w f f s O v O f d 7 5 j v E 5 m c r T g Z v w S y b O v l v 6 T w F c 0 1 x X 7 U t 7 o 5 s 6 s W P 3 2 z L B O p x + b P / a 8 6 d t 8 / b k Z V h / h x k 3 j 1 9 5 5 H J J H B s b g H H h J t 7 7 e 0 S O A J I c x k o j 0 z H O N P I R d Y i b x X W 2 t V H n x Y A A 7 N 1 H g U T c F u + k 8 p O K o j t C j c q C J D W S U Z V 8 p a s 0 / k 9 c A O Y O M a D 0 3 U 1 O I + l A F L R m p i a 7 l N l Z g p m 7 B j + F h C S S r p / Z w Q Y t a j V l 4 6 B t f Q R j x N D Y o V l M x m 6 S 9 j I 4 R b i Z m U T c s B z E x j W k 8 + X N e Q V T 5 U o 2 V M z S U J M w m S 9 o 6 S v Y R K J + 4 0 A p C o W g k z z f t R m k N s V X W w s y o o o f 6 S Z W V Z k n 3 i G b W Q L p N O 4 0 e 3 9 c 4 z 0 4 T J J x N m k l n 6 S s y 0 2 A S r r T 2 n / M W 5 o 9 o 5 A z T R C g U b J o 8 G Y Z d d 1 A j S k Z 4 U T A F F b W W B p k V l + m I 0 s 3 9 B 9 H A x Z p K 5 p Z K o I h F O W e F x 2 X H m x g 0 4 4 / T T 8 M b X v x Z n n L J S m V a y C P D U d W v U M S E W I / I 1 k x Z T R 3 s / l 6 5 U U W g h L v / S 7 b w Z + 5 Q C 6 d J V V d T Q E g k t 4 C f v l r q P b h w d C V P T 1 F F I F B Q z z f V Q 8 z o b y E x p D I e l r y 0 4 o z 2 o B P r C O c k K W I S Z B J m m y 3 R m o j / c 9 0 P t Y A V I F p B 6 u V d j X d c m V N d U o 7 m p S R 3 z F r S 4 g C p r T V 4 Q A S P j c d 1 5 F N b B L F Y 0 G b k j S 6 D g E E 7 M L 8 r R s 5 N p d H R 0 4 5 4 / P 4 e x 3 j T u / c t W O J 0 O 3 P D 9 W 3 A 0 v A u / + M V N q k z X z 3 5 5 K 7 5 / w / / i 0 J F j + M p X v 6 m V 6 5 L K R i U Q o i C l q I 6 h 4 U j V X + f N K 4 I y V k h a x G w w w U X t t e p U s Z v 5 v Q Q i x E c y o F 8 / a P g o E s 2 T 3 5 m i Q J L U o e U D 2 l F w 0 r n k 3 / H p B F z 0 m a L V F 2 E V G V E W S j 5 G M 2 f b 9 l 2 4 8 6 5 7 0 S i T w y a U E 7 e B X c W i s C W Q N C U x Q 6 t W k + G p l a o T 1 E 5 2 j 9 r 1 P R O V K l L F C 4 o Q s c v i O z 0 L Q t D u X l v R J 8 q R 8 c t R s F W V 7 G Q u C L o q M x / o Q 0 V j m j n p 9 3 m X 0 E g n J J s i q K W Q S e C Z v U f Z t z b Y 9 W s W H H 6 s a f H j i U + d j u e + a B R j c e H q r 9 5 F S e Z E w h 5 A H c 3 A u z 5 + o S b Q L f R r K i Q F z M N s t i 8 J C w Z b t E 3 u 3 P E x d I 7 f o 9 4 L O i a f F O p Y F A 6 n Z v 5 O T l J o i + + v 8 k Q 1 O G 0 5 t N Z S C S x q 8 p l C p c s x 9 U T K S N 0 + A w X a 9 / V B b T J z S N L h q b k 6 r P X s S C F 4 u S V f y q n k O a L V J N g g F X c c e n R Q h 8 z + 5 / i d 3 y l L R N i k y W e R b V y 4 d C I y H U a g j n 6 K m k O j K c g O V g / m 0 H w E q X p U M K 4 t Q Q l q 1 D D b G D T C 3 m b a o Y a 0 R X t o I q z l c 2 V x 6 T c f Q 2 5 2 D M 9 9 9 z 0 k M v 0 3 Z a A w X / D d 1 j 4 X L u j m M y 2 B w x N 2 r G v U B s Z C j V 1 g X 2 R k v o N C K U F z r 9 J O G J V g Z i Z b p X m 9 C u i Z i Z F o p + C 3 N 5 N p d V 9 J g k n 6 X N L c 3 B x y 3 t K s G Y G D p o 9 k W S Q T M b g 9 W q S 1 H D c + t A e 3 7 N L m 6 5 y W L N I h + j G + e m z 5 w t U Y i r + A d u 9 5 6 j s F P n c y 5 4 T s R C 8 R v / 6 Z F D L u G t z w r k 1 4 0 9 m a d T Q P s U D M Q l M g K 8 1 l c e y S k H 6 0 I B H d h 7 i j d F L X j M 6 Z J z B b 9 x 4 q h a X 7 M J v N q f k 9 B Z W M r J n g l U W N L F U 2 h U p P x E w C Y S a b S C M d 1 h H N V h V H u 8 V 3 N t p 9 5 9 B m 5 j F K n r z c X H K n h M B F W 1 C K J q F / 1 t E z L d R Z U L v c 9 c 1 o G c 3 C r 9 m 6 s x T B l 6 N n i 6 7 t 7 E F M p e q Q s z e R Z 3 g f P U 1 q n p k E e j R K M Z N J y g i 8 / T / F s W m X Y i a B l D v O Z g o 4 Z Q W v Z 9 r D V k E Y k 8 R w f N o 2 z 0 w S 8 p f 8 v E M T j h M y k 0 C Y S f w j g T C T F M y c y r q R H I 2 j 2 k t T L z c z H 1 4 3 o m j J 3 M J h s 5 E B t d f y m E n g 8 R 5 B K D t Y z D A X C D P J c 9 H 8 r a 6 m F C a h l 0 O 2 z R G L Z T F m E t z y 1 C H t O r k 0 g n m O j S Q T i 9 Q h h J m G E z s o K C X i l 4 V j a h u S Q z F c S m a C 0 6 e Y a V W D b y E z C V S U 1 h h / u R 5 f J 2 Q m g T Z A S z G T Y K D 2 C n j S J 0 4 5 M p h J V f 8 l n W V j m j k y P z K y p 8 6 8 2 j S W K h O L m X q V U N C p y p H I w r M u p p 1 r r 9 F m k + X B d R v X a g p M G J t X K Z P O t D n 0 q j r p L B J U Z h S n N 8 u S B j 2 q Z f P A F i 6 v W 0 D n k N J c c H z G T r 9 G Y z 4 x d 8 r X Z C 2 A K d 3 G M f A 7 x L s + j t X 1 p U y 2 9 b + u w U 3 / f A 1 2 T 0 T U E n D Z / V v l x A m B 8 9 l W 1 h U Z v K Z w T O X n r W 9 c h s 2 v I 1 G I w T a j T Q F U u z q V m R v s 8 C K R S O H + R 3 d h 1 4 s v I h S J 4 + e / + B W t I T f 2 v L g D A 0 M j 2 L l 7 H 8 K x h H p J X 2 m v I u Z r 6 I t v W A G S K d J g O W u e U e c h n 8 X 8 J e q 8 n d K 7 6 n 0 5 Z H w r 0 Y e q J q x q F 5 K h y F R T Y W 2 + 7 2 l q J w U y Z J v n H D I y t S L 7 P 9 O 4 G d Z 8 Q A m O n k k R W g X c 8 8 m L t N 8 u Q J G O 1 P u y Z 1 4 K B W X y l 0 K t n N C n Y g S S A U R Z q B f L O T G c + n J 7 u 4 / M n 5 n T G E p S Q 9 S e O h D i K n Z e M n d i z W R A H F g H p b U / m 0 A u 5 u V g a s G B c O I Q C l J F x / T g M u t v J H K u E e I 1 5 n 4 q F L Y v 6 C k 4 E q V z s + 2 S M Z 7 3 F 1 e F a n 6 S B Z 7 G q G r D y t q s 8 h F G T I v 6 F o V J 8 / q G f o J I 6 / u U v 1 Y Z e W x S 1 U m j a v d v I y e u H A W v a T Z f J D Q h 4 V m p p W e G E H G W D t x I y A a v v R Z T U r e C 2 D H g V 4 E O Q X b U h 1 d f f R X O O / t M V A W 8 + O i H P 4 B s O o n z z z k L n e 2 t O H v T B g R 9 H g Q 9 H M Y K k 5 h e y q 2 o T E u U m 0 g 6 o t E Y v B 5 t 3 m Y 8 s R 9 T e g B o n H 0 9 D / a p h E S k p L S B w d 5 p 1 d c G D M a S l / j b r / j C H 3 m U / c j f 3 P L R z W y I T O x n S K x 6 3 5 q E X C w 7 w W 4 q 4 D W / / C n d x A Y U 6 E u u b v C j V h p f D l X c 0 z w + p n Y u A b E y 7 N T e v S 8 d g T N R w 7 4 v 0 o Y 8 R 5 1 b w u B a M E L K O M h f / 9 S d + i + W j z x 9 U I 5 q i M y k E 4 G S V G y w F I 0 n Y t m F 9 v N i E A f W n k k j P r Q a m d o U Z u K a V M p I 0 q a 5 n B Q h s / 5 u f Y 5 I z Q k t k X h p Q F Z G O q x k W r 5 C W Y / a 1 E t B n H W a S e s v W Y f 9 T x S X S 5 T v + z N E w p U d M k o g j i W 1 o n / 4 J 4 i 1 f 4 L P U F C F Y Y R W T P S i g 3 2 T i 8 9 X D 1 o W d M k v a 8 O a Z I d 0 k 6 k a j s R o h + e R m u n n z 5 x 4 Y O u k W t J + R n M c e / b t Z 8 d N I R k n w 9 N q s N C v S a c o O M S C E B N V t y T k m R T E / 5 F J T F 0 T i f A x 4 L e T m c w T 1 y b 4 / d q z S N 0 H y R i o 1 1 e f N u k R 0 Q T N T S l e K i j Y i h K 7 Y 0 U d z e A i g 5 k h c 5 R p q W F B x n J Q C H W T O R 7 / z 6 v x z J e 1 Q E A 5 f P Z G 8 l q O J n o d j g 1 P k P o K e O w z x R 3 z 5 y F C 9 2 R 2 c D F B / O B s O o P g u l q k P V I S Q R u H L O + 7 W O A l 1 f I W W O M y X 1 m 0 m k 4 E i f h Z j X U g J X A 1 0 + E s X c t T C X / 4 x Q N w F K o Q o G a r t f g Q s p C 4 7 W Q q N t 5 l c 2 E 2 1 o R M 1 q 5 C x C Y B p y A Z D W p N k 5 5 R X Q m W T F H q G l k F Q u f i + 9 g z R l 0 8 d o h b N j k Y R y 5 U 7 H A x m 1 Q B F B 0 y y W t a p j U P 9 / i 9 i L Z 9 Q r 2 X Z U 4 q a 4 C X l N f u 4 T J C l F l 4 S l p J K j 1 Z y K 6 B K v w r y E Y Q 8 O T g d t l R 1 9 I J / / S P c e 7 l l 2 H d 2 p U q n L 2 J A y + + p V 0 I n M w g W f N j 8 R p a D J q J F C X x y 2 y 9 M W E 9 D z H T C p k F 8 2 1 5 l J q w Y p H J f J a x F q v B f Y o q U G p G g c w Z l 6 r A O j J l / q M 4 5 Q K j 3 p 8 Z 7 Z 2 t W N t s w R O f 1 0 w 8 p 5 Q r U + 8 q 4 5 L P 3 4 6 C j 4 x v d 2 B 1 k 5 / C s C g Q 5 p d w L E P o L g Y p l C P a U 1 Y H m J F M y K 7 2 F G r p r F Y W u w x 5 L 2 m T L o Z r 7 H 7 9 y I l R M c o n R V h m 0 0 b K e m U I Z 2 f C Q T z 3 3 P P o X t G F e + 9 + Q M X s 2 2 m K D A 4 O o 7 m p A V d f e w W y t l m l Q i f J V L L k Q i R / 3 6 w N 7 U F K M B s H h W r c Q n + k E m P J U u 8 C f Q o x l 7 K Z D d Q w x S w A f / + P E O 3 6 l H p v Y P w Y / Z d O C S / z h 3 Y J Q v C 3 Z W a k Z G P b 2 L G S W O u Y 3 o Z 0 0 y t 4 I / 3 L C h A m n E m O I Z a O U X L X q Y i n 5 H g F P K f o v z g J i A l I r T U U 3 Y 5 2 / 7 n q k C y d b 5 r 8 I Z l a e x Z Z l C j r j E L H Y 6 h a W a o N Z S 2 V U c P A g K y / E m G x g L n K Y E k N s i 8 7 1 F a t d X W 1 6 O N 5 l f L 7 C p k x z B R K 0 6 8 q Q R a R y q T w U q h 1 r l p U A x i Q 6 P D m z / 4 J x 9 M + + t F W 9 H 3 v e v 0 b H f R L r r 1 1 j s 9 o w V 3 / Y K 5 X s T Q q + X a + T A K x C k G J W t J n m g w l g T W H E b k r g 3 / y l 4 g 2 f F j / t D g W M J T Y t M k F 8 0 M L 4 c x l k L a Z o k O E B A Y c N q p X k 4 0 q k D Q N F d p 0 N f K O P M e 4 o 6 y q r V A U R p P k k l 7 U g Y H o 8 2 j 2 n o W 9 I w G c 0 1 4 M D Q e m b s C Q / + M q f W c 2 m s D G d k 2 b v H j b M M 5 8 U 1 l 0 i A L C N / Q z F F J 5 p O s v R b b q D E p c S n o S c 4 1 9 g m 1 Y O j t 5 i o M j t X / M z r k d N l S 5 i m W V y 2 E O h 8 9 D 1 R R f a D L 6 e 7 6 F U P u n Y b X b k c z P I j f j h b / R g 0 i v C 4 E V J 4 4 U C o 5 M 2 b H W H E w R 7 a 5 P G Q g k r G 6 l A y 0 E L k s 5 Q i n H A u a c o x C l 8 a X e O 2 h a Z k w B m + V B + k f r J / G 7 B C J M Q + l B V D n 1 q G 8 Z L v 4 s / S 3 6 T h K M 2 N R Z j c f f T b p q 1 O t S Z M P Y O 5 z C P / 2 R J n B N 5 / K y z X X k 8 m m V T b 9 c C F N J O T l b e W 0 4 M 6 g N 3 M N / R r L 9 7 f p H s W Z K h U r J J 3 G e h Z m m Z 2 g q 5 X z Y t u c Y Q l M Z h G b z i M e E S X i z v A O Z l B u j c x r T T E 5 m M T u X p 7 3 v R n K 2 G j N h G 9 J J l / 5 7 A z x P 1 v u b w r N q d W g F Z h L I R J 4 w k w Q c O v 0 X I p H 2 l D C T I J d 0 q j m a T t + E Y i a Z 8 P X 2 / R x n X X g I i d G j v P 4 M b L M v q d + O R B y I d X w C 8 R X v x b b o e b y 5 T U l 1 l V 1 A 0 8 o I k D x 9 X J + L I c Q s E m 0 6 n u h V p F E e 6 c q S 8 E Q K S u m 0 S l j A T H J + G T M Z l Y 9 i X R 9 X y b c W K 8 k 5 5 I a n R m u P M N N c X 9 G k k m D O Y u i u K b 1 f g b 7 J 8 L B W y F G Y S U L q h r a Q R M 5 y Z h r j c x r M J M i V k s Y y o V 3 f Y C a v t Q n 7 D h y i 4 O l U P q N o A f U t 2 y G v t J i N O S t 6 J m I I 0 N R 9 8 N O X I R M 8 E 2 G j j r U 9 i H / 6 5 R M 8 x Q J r a B m Z 5 i Z k C r q p u A T M g R U J w C 3 J T A K 2 Q 5 j J k p q B e / Q 2 f l z Y R 5 Z d R 2 c K U g F I U l 0 0 N a l 1 h 2 T b S q 0 4 9 f D s X K k + J P e X K m t 5 E q S l w G M W O n X S 8 U J 9 6 g + d M g s 1 S 1 6 + K / o v d b I i 1 K H P a 6 n I 1 z I H K 3 U c e e d K 2 v o 2 V d z R D N f o / X Q c r 4 V n 5 A 9 I 1 l 9 P k 7 H o P + 2 5 c x Q b X 9 9 C p h r m 8 V J t p Z p q 9 J u x d s b U j 5 K m 4 3 T 2 U v 2 X M v B S 8 N I J 9 / i K y 0 c k Q X d t A 1 m O j y o r Z v V S 7 R U R o / + e G 2 Z / u E L w N b p l l N X x + f k k f p z r T 6 C 6 e + n 5 E 1 k m L 0 V g X E 5 X y a S k l A W I J + l Y 8 z o B V 4 S N 0 a K m g k I u g r n s 6 P y S h U w + B Y f V h e t / q 4 3 d v e 8 r t U B O F g 2 e d b j j r n t Q W 1 u H M z e d g U c f f R z r 1 q 1 F z / H j 6 j G / 9 N A Q w n A j Z v H i 1 W e 0 4 r c f 0 L Y 9 9 f f 9 E J O t n 8 Y b v / V X R O i D y 3 K P L Z + 7 Q n 1 3 I k h 9 C G N e z T D 7 J C g h 2 7 5 G U 5 P s A 2 3 S O j y b Q L C m t E 9 F m 5 4 s P J N / Q c p z P r y z t y F D X 3 T e 5 I t k R 5 A 2 r e F 3 5 9 J I 6 h m 2 W W q I p 3 d u R c D n R y g W x p q u d f R p k p i Y n a Y z l 8 J l Z 2 + A c 2 w V M m 0 L 7 V a B B N y q J H A g 8 x L C T O q O y 4 C + 8 E 7 8 L y X N e Z 5 a J E d 1 H h j 5 C S L t / 6 a C G 5 J k S r 6 f h 0 i e w 8 8 f w y m b 0 i j o h U V y m Q l k r L V w 2 + x q f V S L p A 8 Z W Q E V B F M l G z y a o i n m q i z 5 3 H w u n 2 u l z r B 8 T g q j A 2 M O n F o / z f f 8 X K H W g W z l W T W X K O 4 A w n b L 8 o 5 K k 7 N z P S l 4 G i 1 w B R Z + J y a c a B 0 z J I 9 Q h G Q J V I Q w x T 8 h z E C K 0 Y i m K A 5 G W M / K f u c t Q T 6 E / Y Q M J Y G N W C S J Q J V X u Q o S s T N j K Q I 9 N D S D 9 / / o Q R z P e N B V T 2 t I T z 9 K 5 i h Y o i N 4 4 3 0 + j I b J 2 N P H 8 b 5 L V u I D l 5 a W T l g O K o 2 h 0 I a D L s D k b A o 1 + r J 1 A 6 I 6 K l X r O h k o 0 S Q B C D M z C Q x m E g S t s 3 j F h R t x 7 h m r c N W F Z 6 K r 1 Y t V X b W 4 c N N a X H f W K h S G a h d l J o F E q 8 U 0 U v X O l 8 t M A j 2 y I x s D r 8 0 / j 9 N z v 4 N 7 7 K 9 s t R N z g T e r 7 7 w O E m H Z N U W r Z p L U q J S Q B m x k n D z N V f l t g 0 / X d n q K T T l m 0 0 Y E s R S V m C m V 0 e Z U k k p Y C D O p f 9 k I J 0 5 t 4 Q f R g L J k h d L R D A l G q J 9 m i / 0 s A Q b L I p k O w Z U u x U z T h x c G D C r V q D O Y q W R O S X w i q 0 8 x k / p o Y i Z Z J R B 0 N e F Q P 0 3 P 0 B g 5 + M Q m l t x X m E k h s z A K N 0 M L Y z F 8 8 I Y H E S m I R g b u / 9 f L t Y P p K Q q 8 K t z + z K M Y 6 a U p L V I y 0 I S + 1 M u P 8 J V D a C N L Y d E S X N h n Y t a b 2 2 w 2 C Z c L q 3 C x U Q j d g L F S 0 U B c N o u q A F 8 2 g e h k C 6 x d 2 i T u U q h x r 1 T h X w 3 U K O l R Z Z J p V Y t k r m W c 7 z m Q 8 z U D C J k H 4 3 c b 6 7 Y h W X s u d h T e i 8 m a t y n N 5 Y 9 t 4 W U 0 s y y r L y Q 0 Y 8 M r 1 t P 0 m 8 a v d 8 z g a 4 9 r v o Q w n 8 x F m a O y E Y l q 0 X e U f j B e Y u o u F y 6 H l t o k k F 1 J F k P B Z f I X 2 b + S I N s h G f M 6 k 8 o y D S k 9 b Z i j w n B m G M f r 1 v k R 7 i 3 V H E I k g v 6 B h U x g z C k Z m E 1 X 3 h 1 D A k k S T v j O X w 8 r w l r V c H L m n k + f I D Z D F S m t g O P j M r 9 G / 5 t k t q L B h z q j F J 0 E h 1 I j + M F T Y n F w k K Y p 2 M K j e K R n S p S 3 h v m V A k t D 5 t C W Q l K i f b F K 1 k a R i a z J x Q X C Y r A G 7 U 3 w 2 5 q Q H k 7 x I W y w R z y w p h s 4 z l X o f X w n q u 3 t y I 8 4 Y O v v Q r 7 P j / y 0 E / b B N S q i l + N A W l r m 4 E j O o m v i T n g i x m 4 G B T R N P I H 2 s X t h z a V Q D + n s Y s T I P X I H q c C v / J v p b B t N l g I H t J p f 0 L 5 3 N q n s b s X k d q l 5 7 Y C P 2 l P C p r J 8 I i C Z 0 t R c F l n 5 q U 9 Y u h 0 m o i G T Z V O z / J v C L w a c + M 3 O M H 6 9 N Y F L v / A X 9 b U w 1 d O m T Y Y L u T m 2 9 u Q l k Y G J c D F C O E 3 N Z k g 4 Y U z Z 7 K 0 i V C q W B n 2 f g A X 7 D Z V X o T U j 2 F 0 q 8 A x 0 d R a n H k q l K w V J f D / b R 2 F R y b 7 V I b E 5 K a w i J u q P 3 l W 8 l v h U r / 1 d 5 X s u j c r 3 + s c f 3 Y e Z J P u A b X z i s 1 e S i U y p U a 5 W v O k M P 6 o k z z I m J r k H 9 t B U k b h F 4 + s w B O C c Z O P I U h / 9 s 7 z i F d K M F s D n h Y d K Q W A l 7 Y u J a j b 5 5 i t 0 C S 0 a y 0 f o Z / I f 7 X 0 F W M P Z c U R z 4 3 C 2 y X 4 5 O W Q D C S S d c 8 h M + t B 1 x i V 0 W o d g b c 0 g 1 9 U P a 3 c U 1 r o 0 J j 2 7 6 X i v p F m o E W b S U Y d j t W 9 G I m C E R i 0 Y b 7 w C Q 8 3 X o 8 b V C S v 9 L d / 4 L + E Z + i P s M z u R b H 0 j t V W A Z t A U O i M / h s O S 0 g p k h H v h m n k E v s i T s M e l U l K W p h q Z p v Y y X r O U w F S C 7 T w s + N z D Y / j w n c O K y e y u G v 5 1 4 V N v r Y e V p k t i b g B H p p I w d q y / 1 B S K X q j 4 T w 6 N w a L E F B N K F i w e n 9 W W / + d Q m Q i l b L J A i v P b X N p z S B l h b b A q w 4 h E K v B t e H j x G X z R b j n 2 X T w h T H R U Z T t E K 5 S B L o e F j K Q m W P l X V 3 q Y i d A K o P D K U 8 i Z Y f h b l Z C R 3 e 0 X w Y M 7 e + R G m K E R s L r R T W H I v i i r 5 f E v / / B + v O 1 8 I W I 2 I p f F o 5 / e X M z m 0 Z H T r R N B j i b c T F 7 L b D 9 Z J G h 9 e X J J V D k q h / U V y G y q V J 1 A Z e W T a u Z r W P K + 4 i 4 p p i s r 0 i J C L T / D A e b R f N c I r P W V V C J / x 9 e 6 l u L a F J s t D 4 c 9 y 4 c s X k 4 G R 9 V 7 s w W Q 8 6 9 E r O n D S L S 9 A 9 l a r W 6 A o O C q R 7 T p 4 8 h L 2 S e H l 4 P Z j V T t q 2 j e X Y 2 8 j x 1 I m 1 + K e U h B f 0 P g G n + T 7 e + E f / h H 2 g f i m b 4 4 D k y k 8 K G f P 6 I f A d a 2 5 P D c p 9 o p X E g M / n q s / K i 2 y b U Z m Q q h z / 8 r q r z a P N 5 i T r n U I M 9 T E 8 R G 4 v O z 9 6 q M s L G E g o N j z h I R S P D F j G C b B 6 G + o r m p T G d Z 2 k A z O p c / i I H w L I W U S N L S 8 y r B p 6 f X P L S L R M I O l q 1 6 X L r Z / 6 E f v g C E R v G R s 2 X h Z f F a 4 m 8 p 6 O N h h k P C m j x e 4 + S 4 6 + u r D H z t r 1 s x N K f V J n / m i 9 f p R x f i j o f p Q / l q S I p 5 j e n K I J u i V Y I U W s m a 6 x O e A J J C l b C 5 k U o s s l G c g f J a l U a Q S f Y s l g w a Y T r S 0 j w 1 O e P s w C w P 1 J 6 4 M V V 6 u L H c 1 7 B J d I u w 0 8 x z W K v g N 0 L l B m Q 8 + F K 2 t f 7 e / F K 0 b X y W 1 b 3 8 q x K B T S 9 V w U h / H 2 3 / F P x j P 9 Y + y 6 Z i f L 3 Y M 6 Y t k 5 c T + X / B 3 Y 3 3 X s h 2 k L i k j g J l 8 P z 5 f I I F J a P + b y h S 1 1 J r N 2 e P U e J n 0 w h 2 L e J s W 2 0 0 h 0 m w 0 n 5 Z 4 p C b h a c g Z h H H y G g 7 X 1 K r b + Z I k h o 4 R e H U g o F Y A 6 a R Q J w + Z d A e o V Z a O t Q u c N J H T Z C R x X + 6 + b F e 3 j C H G 9 / X h Z R u l n 7 z g 2 f S / 8 3 j N W d V 8 x c y v m U c x H Z Y y Y T y 8 p K Q h a B r L F 4 K k x U 0 o 6 z w + Y q R t N 8 / t o / a y I + k x Y P T 2 4 L q M R b D H f / 9 c T z + b x f g w c 8 U d z E x Q / W v N K X s J Z P R s l T d m i f T i v Q t + 9 7 8 k l o S j T 4 t K d Y t y 5 V E 2 1 T C E p Z D O d S o W 4 c 6 k P Y 6 Y D H 7 I k t A U k 6 m I k G + 6 u j / l H a L d G i V 9 z Q E h C A W g T n b t y J E f T q 0 H E P z 1 Q e G x / H 4 f f + L R C q D B x 5 6 V K 3 8 / f U z 7 X j m s b / h b b 4 D m J m e x o D / N H R / 6 y X c + 8 I x P P D g w 3 j k s S e w 3 r u a l g P J o a o D X R / 4 u V 7 I R S A 9 + / L w w h M 9 d N f 8 y E S 9 S E y 7 4 K a n a M s F 4 a R G 9 t l b Y S 9 U 0 R 9 J w u l 2 s 7 / s S h P J i s / J y Q g e 3 f M A M p S K y 4 F F t J a 9 B l 4 / f U s 4 V P B C U N A z 5 W v X y U S w p t m 8 7 q P I D 7 I d E 3 W Y S J R m m G d k T b 8 J o m 1 S o 3 H V / t h Y E u G e a X h t T t J O D u 7 p C D 9 P Y f b g K O p D I f z v v x j 1 4 + X e F l 3 z F S H b F 8 k r Q R c g 6 F k H q x S H q T D G 9 2 w / h p 6 p O P v I g o f / X 2 V G M c M z f J f y e S t h s c w L A y I o z f 6 i M J e f p p n 2 0 j S y + I y S y y e w S A V l 0 T b l N C G 0 a F g O i 2 B + 7 2 P C 9 r 0 P d P 2 X K 7 8 f s Y B p S Y S O X F 4 r 4 W T G 6 O A c A l V u e F 0 p + P g q j 9 h W F 4 Q x p W E v D y o K V 2 H G W j Y C O 6 0 r i F W r V 6 k U k V U r V + L K V 1 y B M z a c j q 6 V p + D c 9 X 7 8 b X 8 W U 3 m f M j c P H H g J n 7 7 m K m w 4 v R k j 4 Q B 6 x x I Y j 8 2 h k J j D d R d u 1 m p S U M M m l l G W q x y h y S w 6 2 r u x 7 f m d y g Q 9 e P A o d m z f j e 7 u F X B 5 L P j t r / 6 C 8 8 + 5 G L / 5 9 W / J U C 4 k k y l U V Q W R m s n h U O 8 B x O N x b F j p x 2 C 0 G h 4 q A i M l 7 t C E D f W + g s o i N 7 b v 3 z P M H y R G 4 f f 7 V a T P i F C q x Z N q 8 H k w N c Q v g n y W G V i q a E Y G k / C E K a F 9 m g U x N R 4 h A / O 3 9 C G L u W o k s N p 6 a s K M + u u q 9 e L N l 6 3 D P 1 z e h p r m F g S r A / A 2 r k C g N U i i K / X X j H V v 5 Q h Y V s H t p u l O I r T Z 7 X z J 7 p A a I 4 u J 9 5 a L 1 2 M y m s V r z 2 z D u a s a 8 N e / 3 Y k z z t j A 5 5 e a G h L Z K 7 2 u N / o 4 M l V a z f h y S B D h R J E 8 M 6 T N U h b M e B m w 5 D x w l u y x r L c h G 9 E Y a T k W j F 3 y R z V Y e k a f K 0 h d 5 0 J 5 S a Z F U L 7 U v R w v Z 7 b Z g C y d 8 N t l M n d h v p t k f m 9 q o y P K j h G J n 9 M z y W U Q Z D C s o U P U Q O u x 7 v M P I 5 S k j z L V h 6 v O 6 M T / / p t m p + + 4 7 Q i u f 1 r b H d 4 X n 0 D P r z 6 i 3 s + k j i p J 9 f e G u R / C g 5 S K b T R D T N J H d o m Q / a o q Q S o / N 5 7 s 1 E s + g V B 2 i q Y u B R 0 Z I E a b P x d 2 w B b U + m m o f w Y N r Q F 4 y F B u j n d 8 E Q 3 p k Z L C p t J h y 4 G H J p H d 1 Q 2 7 x Y d 7 7 r 0 f s W g M D f V 1 O H z 0 G N 7 w + t d i 6 7 b t e O t b 3 s J f U q A c O I T 6 p m b U V g c x N D K K c D h M / y W B K Z W 0 K x k V x Y w T c 2 X g c k h Q Q v l R u r z / + u M U j p Q f X 3 u V Z n 3 M J D T / v 7 Z C O N + M V M S N 1 o b F V z w Y V Y V P C P E 5 y a i K o e S z P R N H 1 r H 0 z W V W 3 K e X L 3 V Y / H j k v u f x q u v P p w R M 4 I n H n s Y H 3 v 1 G a q d a M l 2 p e f H 3 g m i v v / z 5 T 3 j t a 1 + D o a F h P P 7 4 4 z j t t N P 4 f g j / 8 K 6 3 Y y r u x C 8 f 7 s X / P L 2 b K j 6 D L m c c 2 7 7 z T n X u R N 8 E / u O R H j y 4 b 4 R O z C D G b t a y u 7 X J P C 3 A I m Z Q p R D 6 Z + 7 L Y j J W w O / e W p R s J 4 L B U L O H M 6 h Z V z w v n K R / Q + 1 j o b 1 e o C Y f m Q y j p T 6 w Q D o L p B a 5 e R N r X R 8 t g A i U A p k p T I m d o + Q 2 m E L 8 i G z M A W t Z U Z m l I N F W u Y a B A I k 6 Q q K W S J g 4 7 5 V w I i E q m R w q y 7 2 2 F t E + O 6 p W L + z j I o p P K U H Z 4 N T P E G 3 Q 9 u w t h 4 T H 5 e c f / M l u j G W D Q E 0 H 7 n 2 v A + F U E u m s D b L V j 4 t a c i m E Z u N Y 2 X I G f v D D n + A d 7 3 g 7 D h 7 S 9 h u T r Y T G x s b R 1 t a K / v 5 + v O F 1 l d Z z i b l I I S k L H / W 1 W r Z P / v s H / k v e t I 7 e h 3 C w W O 2 0 E p y y M Y + O m 3 9 9 H 8 4 + 6 2 z s 3 3 s E 2 1 / Y g 1 e 8 4 i p K q Q A e f v h R r F 3 7 8 r S U L K 2 Y X 9 V Z A S M h O 9 z N Z 2 J V o 1 X t / d v Z 0 g l f 1 o v q V D t i s 1 F M x s f Q U N 2 O 5 4 8 N I J r J I z Q 9 i S d e G s C 7 L j 0 V v m o f r q D J + N M n j t G B D + A T r 1 p H P y d E j e 5 R J k c u F 6 M P 0 k Q C 9 G C 4 P 4 S J o S g e f W A b N m 5 a j 2 8 / G s f U b B K z h 4 7 i z K 7 V P C + A 3 / 7 y b 1 i 3 c h O 2 P 3 c A N f 4 2 R G j O 3 X P 7 E 7 D l / b D D h 9 q a W g y P Z t D Y b c c g f T 8 r 7 y n d N 9 + F V r 4 h 4 Q Z 8 L s z O z c H j W R h A s N N s E o y G r S S O g t p Y T J b 3 z 8 X o 5 6 i d 6 k l P M t F J K T q T j 8 + b Y p I J I J D P e W E o N 0 2 w O H 1 I 0 l Y l x j W j U G b i p H X L R a 5 p k 8 3 T y r 6 v E 1 / m B F n p o p k l O C F / 4 / T P P H W l G l C l M E X p W 6 l N p 4 v t k 6 a G s R 5 2 + p 6 V I C u d Z 5 N T u I l C V I I d S I b x z g t r 2 M d 2 e J 0 2 m s c n 8 N U J K 9 2 L g K s e F 1 5 4 P o K B A L q 7 O r B y R R c 6 6 r N Y u 2 Y V W m n a r 1 6 9 e h G r T D 8 m E U D x o 2 j 6 z W s o w f B s I 8 5 L / w 7 D T d f q R 4 r w R g d Q n T 6 G k V r Z 4 g X Y 9 V w / f R 0 b z j 5 / H R 5 7 Y C f e + M b X c j Q o K c W p O A G O T d l V 3 Q Y p E i l Z 3 y c Y 4 x L s u n M Q t S u s a F / f p H a M N 4 q 2 y 9 J 4 3 8 Q T y D R f g h x 9 j r b / f F G p 4 R p K 7 Y M 3 f B C x W B z P 3 / 8 i t j k D e G D 3 E L Z 8 + V p M J o + g w U b n X V 8 i L s Q W y 0 3 S 8 a c 5 Z n q O 1 / 6 o j 9 K S n + d G c f 9 / X 8 L v N E f W S h U v / o K R a Z I j x d q t W b W M 3 p K i 4 2 z v Q I r / B e j / L I C c o 2 s C 8 Y s z 6 R T C k b C q A R h P p r F m 1 e J L Q w S h U B g T P b v R s W 4 D 3 I E g k q k I E p h D 9 P g c C d O D 6 N w U q k / R A k O O w b V I O g f g T L U h 3 X R A V Q a u h K W 0 k M B l D c C a m Z z / j d / S D K f T Q 7 I 6 M e F W g k R j 3 a a 2 y D L 8 J k 9 x U z f Z L q Z g r 4 Z 7 7 D Y k 2 9 + v H y 0 i Q Q / g P T + 6 E 4 P U + l L g 5 o 5 P n a a W 5 f i c i 8 / R l U O G t d 6 z U A E M R J 7 n W H r R 6 t P 2 Y l 4 u S h h K a p N L E K J t 8 B 5 Y X D Z K N j q L c 1 E M d r 5 J L d e 2 i 0 f M F t R O 7 s H v n 0 i q Q h Z i 9 0 o 2 8 a t e + U p K + c y 8 b 7 M U p D J Q s X 6 5 B o m U 5 F 0 t F U 0 a g a x z 2 v S G V p p e k g U P N A d z y r n 3 e g 0 z V R 6 j e P Z V 3 3 o E L 4 3 G Y S W R r K b J 8 / Q 3 3 4 l 9 d 8 5 g w + v L 7 G G Z l D P V w w 5 n R u B 3 U F P l + X y 5 K J L 5 C J 3 y A l 7 / P 5 S C 0 S n c + y V T + a t F k B g P w N 0 Q U Q O V Z H d I V a R T m x c 3 u 0 6 2 6 q s g F d u L K E 2 x b D Z b L G d F F H 0 g 6 Y v 5 o V X I y H a m 0 0 E 4 m m P K U j F D w u e G N l o u P F k y o E p L s 9 L s O / F a p d m e O G p W L e 1 W S J s L W a l T G F C m Y p z + V U 1 i L 7 I N F 2 m C h 8 J K y i A Y g R y Z r P / b 9 j 5 c e Y Y s Z 9 e O C V M 5 K N j K I f 7 / b M K P G q / 4 V 0 L r W p 9 L U c u F K K W n 5 a K E o R Z D + e p M s 7 9 l 2 M + S e 2 V I 7 q W w e 8 S B T a 0 L m c 4 S 7 0 P B q 0 U a x V c y a k K M 9 U w g Q y O q Y 5 X G C B K c y J G p z 2 7 P K F O p R k p d E f 7 e b y G 6 4 r P q v Y F L v / 6 w 8 g c s 4 V E 8 + f V 3 Y s 9 D e 3 D 2 t W f q 3 + o g I c 1 k B n F o d C U u 6 J L q S p V t 7 s 3 f f J z / F p D 1 1 u L M F X 7 8 4 P p 6 t j O k M h L M s A + s Q r Z T 8 8 m y W T s 8 9 m 4 + S 5 z S z k E z d B R Z f Y Z f M r 1 r X V 0 c / A R S + T C F R B 7 V J w g F G 0 g m D i B m I v 6 R w V m 0 d p x E Z F W 6 t p + O e L e W + y e F 8 I 3 a 3 S d C N m e n Z Z L l O d S 9 Z c G L W t c K k u D i 2 m r u C J 9 x b R k n G 8 i n U E j 1 w a I n N I + N T 6 C 5 y Z S 8 T F 8 O i w Q o Y l J / I 7 d 0 Q a G h 6 Q Q + + r O X g I 5 N e N 8 5 N r z p d K 0 d q a w T A U e X M q k F U q r B n O t 5 M h C l s K x T Z y Z L M 5 y F m T q n 7 o X f l B m x H G Y S V G I m g c F M A m G m Z D S J P X c O o 3 l V 4 z w z C e S x h Z l E M l d X F a N k 8 Y Z 3 6 e + K e O r z r + I A s 1 3 B J l z + n 7 d w w C o w C w l T 8 r c u 5 O 0 X Y y b B G t n K h o w 8 c G A 3 9 t F c d l t q y A D F N u f 7 G u F M p u a Z S W C 3 Z y k M j i G a H a E J 8 Y J i J q m x M R l u o m S 1 q a z 2 a H Y c s b R k m S x v 8 j A a L 2 U m g T D T m G w A v V y I 4 C U z W Q Z b O Z i F E z K T m I I G x K S V 6 l b l z C S Y S f V i b p F M f R m 5 w I o l Z L d M L u v M J O a 2 w U y Z Q o x N T M I 3 9 E t E s m M l + X r G S / Z 9 X g r 9 E 3 F 8 9 K d 0 A W S F + e w Q 3 n B a U f O 4 7 O l 5 Z h K Y m U m K o y 4 X + d S 4 m l y v y F B S M m p u u p h 2 Z K Q x G b j n z 1 s x U n c t q u L 7 Y K G E l k V k M u c g P o g K Y y + D T x e L B B 7 b 2 o / d 9 x 6 F m 8 7 6 x t e X L W U n z m x L q 1 3 t L v x Z D y I p T R p a k m P I + 0 u l + 8 i Y V N A B v v k W m m j S X x y k m U h l 5 / n 5 r d s x M T m N m d k Q I n S O Z + Z C G B k d o 7 k h 0 S J N U N z 0 / v N 5 j T w V W g q R / k N 4 8 r n t N D v 4 X d q O Q j 9 9 i + 4 J p N 2 V f R M N 0 p o C 4 m k J g q S U l B f k 8 1 Y 4 7 Z q Q W W z Z y D x E m 5 U R f y K n Z f o 3 t 5 m F z s K + F X O n H I W O E R K Z B d m h o o 8 n m n M 2 V q 3 W f h k Q n 8 l Y g S B R w A y 1 r c s S V J / L I R p b i L w c s 8 c S a r e K y i h t m z l w Y o U D o f Q Q J g J n 0 U 8 u F e z L x b / 8 f C c 5 h f 3 m 5 D P V t O P f 7 1 v c / D a j Z D f M J Z D l u A w k o + g L 9 R Q p 3 + y E 2 8 i m 1 X V a h 8 q u b E 3 t x c 5 z 5 p o Q j U Z x 7 G A S B 0 J n Y e j g A z j 9 9 A 3 4 4 Q 9 / j B 2 7 9 u K 2 O + 7 G 7 3 9 / s / 7 r y o i l p 9 Q a r J z a c 0 f D s e 3 H M L B v E K s v 6 M K m 6 9 d I r + r f l C K e 0 U o y u + Z 6 8 J q v S f 0 3 t m l c z L F S t D Q 3 U h t Y s H k N t R j N O t n T 6 X N b t q j n F O 1 m Q D I Y O j r a 6 Q v W Y + f O X e j p O Y 5 d u 1 7 E k 0 8 9 g + r q W j z x x B P a 7 9 g c S V W p r 6 1 B P h l C K h r G z f 9 7 O 2 y y A 1 9 X a b 1 1 M y R d R 0 s k p f 1 O Q g 1 6 o v C Z 1 l W l s k W t K K l c Q o x C Q I J J 8 1 o m Y j o z j F S m l G k 9 E l Q x Q T b W z u T j C 0 x R K Z l V E X w u W 1 s U u Y Q u n O h D 1 / j m 5 t d + G e l l d v 7 1 0 e z K 6 Z G z V O F E d U f K G F g q N l V A Q f V N 5 b E W 2 P Q V B U l / G z p n 7 1 P v p U 2 R Z W y m Z u B n H z 8 X T p m P i l H j c A y P T C 0 U L p W x e L v M k H o j B i x P b 7 2 v 0 N a l 2 d 9 j o V o 0 V 5 W a D v F o G l 5 j v Q q R o Q 3 d G p B s B d M A U W o F R n + C V L q V m q I L O T 6 8 S v a s 0 C A p N W z A c A b 3 P v o S z r j q d N q g s t N H W f 4 f I R p J 8 B m 6 P 6 8 7 b y U u / v b T a r w s o R F 8 + e 0 X 4 p U b u 7 D 5 x m M k I i v s Q z t w z + f f C t n 3 b T T E t j p 7 E L a 0 4 t X f f Q z x 4 V 7 s u v F j 6 l o G 4 r E E v L 6 F I e v R s X E y Z Z M K 6 d o d d v z y l z f h w x / + A O L x P C I z s 7 j 3 4 X v x 5 j e 9 C T W 1 Q e X L p W 3 F 9 J N y p L M R a q H i b L o B S e H J 0 u c w L / Q r h Y U + q r a E Y D r G f l s 6 O q 3 g z K a o N F 0 0 J c f g s d Z T G 9 p V f Y X o D B m l b I W q G f k k y U J W P p c t I 3 n 5 K L Z d E O m x I b B q e Z q h H G a N 1 z 1 1 F / Y F t a X y U m P d b d q w r 5 y H y 3 H 9 l 5 8 B A o 3 4 5 Q d X o r W 6 K M g q B y U 0 q G 1 i S y Z 2 2 U f Z O W o v C r J 5 F 0 F u T F p P j Z C 5 g s V V r e X M J B B m M p s L T V T / J c w k o O M f a f 0 U 0 t 1 v R b b + f D K T z D z r z G T S f J W w / b Z D i p k E Z m Y S T T Q W k b o M P F / 8 M 2 q z j 9 3 0 L C 6 + k W o 1 P M a r 5 x F 1 t + I r f 9 q i n R A e R W 9 f L 4 6 M R c j Y m n R t q c q i 4 K H D 6 X b g z Z t a s G E j N V 8 Z 5 p m p b K c 7 Y S a B z I 0 l U j n 1 9 / i x A c y F J v H M 1 i 3 Y f P F m v P j i L k T C c f z p j 3 9 V v 1 0 M l Z h J Y K c t b W a m 0 V n t n l J 0 U g O 1 W q o H k w k K l G U w k 4 K e j Z E M W 5 H I T y l t Z a P Z t F h h S g N W N z V / Z H E f s h x S u 6 E S I v M L R E v H 3 e I v a u W T g Q g G M / r q X 4 d a C n V n N s N n W 3 5 W u e D e r 1 y C e / 9 9 X Q k z L S T P P F 0 I + p f x I 0 j E S R P i m k g K 0 v z L j Y I k 0 p b 4 2 z q t S + 3 F 5 U T 5 D F Q 7 2 j E 8 M o 3 O 9 j Z q E 6 3 O 2 4 n g H H u I o t i K d I O W D D m d J E O o A j A Z 9 N / r x F l v L q 0 q a 8 D Q S h j Y g Y 2 n r s O e o R C O 9 Q 6 Q w f 3 U O i m c 2 t m I + 4 + n k Z 4 b w 7 o 6 O 5 7 5 5 r u w + T v P Y D Y U w / T Q M Y z 9 / p 9 5 s k V t z + J 2 O X D k m Q G c e l k X O 6 S U a C Q z o u / o f v g C Q T Q 2 V 2 6 L Y P Z o C j V r N L N l b G I c z Y 2 l y b + V / I Y T o T z N Z y Z a j V r / H I X J N L x l 5 Z O N 6 N q J o O V 6 G J a B D G 2 p l S A M l i l Q K y t T c e H 3 + e E g r G 0 n L i N n R j o b p 9 D Q X A R z a S 2 n z Y e A v U W v k y E S o f R e k B L d s o G E D j H H z f 6 T Z L D I 0 1 R C l C Z f e 2 g I c w 3 F 5 U C L / H R J p F I Z t F a d w n P Z t / S F z N s G a V j Y R 5 V g S Q 5 Q k X Q u I 3 q g o 8 6 5 i n z h V s w k K G e m 0 c S L + r t S p J t f p Z j J P X g r 7 L M 7 V R 3 p 4 w + k Y d / 9 L C 4 9 7 2 9 q 2 / 1 5 0 L c y Y A 3 T Y Z Y l G e z k P S 8 d p H o H V n e 3 I z 7 L 3 w S b c K B / D N 3 t L V h 7 + p l K B d 9 4 / 0 5 8 6 / W n o M Z P A u X z r / 7 g D e o 6 L j r C 4 l f E J 2 n 7 6 8 x k Z A e P j Q 4 h E U u i q X U V 4 u E Z j I x q d r n V x s H n w K Z o y o W O J z H Y O 4 X a V V n 0 H z + o c s 6 a m x a a p U u l 3 0 Q S l T W U M J N 5 D Z k w k 0 C Y a T p S G g Z f j J k y E T d c l j r 2 j 4 8 m p J / N d k A 2 u 5 v j I 7 o c V X j w 9 h 1 w O o q m n s P q V c J M f D s J N Z s X 6 g m E m S y D l X P b j N W t B h L Z W a W R J O y f 1 Z c 4 m E t r p Y 2 t S 0 d E m 5 U R p R C w i Z k E U q H J j K U K p v i d T Y i b a 9 y / T D j J 6 K K R V L Z H G T N Z y m r y V 4 S k H U k u r G g t / r X m 9 d p w Z u S S R f N A 8 t s U s e i S Q 3 y K S h s Z e 2 w m W 5 Y Y 7 x / E i 3 c f x J 6 7 R r D r b 4 P Y u v t 8 7 H m x G h O H j + G c a x t Q d c F 7 E O 3 8 N K I t n 4 C 3 7 0 a e Q U l g K j j 5 9 G c 2 8 x C l X b C e D M N B n t j N m 2 f R T I Y + d v g g r O l J W A a 2 0 d G c Q s H X g V u e O o g z 2 t k G m o a r 1 6 x D N J H W G a Q A W 2 4 a L Z u c N H v 4 4 L y m h D f F d w o G 6 5 C j O T d G U 7 G 9 f T W e e P I p 3 H z r n / D C C z v o F 0 V w d G Q M N S t s W L m u F T f / 6 R 5 0 r 9 m A u + 6 + F 7 / / w y 0 q u V V e 5 r 5 Y j K k C n t K g x d B 0 s Q K q h N E r o c O z u E 9 m h m w C P T w w j U f v 3 4 b x o S h u + d U D i H G M J y d m c e e f H 4 f H 6 5 k v q 2 X A Z 9 c m r v P I V Q w 5 5 2 o q 3 z t h W l 8 l Q Q G D i Q T C X J W Q z k c W r O Q o i E A r S 1 e S e S f x V c u x l K B K e + r Q O X w H L 6 i r p h M r k g V Q U W n l o i y E b L 9 U b l a K Z V Y C y e G T a Q z 9 Z e l 9 Y a C Q j k k J W h + m B s K o a r X C u n K Q 3 2 m t K 3 + g 7 / 4 1 i l N X + D E X z m D j S g d a c o c x 3 J N A N l I F l 6 0 G t r o p r L 6 g u 2 L n L I l 8 B p 6 B 3 5 G p X E j 7 z 0 P e t w I F S v D N 3 3 p S 6 z D 6 S P / x h v P w n U f 7 c W w i C l t k X B X 4 S G d y c N a 1 w D L 5 E n 7 z b / + I t e 1 1 2 D e U x B f / s g V / + 8 S l l N p J j B 6 P o r q + C p k E 5 X L c w b b 5 M Z n a h u 5 V q / i c + l y W + G l l e W o C 2 9 w B E t h p p k F j v x j v D Q h T O U o F i p g q R t J t O f y 5 O k R t W r h 7 L h 5 A t b e U 4 W S e R 0 L T / 1 e 4 K D F T H G Q p H 2 1 E 6 4 S 5 y i O D l W D r X 4 l c l 2 5 2 m 1 C T C W P W E d T n 1 G K k Y Z u a J x K N F z D t K W a G b W A 1 q u m + S h s K + R h s t s p Z 9 u V Y z I y W d K / y N X W 2 T A x N k 0 9 g p K W s l P M y s G R Q g q Y c P J 2 w 5 C L I y 4 b h c k y Y s J w G d F h G + v o K 3 q B m / w q i 4 3 F 4 6 9 0 4 u O U w w m M J 0 p j M L V l p c r h R 1 e n F z 7 Y F k E w L u R T w o w / 7 4 P I W f Y D / E y j t R i d n U R O s h t t T z C d L p F J 4 5 f e f p b E b Q S 4 e w s 8 + f j 0 + c e t O J I M r a c p Y Y e t 9 H j l P F W y 0 f 7 d 8 9 a 3 w H P k e c j Q r 0 8 1 X o m D 3 o z / y P G Y e 6 k T w i m 5 4 7 H m 0 2 I / A 4 l v E l J B F e 6 a o k e f Q t z G 0 4 k 3 w O R r I m E 6 a U g u j g W b k K H l t Z f U R x K w y 7 2 J S 6 2 z H X G Z s n s C T a R f c 9 A n N K P W D / n 5 I 5 m b V W L q s p Q Q t j r / s Y l g O 5 + E Y 4 p 4 W 2 N q p Z a w a A c l 8 l H k 9 0 V K Q G C Y p B 9 a B O v q f l T M 5 Z E s d Y x c Q M x L Z m Z L N C p Y L R 2 J W b d h W C Y l Y G h 6 f F r H W e l j r Y / l b S 5 o R / O S n N + J D H / 4 g 7 r j j T m z a t B F b t j y H D 3 / w v X j w 4 c d U 9 r n X 4 8 E l l 1 6 C p 5 5 6 C h s 3 b s T T T z / N 7 9 + n z h V U 3 C x A N l M W i S K 3 K g U b k e h H y t k N V 0 Z z w v 4 u 4 D V n U 1 X z a U T l e O 7 Y F P 7 1 l u 2 I T f R R k W W w 6 p Q z c C h k R V 1 t D b L 9 O + G z Z n G Z b w R n n 3 M u I q F p v O V t 7 4 B s 9 T 8 1 N Y U n a c Z t q N u A 0 6 / S d 5 c w J a U u g M x X 6 V k I / p E f o b 9 O k 3 Y F m p r x / M y C Q o 4 C s w Y / P G H D u p p J X l / s c T / / F j V e K D O E o K O V p i r N U P p N K R J o m v Z 3 k j 6 N x V L 0 j 2 Q i 0 2 U L z k / Y L h e i h b y 2 h R O R M n 8 U J l M L c V d i G g N i A o o v V P q M B T h S I W r L H H J 8 n t x o N X x o p 6 a P w V 4 / h m w w r x J I C x k 7 c g 7 R s h o p y d y R F g X k Z 8 m 9 g 8 y / a V p R B H s m n Z 1 f u Z B K p d V + x u V Y K s g j f t t i 2 n B F 7 A H 0 e l + t f y q i P O B h Y G x 4 D s 1 t 1 V o A x U H h Y d c q J t t s T u V 7 S 8 p T X v Y C 4 7 l y v r x y W Q o K m + a b l 2 u q y g w 1 E E N 1 Z 5 n U k A h I + Y Z o 4 t D q E 2 8 v G y T i n t 4 R r F q 1 t I P 5 s d 9 v p y l H J 3 p 2 i M 6 u H b 6 G Z u S s L u R D w x z Q N P 7 4 8 V e g s a E K H m s S c 0 k X a m p q V H J l Q d J 6 + N f t X z y L 2 o B s D G e h 3 e w e + S O G 6 7 T d M Q y Y J Z o Z Z o a S g p y r 6 s m w l f p K x 0 D s O b X s o N 6 1 n g P l w E 2 / + b V a 2 / X a 1 1 6 P 4 e E R v O a 6 a 2 h C y R Y r M T z / 3 C 5 M T 0 2 j o 7 M V 6 z Y t N m t f 4 O 9 T Z R v A F V R K k 7 S 3 2 l q 7 L P P R C E + 7 r T V k k q L V 4 Y q N I 6 5 2 b 6 d x V + a L C b / s e n Y I 7 W 3 s M 5 r q f 7 v j N p W s L G u J X n / d 6 / F f X / s K v v n 1 r 2 H 7 z h f Q 0 t K O s a F R D I 2 P o L a 6 V q 0 S O E R f e O M Z G 3 H B B R f Q A i o l w 6 U Y K p a Z V F b D Y r C n o 8 j S r D d j c j y C h q a F w S E r + 9 q o K y L P L U v r + 2 N b + K w u t H t L a W A 5 s N x y y 8 2 F y y + 7 B A G q 3 b v v e Y A D e x 0 S s 3 H Y A w 7 l n F 9 8 3 q k c M J 8 K R s h c j I S g / 3 6 Q T l y + a X P 5 N x 6 m J K W 1 P j u G p 7 7 9 D 7 j m h 8 8 g k U n B G p Y Z 8 D z u + s q F C + z h n f e 8 h L N f o 8 1 z S d R G 7 f O 7 F J L 9 p K q u Z Y X B b d R m 1 Y 6 i l h 6 Y t a K z h l J N d g + R n c v L Q c k n / x n E b 2 T d G z Z 5 J k / 9 J O l M R C R P s z C X 0 S N y N G V y K f Z U Q f l E Z g j j + O 3 m E L 7 W p 1 r S b U j d y 1 0 W M D p Z t E w + i u O 1 Z 1 b 0 v b Q p E E p 0 M p s E O W i E 8 7 M U 7 L R R S 4 n J Z 1 W p b A 6 n U 5 X q k m c d i u 5 A i / 8 M / t K p 1 k h l M 1 n s 2 n I Q Z 1 8 q W w Q V 6 e H l T E U I q q f 3 I k 0 / L 1 5 W 1 i E e S 8 H r K 3 V R v L k E 4 m W m f M D Z C q c e D Z X 8 z m X R j Q 5 r X W 0 d f v m r 3 2 D H z t 3 q Y d N p D m L W h V / 9 6 i b s 2 7 c P E z M Z T F J K T k 7 P Y H r G F M k p q z M g 5 s J J I R e n 5 i i V S i f C k / / 5 K v o c N F 4 C V Z h K j u L R f 7 + U w 8 U B C D a S 2 V O 4 4 Q 5 t i b s Z r o K p O P 4 y O s U z / Q x J U i P q E 8 H M T P v H 7 B o z C T g Y l W B J T 5 R o k i p 9 y Y Z h N i h m U v X e x B y k l O U z S R a 6 R C b F b y l n J k E p M 8 k 4 R J W 2 E W Y S E 0 8 C B u W T o y e L 0 Y a r s H 7 2 O f 1 T K Q x f U E w 8 a a f 6 K 6 y l m 3 z C X L X e T j K 1 l r 4 m z y p C z 1 q Q t W Q F Z T 2 I n 7 7 h / N W K H s L H F g a G T h Z z t W c o Z m q b f h B W C i U D Z m Y S 4 e R m / 5 Y z k y C S H l E Z P b O p A T 2 K W z T J l 4 K Q s z L 5 J L H V W M c k 9 R q m D k d R s 7 r U R M p k 0 3 B I g q E B k 7 9 x s r D E e z G T q E F N 3 f I l p x R v l E 0 B B i J a 5 M x B A m s L a A S 9 + b / v Q Y G S 8 g 0 t P f j 3 D 3 5 c H T N w c M s h n L J 5 6 Z X I Z n i H b s J Q w + X L Z C q R p o U T L l u Y h 5 S p W k Y B m 2 w 2 h V C u L D y r Y 6 m A x X S 0 G n X 6 X J b Z R I 1 R i 0 m o / P 8 K / + w R R G t K d z o U L O X T C B a G v j U t a o Z Y Q E b N j U w i g 4 i U i + h e p P L u i V A m p 1 d k H s G Y 9 8 2 0 Z k I Y P D q C j j X F X e N 9 z l r S 1 g x c s v 5 K N C 1 c S O X m 4 L T U I l 2 Y Y d u 7 2 N T l W 2 X q C c y L A n M 5 X r R s 7 y C B m Z k s + f j L Z i Y J C v R P 2 U + K m b Y P O l V p Y r 2 / F V p N 2 e X P / s d 5 2 P a + 7 D w z x d l B g u n R a Y 2 Z d C m 6 L P A e y 9 V Q x s i V J 6 I u i g p 9 V l 7 A U r A Y M w m E T d w 0 / y r B Y C a B 2 W J w S s H R C p D n L M 9 M N z R O J e T 0 b I h y L M V M + X g l Q b P w m c 0 F b A q u l G K m x F H 6 8 d n K w m N J l J 3 S 6 3 g l d m 4 7 h o M v 9 M A f 6 M C D d + z E b b c + T X + 7 F l / 9 r x 9 j b t S G e 2 / f g j / 9 / i E k I 1 b c 9 a f n q C / o E 9 7 8 t F q u c j K o G J Q I 9 S V Q d Y L 9 i F 4 u w p G I W r u / X M j S d m e Z w y q Y j k + i z q s 7 p r K 0 o I L j / e L f R n D m 6 0 X T 8 r t F 8 u n K 4 R v 6 O Q b 0 N K n l w m 2 v g s + 2 u J M 8 j 0 V 2 b F T I R T g a T u U g T y S G M R O t Q V P V 8 t f j x F M e e F 2 l Z n g R p R p B 5 n F k Q t f I x / P Y a l R 4 X 7 S Y m M 4 2 U 1 C i H N 2 x B 9 H n u 0 b / d G L k Z S v Y 2 u X v P G j A 8 J + S s S x c U 6 2 w d O m l j x e B Z N O H 5 p K o q n b D L s t E + M g 2 P t / A Q A R t X b W q x F q 1 f R V d 7 V l Y 4 1 k V W h d z 2 m J P w W 3 1 s C / o + 1 n S 9 J m s S C W z u P u 2 x / G 6 t 2 9 m 3 0 i l q G W M r Q 6 T z C 8 i r 6 8 B W h S 6 z Z 9 O L T a A i + N k m E m w W F M M Z v J N / K Y i M 0 m k L V O Q e a X a Z T O T Q L S v O N o C 2 f N o O f B Y 6 R / k k / S R x m G R G n m 8 d z Y f Q y L d r w g j H n 8 J c 7 K J Q C V m o k Y Y k d K A H L h Q b g K z P E f S j E 6 G m Q S L M 5 O g V G T L p K g 5 w C C b O o u J K N o p V Y j J O / 0 b + W 6 a J l C x d q E w k 2 t i p / q 9 R N t O i H x F E l s 2 3 D 6 7 Y i Z b / 9 L + r z B R 0 G A m Q i K / O Z p q w k w C 0 U Z x 9 q 8 k W i W 9 d j R O 3 Y G C T T a p y / J 4 h B p 9 D h n 6 9 a l s l B d L 4 r V v u 0 j 5 h A k R d C c C f + e Y f B K B 4 R 9 U Z q h g l w d p c v G i k L k c Q o q B i G N p O N W C q a n p k s 8 C i 1 5 Y X q K E J 4 M t x 1 2 L V g 4 1 k L Y U N 4 8 W g u Y I Y j w 2 i t 6 5 Y W y 8 f v F c s M U g W e w 1 z m 4 1 s W j M y Z j D y J U Q p t M / n R n C V C G C K S T V u q V Q Z h R x X Q P I A r 2 c T q S F V J F J w 0 l 2 P 5 m 3 p U r b X n Q + H 0 7 9 + / e B V P J d D B L Q E O Y S A S I B D P n r t d W W j J / L W q 2 S a c 2 w e q X 2 h 2 X J 0 L W B M l J Q q L D W c Q F U X X w i p R N 0 r m s Q A z u X F u A O l b d J 1 4 A E T s 7 S j x Z h n v Y Y b b w K 3 S F t f Z X A p f d 9 O W r L J s H N 8 A / 9 D 1 z D d 8 B C E z x D v z v S 9 u n K D G V z U O 2 N l Q Y l z L D k Q z h 2 T E t L M S a 7 D N T X 1 2 m f J W j B B 5 u Y m M S x I a 0 j Z P f 1 5 U J 2 P N + 8 s v J D G r D Q y c w 0 X K T e R 2 M h r R 4 4 H y m R j W N y V w g u z 9 K M U A k F f Q F d u + 8 8 5 U z L S 8 K 9 Q U c T 6 h z F n C 8 J D t h I r L J R W U 5 f z X o i 5 K i 5 L P q W l I K g b Q p T S d k C p 1 c / 8 v d H 1 j S 5 v B B k C p q q 5 R P C E v I W i P S W o S y f E E 7 4 W + G J D u u f T o D 8 Q v G w W J 1 U i S Y b k L r 4 0 v c u U 8 J q 5 9 k e j O 1 Z 3 H c X 5 v V K j q I 8 s 5 X e Y Z k / a F g e B g 4 F N l M I R 9 E 9 e 9 / i B W r K s v 4 V J E 2 u 7 z e I t n 8 S q b Y 3 o G D K c V y 0 t w M r M w g d r S x h k B z F 6 t V L 2 M X Z M D J i q / H B G h s b T j h p W 4 4 n j 7 k W b K p c C b J F j g G / r w q W h L a E v N 5 T D f v c y 4 t q q R o U J k h m i O x q Y b f 6 l B Y y I M E B 2 U a l f M f 7 p R D T 9 4 t S 4 V h i L j d F g j 0 5 p 7 c c s o p Y U H G c i P I 6 e i e D O M 2 9 T N n 0 i A G b l C p e D n K V 7 x 9 J L u Q q q T Z b b t 2 U R w i b N 6 Y x t l v / U I b o 9 P R 8 A q 9 s J m A r Y y A z J B f R T e 1 T c P r R V 3 M d O i b u 1 b 8 p o n z j Q V E Q / i G a d e k 5 J L o / o B 8 s x R K 9 b U H V G m q K w x H F W L L D Q z Z J a Z y l 8 e L T a q e p x E E T A V p S I 9 o b q U F Q o L R R m b q L j H Q F S J m o q Z g N l 6 9 e W j P N Q 4 p u E D I h K i h 4 y L i 0 6 / 3 O u n k p e 7 I o S A D D B F m g K F J q q e 0 t l 4 s M G V A Q y 4 x j M C R V X l 8 + s R u Q Y p Y O S u J k x q V 2 l P x 7 Q p v j q j x + 0 e r 1 6 J 6 + W 7 3 P m k o Z L M A i D B X Q a 7 e X Q 6 w b Y a r e P k 3 o V L p / 8 y Z e d o w m o U n 2 O b J J B M i Q y 4 W 9 L M N n s u 5 V a J j Z q n / S Y P 6 F Y 3 Y X H G N P U i t 9 G n n 3 4 q a u d Z a m 1 V K o W x 9 Q j O W p d s H u t m H u G J 1 v 3 c T T c v m s Z C R J 9 6 c v 5 d L j + 2 x s Q T I F V E F 7 m o S y L q Y s D b 4 c f b N 2 m o T U L s b + t 5 X A + 1 i S Z F p 9 5 w l r r Z Y e Z W Q X K O h 2 f Y r m 4 M u D 6 f 6 6 D 1 Q J U q U o L r X E Z Q r h J C D R t X b / u f C 5 i g m z / 1 f I F i 4 1 t j A m c 9 o c l 2 w 4 / v e C 7 C a y G P r q X g O H 7 D K 4 F M h Q 4 h 9 W y n q Q W v a V I P T V 3 t Z C x h L f s n L G v q 0 5 S s v L B v v A C m R T e W Q q b V u 7 i G l p h u Q 4 y q Y D U o N x O r i x R N O 7 9 K X v v q G f I h M 8 D Z k W r c j r U r D W L M O 0 K k F + o R q V 9 U V L t b 4 g x f + F u f R g R i V 0 1 y x i + q h K N / p T 8 j 4 F N 5 l W M s K p f q P Z 0 v C t u T O c Z U u u 5 T v 5 2 v w y I B n p w 9 E 9 m I m R o 3 O m d u g T e p U 2 9 5 K J X E n p k U W X y y 0 B J s g n h h C O H y w x x U 6 4 v c 8 y o O 0 m q Y 2 B b D g u d f P E O Z e X j z 6 l z F 3 J r i R / X 1 j Q H N 8 O + 1 J l y P L F Z y t n K r + L f s 4 i T S r Y k p h J a 1 Z B O p V F K i m Z G O Z R 4 9 2 d O S S a e 1 A z d w i 2 w V V w z p 7 8 8 0 k 2 v M d W i y y t m j z N x b a Z x / R v C F o m g c E f I N b + c X L w 8 v x x q 1 T 9 k Y W S k i 1 x I u x 9 6 Q B m 8 p O Y G J 9 G n A 8 Y C c e Q S J 6 E N F S E U 9 o p g n 2 j F e 4 t Q Q 2 B 2 g l + I b O 6 h / 5 K 0 7 M 0 l C q K c y x i V x 3 v a y y d O J b v 5 C r m l 4 E O / z l o 8 2 9 E r U 8 m O k 0 d p / s P l S Z 6 x c G V l 2 a r L + z s R + 5 + E b / 8 0 Z 1 0 J 6 v x 7 C O H 4 b E 2 I h + t w 6 G j W d x 3 z 3 4 8 e M d 2 b H 3 8 K H Y + 2 4 u b f n o X q r 0 d G O v 9 v 2 k W g 1 + k o q v U z V N 7 J P E l a U v C c O X + l D C b i 2 a i J T N D T X t y 9 R k M j P u W r q S 7 a P 0 Z H a b 6 q S W I q B 0 c t V G S z H S X W y t T Z y Y f + b g m f C 8 i T a c i 1 9 G D U C C E f H 8 z r C e a 9 l k C I 3 V X o n P y X v i n 9 s M x + T w i H Z / W v 1 k e b F d f f c 1 / 3 X f f f U i l U q o 2 3 U M P P 4 x o N I E d O 3 f h 9 N N P L Z E K f / r T X 1 F d G 8 C + A / t x 5 s Y N 2 P H i b l W K 2 V 0 h / X 5 R i L l m l X A 7 8 P h R N 3 p n 7 L i g q w I h n U B q e 9 K P I e 2 7 Q P 9 U h N 9 F p s j T / E z 2 w l e n m 6 B C L B L x k b 8 V o j k D 0 e 0 Y 6 o k h 4 L F h L L s C f Y N j a G m R V H 6 3 W v V 7 7 P A g W l t a Z X 2 r f s a J s W n D W a q Q S 5 6 C Q e Z G J i d C q n 7 5 4 c O H k U 6 T 4 F M Z N D b W 4 6 w z z 8 L O n S + i q 3 0 F Z k L T q G 1 8 + R P q y a w H V d Y I k m X m T 3 6 R v h T / K y d z e D b P f A T M S 2 Y 0 f L 3 l I O f w w R 0 d R n D 2 I B L + h S t f 8 y F e u 6 r Y b 5 J p v x w k c m L W V + B G k y S 0 5 L O I 2 l u p W b T n l b V e K d 8 w E v k o H L 2 r Y K k r L b y z X M T n X o N U v B O u b m 3 a R c o E L N c n V 5 k S s Y Q M u g c O W 5 7 q 2 6 b K Y s m i L 1 u F + O Z c X w z V 3 Q s X h J 0 M h J k s U t l H 9 t Z 9 W S j Q b 5 u h q V n Z C Y 3 N x d Q i y L o l N l k q 0 K + z 6 P t Q 5 T I J b N 2 x F 3 v 3 7 k F V V T X e 8 w 9 v x i 9 + d Q v e / / 7 3 4 u m n t + C i i 8 7 H x N Q I X F W L m 3 Z W D q 6 T E j 9 N Y j S W A 5 g h Z b q k s p D A y G q Q G g 2 G J v l 7 w E / T b r p Q D Z d j o Y C S 8 P 7 J R C R P t H F A J T S N P 4 H x p i v 0 T x q c w 6 c g 3 X Z Q / 8 T r y m 6 M Z V n r Y v Z V 0 l S V / C 4 z u s P 3 o y + 4 c G M L I 9 s 9 P p J H N U 5 D u q V 4 / y V B u r Q P r U L V G o 3 u J R g n 8 Y N w h m Z 6 Z g T t 3 h P X t S 9 J P c r n a c D o K z M X w 9 x g F N U t c u e T y 3 g w Y / u A E + d 2 6 o N e n o 4 j d g s J L E u b P 5 T R c t r K l 2 T 4 R 2 9 A t E W q G l V A N o S D z 0 1 g / e b V K o v 5 R F A b n 9 F P c 8 w c R L 7 j a p X 9 b A h G q 9 2 G P O 3 h Q m o E c 5 a 0 m p c p R 6 U N y q w c U N E K U n f P n c s g Z P F S U G n + Y 4 z M 5 K u Q 1 W A w l 2 i N x Z J f T w T Z a H o m E 6 x 4 / a W S a p f C y S 7 H b 5 9 8 E E M N R d 8 2 O + K B v b W 0 P Q u T Z a l d M x a 4 y y b x J b K 6 W F 5 l 9 8 w 9 6 K u t t G f T Q t g H V i P b o T G n a L F H 7 t 6 F p q Z G r F j Z h P q W G l W 1 y Q 6 O 0 W w j v K 1 W N f w F y Y L n W M w d J V O u 0 b h 9 K P 7 C C Z m q R C 6 c i J k E 9 v z U / 4 m Z B P P M J D C Y y Y i o 8 Y F V j W x h J h l / v v J 6 o K C Q p + S J D S 7 O T L J X k r 0 K k R G S D p l J M t T L M R T d q b / T o H Y R d L V h x 5 A X q W y Y P m E S N 9 / y R 9 x 7 / 4 N 0 h F P 4 w 6 2 3 w u 5 u U t k T 5 R A m K G c m g W F i y U Y F M X 5 v M F P f V J s i 9 m y F w I 7 M n 4 i m W o z o J e J l Q F i j E m S j a b m + l F M u h 1 x X g h M n C 4 O Z j I R c b Y N q L d g h L z P S u T h 6 a i 9 U m s p A p U 3 Q R f N E s u N 8 X j 6 T P s Z u Z 4 H 9 o r 0 3 X r X u y l v 6 d E 7 e v W x m E k T a X o B t c K W 6 p v T d N a + + E q l 0 G h M T U d z 8 m 3 t w 0 8 / v R p W z E 7 + 9 8 1 e I h h P 4 y 1 9 u x 8 x 0 C K G + F O m I 9 H h I a m H Q L 7 c 3 K K Z a C h W T Y 5 d C f D I B b 8 P L t / M z O W 1 P q M U g D z w Q G o H f n U D A 2 l J S A k v g 7 f 0 5 U j W b k a s 2 N l L W k Z l W U R k p C z Z 5 f B K d G 5 a 3 I M y A a / w R D N v O R U N j E M l k H g M D g z R 7 A 0 i m 4 l j R X o t w n j 6 Q r M T V 4 c / G 1 H Y y i 8 F Y n P Z y 4 c q m k L I X m V W y x 1 3 W 4 I K 1 T e V Z D O I D x S u F k P 9 / h J e C J W 7 K F t C i I 4 p 6 y V H C H U t D S s t p X M R T e I 4 E G w T m K s M a C m g f v Q 9 H G y 7 W f 2 2 n P 5 p D 0 L v 4 y o V Y y k s h E 1 f M 7 k 6 5 Y Z l a S y Y p I F 2 Y h t v W j J R z D F l 7 E q F o B A 3 t L t S 6 V i K R S i K X t c C v r 5 8 a i h y H I + e C Y y q I 2 t U B t i K H q d Q R B O 1 t e i a H R V k v Q / T F T 9 p 4 t 7 n p Y E e t i F e Q / s v B C / 1 F I p M 1 + S E 9 a 0 A g k k s q B X X 4 q R E c q x Y w k 3 v w D 4 i v + B h y w V P o g 5 m k r Z T z 0 l N E j j 4 c W c B M Y + E T P 2 a 6 5 j y 0 p x 5 l m 6 x w O e 1 Y s 3 o F W p r r s a K r U w 2 e u W S W Y C l m E i Q X S a q M J 5 c n j I S Z z B p F m E m I o h z l 2 k q Y S c 7 L L Z K U K h r m 7 4 0 S Z h J Q 0 7 Z N P Q p n r K h V l 4 I U P 5 1 J G q l s 6 s 8 C S M i / r f 8 e D L V c r / w w t 3 o F F D M N D y 6 e p G v U k X f a v M h 7 r c h 1 H k O 2 v Q d J b x z W F v r x n g K 8 A T 9 6 D h 2 G B 2 0 4 d O Q Y 7 r z z 7 n l m E j i s T m R s K c V M 0 T 4 y J W x o c J 2 i a n / E s z P K v x J m E q h e D y V K n y J E B / r 4 V A U H l l w o k 7 s N / j y 8 V N E v B x e t L J p 7 o k 6 r X M V V r 0 b u n B S a L N m C k f d 1 j j 2 C Z M c / a p / p + P t G p Z Y f o S o V a Q m M u + 4 8 j A 2 v W x i o q P a e u K 0 F Z x V S 9 c W F h Q O R b e q v Q m Y G N b I p 8 x K J p g Y K 1 E y i n Y x o l l w v Z d o 1 w k v N e y I Y b d B W 6 I o 8 z K h r p E s K 9 E u N B 6 e q Z F S O m N 2 r K s 1 W w t 9 / L q o U h m m Y y r i R j i z f k p F n F o 2 U V f 3 H 8 6 k h 6 i 1 1 a B 5 8 E N 3 h e 1 E 3 t h X D X a / V f 1 1 E J D O G t o 4 G V Q r g Z B C o L 8 A t D J b L 4 / a / 3 Y 0 V a 9 d i 9 4 v P 4 x A Z q 6 6 2 n n 5 V M U L Y 5 N O i l 6 K p / N 1 J z B 5 J 0 s f S a M p r l 6 w c 2 T V R X B c a 1 n 3 D U 4 X y 3 Q Q X Q z 4 j 6 0 d K k 2 F f D s w b q p 0 I t t B h E k E K 2 e o z 9 C M 6 p A D / 2 J N I t 7 8 G e w f t i M f T + O 1 9 c / j F p x e G Z a d j V t T 5 T v y M n q F b E W 9 / J 0 m 1 9 P l U T Q G b G 9 M 0 + 0 6 E Z C 5 E o t C Y R i o Y i Q Z x 2 f x I 5 2 N w W N y U d o t r N i m 2 Y j C I Y c p Z 8 x l E 8 9 O L u O a U w P Z G t n a h N p L l 3 c l F s u T 9 G Z q r Z d r / 7 w 3 J g 8 s f D y K 7 + s Q C x I A w e 3 B q L 6 o s g 5 i x n Y J o j R a 8 K O 6 U q K F Y 9 k z G 6 e U J d g P + T J x 9 U V w 4 2 R w Z Q a b 2 X P a 3 1 L u w 0 c y P c 8 x E M J T S R D q a R T q c h r 9 V z t W E X i 6 f x v 8 H z 9 b g A k z j m m 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 C o n c e n t r a t i o n "   G u i d = " 2 9 a c 6 1 1 b - a 9 7 6 - 4 2 6 6 - a d d 3 - f e 7 4 e f 3 1 3 4 9 3 "   R e v = " 2 2 "   R e v G u i d = " a 3 c 5 8 9 a 1 - c 0 3 b - 4 5 d 4 - 9 a 4 2 - 3 4 0 a 9 2 f 7 4 6 8 2 " 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0 & 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C a t V a l M s r ' A l l D a t a M a p ' [ P h o s p h a t e   ( P P M ) ] M s r A F N o n e M s r V a l 0 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C a t V a l M s r ' A l l D a t a M a p ' [ P h o s p h a t e   ( P P M ) ] M s r A F A v e r a g e 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5 & l t ; / X & g t ; & l t ; Y & g t ; 1 2 8 & l t ; / Y & g t ; & l t ; D i s t a n c e T o N e a r e s t C o r n e r X & g t ; 5 & l t ; / D i s t a n c e T o N e a r e s t C o r n e r X & g t ; & l t ; D i s t a n c e T o N e a r e s t C o r n e r Y & g t ; 1 2 8 & l t ; / D i s t a n c e T o N e a r e s t C o r n e r Y & g t ; & l t ; Z O r d e r & g t ; 0 & l t ; / Z O r d e r & g t ; & l t ; W i d t h & g t ; 5 0 8 & l t ; / W i d t h & g t ; & l t ; H e i g h t & g t ; 8 1 . 2 2 0 0 0 0 0 0 0 0 0 0 0 2 7 & l t ; / H e i g h t & g t ; & l t ; A c t u a l W i d t h & g t ; 5 0 8 & l t ; / A c t u a l W i d t h & g t ; & l t ; A c t u a l H e i g h t & g t ; 8 1 . 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1 2 & l t ; / W i d t h & g t ; & l t ; H e i g h t & g t ; 1 2 8 & l t ; / H e i g h t & g t ; & l t ; A c t u a l W i d t h & g t ; 5 1 2 & l t ; / A c t u a l W i d t h & g t ; & l t ; A c t u a l H e i g h t & g t ; 1 2 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l t ; / M i n i m u m & g t ; & l t ; M a x i m u m & g t ; 3 & l t ; / M a x i m u m & g t ; & l t ; / L e g e n d & g t ; & l t ; D o c k & g t ; T o p L e f t & l t ; / D o c k & g t ; & l t ; / D e c o r a t o r & g t ; & l t ; D e c o r a t o r & g t ; & l t ; X & g t ; 1 0 9 4 & l t ; / X & g t ; & l t ; Y & g t ; 1 4 . 5 & l t ; / Y & g t ; & l t ; D i s t a n c e T o N e a r e s t C o r n e r X & g t ; 1 0 & l t ; / D i s t a n c e T o N e a r e s t C o r n e r X & g t ; & l t ; D i s t a n c e T o N e a r e s t C o r n e r Y & g t ; 1 4 . 5 & l t ; / D i s t a n c e T o N e a r e s t C o r n e r Y & g t ; & l t ; Z O r d e r & g t ; 2 & l t ; / Z O r d e r & g t ; & l t ; W i d t h & g t ; 2 0 8 & l t ; / W i d t h & g t ; & l t ; H e i g h t & g t ; 1 0 9 & l t ; / H e i g h t & g t ; & l t ; A c t u a l W i d t h & g t ; 2 0 8 & l t ; / A c t u a l W i d t h & g t ; & l t ; A c t u a l H e i g h t & g t ; 1 0 9 & 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C o n d u c t i v i t y "   C u s t o m M a p G u i d = " 0 0 0 0 0 0 0 0 - 0 0 0 0 - 0 0 0 0 - 0 0 0 0 - 0 0 0 0 0 0 0 0 0 0 0 0 "   C u s t o m M a p I d = " 0 0 0 0 0 0 0 0 - 0 0 0 0 - 0 0 0 0 - 0 0 0 0 - 0 0 0 0 0 0 0 0 0 0 0 0 "   S c e n e I d = " e d 6 b 3 0 6 7 - f 1 3 1 - 4 d 2 4 - 9 1 1 0 - c 4 2 f a 4 4 9 c 5 8 6 " > < T r a n s i t i o n > M o v e T o < / T r a n s i t i o n > < E f f e c t > F i g u r e 8 < / E f f e c t > < T h e m e > B i n g R o a d < / T h e m e > < T h e m e W i t h L a b e l > t r u e < / T h e m e W i t h L a b e l > < F l a t M o d e E n a b l e d > f a l s e < / F l a t M o d e E n a b l e d > < D u r a t i o n > 2 0 0 0 0 0 0 0 0 < / D u r a t i o n > < T r a n s i t i o n D u r a t i o n > 3 0 0 0 0 0 0 0 < / T r a n s i t i o n D u r a t i o n > < S p e e d > 0 . 5 < / S p e e d > < F r a m e > < C a m e r a > < L a t i t u d e > 5 2 . 0 9 0 5 4 3 8 0 2 3 1 5 2 5 3 < / L a t i t u d e > < L o n g i t u d e > - 1 . 8 9 2 5 3 7 6 8 7 7 8 3 1 4 8 3 < / L o n g i t u d e > < R o t a t i o n > 0 < / R o t a t i o n > < P i v o t A n g l e > - 0 . 5 9 6 5 4 5 3 3 7 7 7 3 7 1 3 7 7 < / P i v o t A n g l e > < D i s t a n c e > 0 . 0 0 9 0 0 7 1 9 9 2 5 4 7 4 0 9 9 2 6 < / D i s t a n c e > < / C a m e r a > < I m a g e > i V B O R w 0 K G g o A A A A N S U h E U g A A A N Q A A A B 1 C A Y A A A A 2 n s 9 T A A A A A X N S R 0 I A r s 4 c 6 Q A A A A R n Q U 1 B A A C x j w v 8 Y Q U A A A A J c E h Z c w A A A m I A A A J i A W y J d J c A A K B P S U R B V H h e z b 0 H m C R X d T b 8 d s 4 9 O c f N u 1 r t a h V R B o G Q Q A I R D B j b 2 C R j D C b a B B O M y Q I T R T C f C C I I B A K h g B A S C i A J Z W 3 Q 5 j g 5 5 + m c u / / 3 3 K q a r u 7 p n p m V 7 e f 5 3 3 1 6 p 7 u 6 u u r W v S f f c 8 + 1 9 E 8 + X Q D R 4 2 + H 1 R l E w W J D 3 u q E F T Y 5 v A Q 5 y Z J P a B + s H u 2 v H C 3 k + M r A U s g j b / O p o 5 Z 8 i p 8 z v J Y d O Y s F V o s T e X 4 W 2 P h e k E M W F v 4 r y O / N s F h 5 v b z + w X Q + b 2 W z y L s 8 c l m + s e R h 4 b k W q 1 x F R y 7 G b / 3 y R r W X j Y D V a i t + X w Z L L o q C T c 7 / n y G T n M P + B 0 Z Q V 9 + C + m 1 y 9 x S c t g C G I 0 + j 0 d G O + e w k O n z n s 7 3 a + d K 2 o X k 7 e u u z i E 7 G E P L U o K M m q 3 0 p y C d V v 6 o + t N c C q W n M n q p H 4 3 b 7 0 v e W f E y 9 L d g b Y E 0 N I I Q A A s 5 a W L K L K D g a k c / M Y C g 6 y z N S K B z p Q L B h G r W b t 8 L O / l h C h t 8 7 G m C b P 4 B c 3 Z k 4 P u 3 C l h Z T O w h L I a 3 6 t W C v 4 S e O j Q n z f T E E u 9 y w O 0 3 X Z J + i S p 8 K / W T h Q S g 1 j 6 6 Z m x D r / h C P F r B w I o l 8 1 g X Y k 8 i m M / D W O W B x F B B J T c E R 6 l L j C E c S / n U 1 c P N 4 K D U E r 6 M J o W Q I 8 Z Q b D d 4 A Q g 6 + s n Y 4 7 G r k 2 U c p N l d o p 3 T 0 b Y k x W N O z y L G v Y A 0 i 7 + R z C c 0 p y L l 5 x G d y 8 D b a E J / N w t s g t 8 + S T j z I Z t O w W 9 g / N q 9 2 O t F s S S L I Y 4 n F F G m N t D g y d F 8 h 4 6 p D e / 1 2 2 G 3 L G U k g T a x M l H r j T d / m S A R W C z v E 9 F n O s 5 G 5 O M p 6 4 3 z q l 3 k Z r A q w 8 F x r 2 e A J 8 v K j A v + z k p n 4 v Y m V y B w c d B 7 L F 9 z y i Y N D g l T f a M + T z x Y U Q V u F K 4 W J K T j + Z x C m 1 9 q 4 M D W P f f f t x T m v 3 M l O 5 X 2 z C y T A O r Y p j r n k A K J 8 z l b P Z j h 5 T D A e s p I w t N b n + h J o 3 K E J D T O y u Q j G o 9 P s S y s 6 A t 2 I z p J Q + e y L r j k + h w 2 d w V 5 Y 0 h N 8 v A A F l 1 M R / m C o B j 0 1 i 4 q g 0 9 k k G T s J Z 9 6 L v X 8 8 i o t 3 9 i P T 8 1 p Y E y e Q Z 1 v M k H Y W S C T W + D i 8 s z c j 2 v 1 R / Z t S W N K T K D h b 9 U 8 a J g + S O R q f R a b t a v 1 I d S Q p C N 2 2 H N y n b s R U 9 z U U A B 1 8 P l 1 I c E w W T t h R s y 7 K X o 2 R b i i U e T h n a + P / P B J l v 8 7 5 E E v P o X 1 b A L P x K N 9 T e F i i 6 K 3 Z i s E 8 v x M C M a 7 H p z f G f k 0 Q O m U / R q J R e N x u O H j d V M 6 D + Q X 2 J 5 H L 5 0 h D O W S y G b R 2 t c B r 1 5 i q 0 5 p A j U V T F k L U t v f 9 + 3 s / L e 9 r v G 0 k e o c 6 X g 6 N M M 0 Q Y p K j x k t d S / v E w T a f L 0 Q s x w r 8 Z 5 H r i 9 S Q A Z R r K J F d P N t S c L D r 7 M h k M u q V T q d 5 i g W 5 X A 5 p 9 T k F u 8 O O Z C L F 9 x n 1 X r 6 X 6 4 F M m u P 1 b e x D U X B W 0 r r B d H I H J T 3 4 y l P A W G z L m b U 6 5 F m N p x P I e 4 E V m Z R c j M K T 0 j M 1 Y 0 V d h 2 h m a g Q b p Z 7 V R U J d g N f q R o j M U e / Z q P 8 O O D T p 4 H A P 8 I c H 4 c 7 W I 2 2 d g 9 s V 0 L / V Y O X v 8 y S y F r c P V j J L Z M S H 2 l 4 f a t z 1 C L q o i a i B o r x K h u 1 z 2 I M 4 R a m 6 v o n P Z X V g I W 7 H b M y F 9 P g x 9 O 9 e x H l X t c E T f x g Z 7 0 Y U X N 3 q + p l c A l O J w y R q M g h / I y h Q y j 8 X u x T d i z 9 C t u Y c d a w E o n n y F I K 6 M J o 5 H E b T V l o 1 N Z v Y n g j 8 Q 1 9 B L m 1 F w a / d w 4 w s t e q J m Q K a / b R K r D 4 4 3 U 2 8 n k c f H W q 7 E 1 b U b s p h N D a K g L c L t u w M s v Y e a t Q 8 7 I U 4 X I 4 M 3 I 0 O u A M 2 T B 9 Y h G X R D U + i F s 0 t 9 b A V Q h h D H c J w U R / b 1 C v N 8 S G 1 L H 2 u / r I i m b M g m X d w H N h 2 h x s Z P l / S 4 i E z c w x d X u T t L n h r G + A K 1 N E K c 8 B B i 8 L 4 / d x C H l 3 O K f Y h n y U f 4 b i R + u q c v Y q Q 3 / H D / 0 T 3 L W 9 a e n 3 y l 9 9 U D 3 v q 1 C m M j Q 0 j l a I p o q A R Z J T c L O Q V j c W X y E 3 + J h I J C t M C V W Q W j z 3 2 B I + J v i l K i 1 z B Q 0 m Q U J r M y s a L S R i L J R C P x 5 T 2 z Z O B c v y t 1 + M h s d j h d D j Q 1 9 f H E S 8 g n U o h T 2 n h 9 f I B 5 G Y k D B k Y a Y e N Z u B f H n s M y b T c 3 4 L D R 4 6 o N k a j E Y 3 p C K s 9 v 9 T u X J Z m K g V Z X q m + a r B i Y S H E Z 6 c J o S A 3 t e C P f 7 y P d M U n 4 6 t v y o 3 v H 3 X j E z 9 z 4 N O / c O D 2 J 3 i K m G 3 s 0 4 K z B b 2 O F l h S Y 1 o b y C Q X 9 a a R P U E J + 9 h 2 n H r u J K x z G / D c n w 7 g 6 H 0 L 1 H Y L c h O F O k 8 T B y l N b R f g Q B W F n T U 1 i B x N Q Z v V q 0 w f w U y C T J w N K S 1 S 7 5 x H m y u O s R P A 2 d d s Z x u a E O 3 6 N 7 Z J G w N L e h w O 9 l m 7 b 5 f 6 r J n Y 8 g K 2 t X P 8 u t 6 O w M I N 6 v N y 8 B q U S q O 7 p 1 G / 2 c / + 1 G h B m D G 6 / p P I t V y q r u c 5 9 A W 2 R 3 c R 2 N u i i c 6 2 P I M 0 z d B c H d t k o 7 l F a 8 W S 6 s f U c 3 H U b + H 9 c 4 v o C m 7 g u W y j v R E O Z Y k I A 3 p p A t a o M X O 4 7 W g 7 p 4 7 9 b k O 7 8 y Y c n X M r a 0 D G k J f j r b S x F G t F 8 M g d v 8 L g 0 Y P q f T k o q t X / Q i s 2 Z S r m 1 b 3 V / X U z U O j W Q z o U w T 0 7 N o R D j / 9 J H Z d 7 F f J 5 r K u l x W W v x 5 5 R B 8 Y S / W T 0 + W n V A j + 5 7 2 2 / + A x + V n t I / U D w k c S l + N I b P o j P f P a z u P r q q z A 0 N I x D h w 7 h Z S + 7 G h M T k 9 i 7 d y / a 2 9 v V D b u 6 u t R N j x 4 9 q o j v 7 W 9 7 G + 7 + / e 9 x y S U X 4 8 i R o + q 4 y + n C x k 0 b c f j w Y Z w 4 c Q K v f / 3 r 4 f N 5 M T U 1 h e f 2 7 8 N F F 1 6 i m E X O t d s d q K u r w 7 p 1 v b j 8 s k v x 3 9 + 7 E Y 8 / / j i P 2 / H q V 7 8 a f j 9 N F P o D e / f s p p R q Q z J J + 5 w q + c I L X 8 D f H 8 M 5 Z 5 2 F s c k J f O u G b + C q q 6 9 R 2 u 6 8 8 8 7 F F S 9 6 E d 7 8 l r f i 4 x / / G G 6 + + W Y 0 N D S S S T N o q K 9 H R 2 c 7 n n j y S f T 0 9 K j z W 1 p a 4 H K 5 c P / 9 9 + O q q 6 7 C k / z u L F 5 3 f n 4 e 2 U w W 7 3 z n P 6 k B f 3 B v D P t P 0 i Q j O p q c u P + Z E L 7 y N g 8 G H w 8 j G p 8 h 4 d v Z R 4 3 U J n N o 2 V C D u q 4 m u C z T H B G a q B z 6 i f 1 u t J 8 v P o q G I 4 8 c g z X T y I H O U 1 P T v 3 B E e Q 0 O X E a E D z V a c h 7 t Z 3 r h r 2 s m g d n g c F I w 2 Q 2 B J Y x h x R O / 2 o e L / 3 o n t W Q Y 0 5 k x e P K d a M v f g k j g 3 d p p B p S v Q f 9 F R y h h Q Y 1 H I 0 p X 3 8 + Q 7 r y W W o 2 O h E A Y T y e 0 V D g J m 8 s B u 6 s o K J e B x G 1 J z 8 A / / 1 M + p Q 1 j d a + G 2 + L i y 4 a R Z B i t v n W I 9 r n p 2 5 G w h U I z c w A F k P Z b 0 f 7 0 w T M x 2 B y a b 6 6 h A O f Y X S i k I 5 j A N a h p q 1 V 9 c D g X R J g W j h D 5 L V / 7 P H Z e 8 i I c e Z q S j c y R J m 1 I X 9 Y 2 t S C y u I B g f Q O m R 4 b Q v X k b T h 7 Y i 4 7 e T T Q d s 9 i 4 4 x z M k W b 6 D u 6 F y + O H k 3 S d p L J 4 2 d + + B a c O P Y e T z + 3 G / P Q k X v O u 9 6 N n 8 5 m q L R t t V A K p w 2 h w 9 S K V s c P 2 7 x / 9 s D L 5 n C 4 P 7 j r 4 C P a 7 O d A 6 L s l 2 4 8 r t F + G H P / w h a m p q 8 c w z z 2 D P n j 1 o b O J A U m u I K S Y E L u 9 P n j y p z L T 9 + / e T 0 K 2 K E e b m 5 v H n P z + M a C S K x c U Q i d N J b R a l x F 9 Q W k K u J Y z j d r t I o D m E w 2 E 8 + + x u E n K r u q 4 Q 9 m O P P Y 4 r r n g x n u a 9 b Z R K o v X k 7 8 j I K L r a G r A Y F U 2 Q J 1 P O k K m S Z P o h B I N B t L V 1 I h q e g 9 N p p x A 4 i E C g R m n A m d k 5 7 N m 9 G 0 P D w / w c V 8 w s n W 1 3 2 N B G 4 X D L L b e g l f e f 4 3 n y T K J p 5 + b m E A q F N M 0 m E p B 0 J e b Y + e e f y 2 d 3 o r 0 h j e 1 t e V y 0 3 Y I t X X Z c 8 w J q V t 6 3 a S P N t c 4 k N u 1 c h 6 Z 1 N r S s D 8 J b Y 6 F j m 0 a G J o a V h B o a B T x t P J 9 E o T Q u 0 d T b i M b 1 X j R t 8 K F l U w 1 a N z T x t y 3 w B Q P w 0 e R Z f 1 E X / P V 1 m E y P o J 4 S O 5 2 2 Y + D Z k x g 7 G M H I w T m + J s n A d Z j q W + Q g Z 9 H e 2 s 7 x p a / F 8 U j Q J 7 H b + A w k 1 i y 1 X z h + h O Y U N S h 9 C G E + l 0 0 z W + W V b X g B N W Q W 7 v H b a A L u F L G t N Z A Q n z T D s X R 4 x W c l g 1 E A q Q B Q 8 R T y H g U G N f W g x Y + a O B 3 6 h s v 5 P c 1 0 u w 9 B d z N i U 2 k s Z q b h 9 I X o X w X g c g e w m J j B R H S B V k a Y 5 q i T b M i 2 5 O O w h Q f h n f g R + j n 2 U 9 Z t Q E M 3 3 U f e k x p y 4 V A O s e a A M s E E k Y V Z P H D r z 9 D a u w 4 p j r E w x r b z L 0 T / o f 2 k N S + S 8 Q S a O z v Y F h t C c 7 N Y v + M s L E x P 0 U 8 i H Z A e w / O z 6 N q 4 G b F w i N e a p + C q w d D x w x j t o z X B + 2 + / 4 G L 2 f 4 3 S u r 4 8 f S r 2 p 4 U + a C h J F 8 O s o d 7 0 g 4 / h V / Y D q l G C D z q v w N f + / i P 6 J + F H 7 a X J q F K o 7 8 R 0 k j f S q f K W L w k q K T + n G v h V M k m / g y c L w 6 V S 4 j d x w H i t / v 5 + x W Q X X H A B D h 4 8 i J 0 7 d y q G E m a z 0 a 8 Q J 9 f J T h d t 4 q Y m y f M a w g Q d H e 3 s O I / S d J s 2 b d K Y n 8 6 k N E 0 0 j r R L W v T F 6 6 + n 1 j o P B w 7 s x 7 9 + 8 F + V I B A 8 9 f R T F A w H 8 M 5 / + i f 1 W X 5 X I A H J j 4 T x n W 4 x J 4 9 h + x n b + Q 1 d / 2 Q c K f 0 Z k r k o z T C J c l m R z Y n f N 0 3 T t U M u o y D E M R 4 N o C 0 o 5 g Z N t Y M T a D y z t U o f y Z 1 L j 8 8 d y a P h D L Z T J H h 2 E Z O p B F r d Q V q X 1 H D K l y x G o A S L q R F M 7 0 6 y 3 4 A z X r g J 7 p G f I d n 1 D 2 Q 0 C k N b j i S Y Q z R L b e d g e 3 i r U N J O P 0 0 z / 8 z w 9 X 8 V a d + 5 y L R c o c Z 5 + n A I r d u p E a h x h D m f f n Y f m p s a c f s d d / B 5 v R g e G V G m + k t e c g W 1 + i 4 8 u / t Z O v s u P P L I Y z i P g u h P D z 2 M V 7 3 q O v S u 6 + Z x D 5 q a G t i P Z P C k B f W O O T 6 5 m H s 0 4 2 j S O q Y f R s 7 d h n x w i 4 r w C W w W N / z U Z i I M x T w 7 m P I j I s E Z s d c q 9 J s Z 9 K T 5 O + 1 7 o T M L L Y U C 3 Q V r i W 9 d w C O 3 / R g L 8 2 G 8 + p 8 + o B / T o O h H v / x G W x S 1 F E y T Y R v 9 Q w o l x V A c H H + w a Y m g q k E z J o o w f A 9 x + K u j / F f L I Y w g D 6 D Z r e x K X t c m b W G r c z l R / f y O 1 1 A O L I 8 V K B U k J C + 2 v J V O o k B a I N e x y m 8 o a a T D 7 P R v 5 L 0 8 l 3 R A X t 6 L b 0 P / Q f u F Y O X O N 0 P O z N I 8 F C m l b H v t M P 2 2 R 9 F F L b D 3 4 H 5 q t m m M T U w o s 3 e R m t h L k / a K F 7 2 Q B D a u f E K 3 x 0 X z u B O 1 t f X U s i O I x 2 L U y n s o A J z 4 0 L + V D p y B q c Q B t H i o I X T M H y s o n 8 O S l 7 B / D a I p K w K W E R J f C + J Z B x n a a J k J P H T s M d r 4 i U b k H F N Y f 0 4 X 3 D W a d j G w Z 9 S J V n 8 K H b X y q X K f 2 B Y P I + X Z i i y J 3 1 1 j T J / Q r M p F a M a K f y U + H 3 0 c 0 o Q I m K K g 4 H i M 3 c d 7 U y v j D K Q X s m j o o e / t I a N w X N I 5 G 2 i / k F R K 2 + Q a + C X S H d f Q D 6 y B J T P P Z 6 x X v l c k P Q a f a F b S j E y t G C a f a E 6 r X U Z H 6 E 7 G q D j O 8 q 7 4 2 U C B P j 0 F i 7 R d f p X L 0 8 w U J h W 6 5 r U c E j X U f i P m Z D a t + X W Q 7 / i M Q V o 9 2 w I 0 K U m z t z z K q 5 s 1 V D W G k h P M z R B n X p z x F T V P C U Q a V 7 a 1 t T A 7 z Y C S O w i K j K g i h E v S V z t P m 5 f i c U r 8 v N V X 1 j 4 y J D u 1 H M Z z F O e f q r e r E i S q J 3 M u 2 n N r 7 Z M B F E 2 U T E X J 9 x z o B f Z N 3 K 3 M z / o N E t 1 0 I B I l s V G r f v M 7 3 8 E 7 3 v X X S G I c 9 b Z d S F i G 4 L N v R n w m g f p 2 H w m L w s M E N R W g z + 0 V U c D s 8 U X U b Q w q 0 7 c U f E J e I 5 5 1 w e u U 9 l W G d + j b i P e 8 F 5 P j U Y w 8 N a z M z R 1 X b U A s 5 2 C f U h s 5 S S z U B N J H B R u 5 S x F b E e F + F 4 L r a Y p l J t j G B P L u 9 f o 3 G i x k r o K t N G o p k K h n w V a H 2 c M Z N G 2 a J p N 0 I J K y I O B S J M j h i H E 4 t O e 1 h f t g D + 1 F q u v 1 6 n M 5 0 h x D J 9 t n y Y V 4 z R q E y E w S 2 U M 2 g v C E D c G u U k 2 9 E g 5 O l E a 3 t z R l U Z P 4 P R K B a 9 X n 0 E i C M j i P I 3 2 H J a S L i 8 4 / X w m L w a E R 7 F z f A R c F v E D 8 / 8 o c p E M U k P x Q i E Z F U f T n t t F u X T s z C a o T r Y T q l z O T A U 0 K q + 8 V M + k N I G T g M 3 l K I M V M P J 7 T I p B C k 0 b E x j x p r M k r M + T I a T B T 0 s x M c n 0 y E 6 W Z h Z L K U g h L R / G o j f Y 2 N U R H j s z k w M y R M C b 3 j y P o 9 9 K H c e K j H / p X 1 P t o / v E a s / m 9 c F i C J I o 8 n A 0 5 T O w N Y z r a h 1 C U v i i J o p C d 5 z O F S D C L s G T p r C 8 9 u w X + V k p x f k z Q i U 9 l Q / p x A d t m 5 f 1 t J D L 9 S E X Q r x C 0 t v t x / m v P w K 5 r t r D P 7 J g / O o T j 9 5 1 Q P m 7 e 1 c M u S v G S y / s o H p p R f 6 X v 8 6 4 u v X 1 F L D E T t Z W 0 X 4 t 4 E j Q P p w 7 M o 2 6 z F d F 8 G + a O 5 q l Z J / m D H N I y z n I / w j 7 1 Z z J p / R I z z a V O q L 8 G L O l R x U x i W Q k z C b w k 6 i Z L C t 6 C C x u 6 b c j s G V W f 1 / L K R z N L r 8 t b o u h w J N E 8 s W / p + 4 3 d V q x r E t 9 4 F 6 I n j s E Z W U A w E 8 c 5 3 S 1 4 / K G H F E 3 8 + K c 3 q 3 Z Y Q g s z B Z n j y V K y Z k m N q U w a t U 1 i j 2 f g T v f x m J B z A W M h q m Q S T q 0 n A r 9 9 H j b x D 3 w 7 k K v Z o S 6 0 F l g 4 + N q M + + q I j T 2 N x t w e J L p N U S k Z G N 0 k G F 6 0 o y O Y p W m o P s I S G c D 8 i A W 1 W 3 p U O F s w E 7 W h y a 8 x l Z p U 1 G f R H d O P I N P 8 Q v V + L T j 8 0 D C 2 v b B L M y W S g 0 j l O h A e y s H d l I e / y Y v Z R B / q X e v U u T n 2 Y S J l h 1 + 3 h s K j U S T n C 2 j e G c D x a Q e 2 N G c w H H u c 7 G h H o 2 s b 2 x R U Q m v y 2 B x q 1 g V V Z k m Y 5 k w t 2 + r z 9 P I K F s w l T 6 H R G l A h e M F 8 X w h 1 3 W y L g 7 7 T C h B N I U Q d K 9 R T Y x X F S f r Y D Z j q u g h d v g v 0 I 0 V Q R u D o v V P Y / v J m m t V W D C 3 Y s K 4 2 o R h V I Z / A + J 4 k 2 s + v U 9 e W Q I a Y Y V q G x P L 2 Z H j O R G R E v e 8 O 9 m L 6 a B j N m 3 k t u 1 g I o v V z Z O Q Y W s 6 g d r I 3 k E b m 4 Z x 4 E K m e N 6 m 2 q P H N U m C x n 8 z I p 2 d g d T Y h k 7 P A Y R N h x i a y b Q U 9 i 2 d 6 g p Z P K A k P + 9 R H D R h L W 5 Q Q F t d J J n F c 9 q K w f W p I m 1 g / v y u O R P Q o / I v H 2 d j X q W M G R L l o n k 0 B M 8 l j s P a v R 9 0 W h / K 7 x u k / t e s + s e U 7 3 / l O Y W Z 6 G j t 2 7 s C Z Z + 5 A c 7 P m S 9 k d L v o g 6 p y K y P L 3 s b Q V N S 4 q 2 t Q 8 r D l K o l w a 2 R o J J 1 a H J c u O s z r 5 4 K V q V i B 2 u M T 9 v d F D i A X O h M N q U t v i h I v f R E T o u C o z Q a c R k W w F C f 2 S M O M z W X i b S 6 + 9 N D C E P X Y M W d 9 W 7 c M a M N 0 3 h / r O I L J R D h x p w O b k h f T Q s Y E s h d C x y T w 7 N U / / R T Q j T y n S r 8 J 8 X w S W O h s 1 0 A x 6 u 7 v Z V m o 3 C p i J 2 S R a W x p 5 j R S O H Z n B j r N 7 4 B y 6 D b l A L 0 6 F W 7 E x M A V H 4 j A c z l l l p y f z u z A V u h L 1 2 0 x t k H B 2 d o G S Q g 9 v V 0 B O 0 r I o k O p G b k R 0 / c c x S 6 J o d C / v h 0 Q i D I / H j 7 1 3 D G D 7 1 Z 2 Y p C b 1 0 u x r t j e q A I E I t X T C h m Q 4 g 2 B z m h 2 i H C 5 q j W E y P J + r A o Z D f f o 7 u h a z j f A 2 x e A O t u t H g O i U l k Y V q I 3 C M / k b m q P v Y d + I 1 h d z Q 2 h F Y 7 5 y 0 P O A I 7 9 I I V 1 L G t C Y S Q g / q z O Z D M H s k Q w a t 2 v 0 I D 6 Y D E z W W k 9 G B J w U W s I k c T I b b 0 a h Q w G Y s q F j 8 v M Y b 3 s n 3 L S K 4 h k v / K 6 8 Y k Y F 0 + D K e M w d T f L 6 H o 3 G L C o o M V k I h e N o b 2 + l T e 7 i Z f k D g 1 L X A H k o f W 5 P Q Y V f C 1 S j N A c q X 0 c e V B x B + h o 6 g w g k q i M S T y Z 7 8 2 y w B C H W A i 0 a J O d K u 3 k J j o F o k m o Q m 1 / y s t a C T E q y M e g H s f M t o p 1 U R x b 7 x 3 j 2 d E q i f M Y k Z n X c c d c 9 e O r J p 9 D T 2 6 2 C L p F o F J s 2 b c T B g 4 d w + Y t e i L G h P k x N h 5 V J f e 0 b 3 o 6 / 3 P t b j I 4 N 4 R M f + w i J Y Z o + l w v z B 6 k d z t b n a i p B 8 i 2 V F q / c B 8 H F b y F c + z 7 9 0 3 K k S Y x O C a s T 0 b k o + p 6 Y Q / C S F q y r d 6 s J 4 Y J T Y 4 R c O o v F k w U 0 k F j t 9 C u + / / 0 f Y e P G j X j x i 1 + o g g w y O a 9 8 P P b Z / f c / i L M u P A M / + X + / w t t e 9 l 7 Y 1 k c R y h x B b + 3 F K C S n Y X E 3 I z q a Q 8 w + h d b W d h p H 9 F k c 2 m T q 0 e M n s X n T B i X k Z b I / k 5 e 5 u D z 6 T v V j f n 4 G l 1 5 6 C c c p D j u l v 4 W C O s t z U r R G X L o 1 I t q 8 f k M 1 q 4 i 0 m B p D w d W p f z Z Q Q G D 0 S 4 h 0 f k z / X I Q l N b r s / M X h i G L k A T L q U l D C 6 6 O T S z u 6 2 k C c D l R Y k k Q u T r q i R n V Q Q q w a k 0 i A I W u V Q I R G n p I t Y S M h 5 K t I I j m L L M j z 7 S X a R m D c y 0 B e A i Y m D p f r m 5 9 o r Q w l P p P y F S m a z P 6 i 3 N 9 C S S S M b 2 C t D C U E J n N 3 E i 2 K T 9 r Y 8 h i S t W G 0 + C V a Z c d C X w F 1 G / h E 2 S Q c U 3 + A q z 6 G w j T 9 C p q A W d d m E q o L k / F X o r n 2 a f o u 9 c g H R S P Y Y Y 0 M w z t / q 2 L 6 S K e e h 2 f S o h P 8 n i I c b f 5 e B I Y + h 1 D 3 x x H P L s K v a 7 Q E L Y t C T g I Z m p 8 s L 3 N 8 a v 8 D B 2 k t s O / P O A s 7 2 s z 5 l 3 Q T M i T 6 A 1 H c e d 9 / o 7 Z G 5 v / a 4 X F 7 M T 4 5 h r / 9 u 7 / B n m f 3 Y t e u X X A m v B i a 6 8 f m j U 3 4 x G e + i t e 8 5 j q E F i N k i E s R D P o R j y b R P 3 A S v b 0 9 1 J B u H D h 4 F G e f v U v 5 7 s K g E u T 5 7 O c + h w 9 + 4 A P 4 7 n / / N z 7 1 y X 9 H g m M k 0 y o 9 P V 0 Y G B z G s W P H c N k L X 8 Q e 0 X P r C N E i i 8 N R 1 P U u D 5 I Y C K W G E b R 4 q B 3 / A H t m B E n f 5 c i 2 X q 5 / q 8 G S n l I m t 0 S N V Q T a B C 3 6 K M E W 0 m g p Q 2 l E I o P + x S 9 + A X t 2 7 8 F b 3 v p W l Z l Q C Z L c K m l D Z p R r r E q w F m h + F B w I h x Z w 4 4 3 f x 0 c + + n E y 2 8 o B g h z v p U E S e A v 4 9 r e / r S a G r / / i F 9 W E r H x + 9 N F H 8 f G P f R z n n r s L t 9 9 + B 3 5 x y y / x y U 9 + g g N 6 t v r l j T f e i H P O P h s X n H e W Z i J W Q T a l R T F J Q 0 S R m Y S t R X d K y o o E I A y Y G U p C u u P x 3 e j 0 X a g + V 4 L M n Y y E B 9 B D w g n P Z Z G P b Y S r J Y T 4 Y h y 9 N b 9 C 1 P J i 5 L 3 r M R z f z 3 M 2 q z C 0 3 H 1 y 3 w J a z 6 a / s g I C E 1 9 B p O 3 D 2 g c x B f m 7 4 f C g + t j p 7 0 H N 8 B e x 0 P M R j l E x P N 3 6 y L t w Q e 1 G 3 L L 1 Q z R v F D m U Q s x J t u H o H + f R t t M K f 0 u t M o G U n N F M A u 0 8 / n T m 1 B x s m X o 8 0 / 9 n X H 3 t i x E + Z Y e r L Q G 3 X 6 M t + 9 D d y H Z d x d 8 4 E a L p W O O h h Z G a w t T B G F q 3 Z 5 R Z K Z G 7 U Z r D 9 9 7 6 H N 7 9 7 n d j n r 6 Q j 2 Z X O k / f J y u a u k l l n Q s 0 z U V f z m g D r R x I g C O X p C b R t O n C 0 C L q e j T T t C L 4 D N 6 + b y C + S e + 3 l a A U R I G a 3 E G T k f 0 r q W / i t + l C t y L p f 4 6 S Q L I c P v / 5 z 2 F s j C p R R F Y F G M w k W u K m m 2 5 S D 2 + X q B c / G 6 9 K y F t 8 1 F 4 5 J B M x 7 N 7 z H I 8 U i b Y a 5 I x c n o P C t t x 1 1 1 0 q D U n S g d 7 2 9 r f h 4 Y f / j D v u u A P v e f d 7 8 Y 5 / e g e O H T + B r 3 / j m / i X f 3 k 3 3 v r W t 6 n f L 8 z P q o y P M 8 + k j y d E U A V 5 q i C N m e S O x X a J S h d W E p g 1 Y j n E j F 2 J m Q T C T M K c Y h b 7 2 7 p R 1 3 W S D 2 d F b C y O B f 8 7 k P Z t J E H M w 2 N p p 4 B K 8 u Y Z p O J z 9 A 1 L h V c l G M w k I X c L z S n b 4 g m c E b k d P c 4 A H J E j i G M j / Q 7 d a j A w E E Z i J L G M m W Q 6 Q P k / e p b 8 t q v r U d t W i / 5 n + r D n z i P q m M F M Q t j R e B J N G w J o 3 G F H I / 3 E s W d m 0 W z 7 D l y z v 6 S f T S 1 J 2 G i 6 W h 0 + D I 1 M o 2 P q i 7 C O 3 I M U g p h v 7 U U k V k N / Z h r D S S + 8 1 n X 4 6 z d d g 4 G 5 Z + B x Z h B L 0 R S 1 5 p G y N c F T m K B W 0 C K N E q r W m I l 0 x 2 u r 5 G t 7 P d I 2 3 U e j L y b M J B H F a g i M f 2 V t z C Q Q w c 8 x V v 5 X e g J Z 0 L U x W T A V K U N S c r x e L / 2 q D h L l v / B 8 C 7 7 x j W / Q v m 3 F + e e f h 2 g k j A 9 + 8 I P q f X N z M 2 7 5 5 a 2 4 5 / e / V 4 Q + P D q J f 3 7 X v 6 C F t v A r X / k q x Y y v + 6 u / U j l w c u 4 b 3 / h G 9 f f j n / o 8 G c u D k 3 2 U 1 O v W 4 + K L X q D O f d e 7 3 q X u c 9 0 r X 2 n 6 7 U 6 8 5 M V X 0 b b X J u p E Y 9 5 6 6 6 0 q Y y L g D 2 B g Y B B b t 2 7 F 5 Z d f h r q 6 W m z Z s h W P / u U v a G h o U J k U g h u + 9 R 2 a G a 9 R e X g W m j 8 G c m K W E k J K 2 j q u n L L / y 1 E 6 d y 0 f q g 9 Q O T I 0 4 a L p S f 0 T 0 O y r h 4 + + W Z L X s G b m q I E o l f 0 J v i x I j I + R 4 O P K V 2 m x y 5 o x G y Y P L s L p a U C w o 5 p J v B x q i Y y n F Z n a T Y h 2 f p j v m 5 G r 3 c m / v b y f N t d j y f F 5 K c n v f s m v c P / L / g 3 O k T v g H b 4 R / s E v w z f w J X i m H 0 V 3 z Q Z 1 r h m b L 9 y A c 6 7 b i n 1 3 a p p P I G b Z E 4 8 / g T 8 9 8 h T + / W O f w M 9 u + h 6 m r B P 4 2 Z 5 m P D m x B S N z T k z S H / z A D / t p N f w H f n 3 r L f i H r 0 5 i O t + O j 3 3 i 0 z i x 7 z 4 0 J 2 9 B z d A f s H 7 2 N s x M Z 9 A w 8 W t 0 L z x F k 3 U Q 8 d y U 5 h v l 6 M N I h o S e F G z R G V X G p O B o 1 t 8 D M h 8 r Q b N M g a Z e Z h Y N 6 0 Y w Q / / T D L G m L P v + C / N t x W w g M 0 Z i T + r v K i N P Q a P S u H Q k s / q i I 4 l 4 m P G f n / q U k j i v I F G f c 8 4 5 Z K C I Y p Z 7 7 / 0 D n c 6 X k I F u U c T + 1 a 9 + F b / / / d 3 4 C 4 n 3 m m u v x X X X X Q e X w 4 o T J 4 7 T / H o E b r c b u 3 c / q z I L 7 q Q G + f C H P 6 w 0 x L 6 9 u 3 H i + H F 1 r 9 6 e H g w O D q K 9 o w t 7 n n 6 0 y m / v V D m B 0 n T D n B w e G s J n P v M Z X P + l 6 1 V b B G a a T 8 R i e P v b / 5 H a 9 r M 0 x 5 J 4 4 I E H 8 P K X v w z X v Y p M T u d e f C l h I 5 k h F 6 a y C h H T D M x R U 9 h d u v l A S K d X R g m H r Q i H 3 a 1 m 9 Q 2 4 O R C N 3 n X w U J I m Z e 0 U i T / e 3 4 j a p n o k 3 D W I S l u o R f P u d W Q n a j K 3 Q 2 n d l T C d O I Q I i U v m p s y I Z a Z 4 T B Y a 6 n A 3 q n 4 U F C Q I Z X P D Q a f U Y v c g 3 f U a x L v f i W j v R 3 G k 7 R / x 8 h l a D z Q b P Q M 3 w j v 4 P f 1 X G i R c f O Y 1 H d h 7 1 y n 9 C H D 1 1 S / B 4 0 8 8 i a / 8 1 5 d w 9 Z V X w x / w I h a J K R + q 1 3 I A i U Q c n / z M l / C S F + 5 C Z 1 c b v v i F z + P n d z 2 B i 8 6 / D D t 3 n o V o 6 7 u Q 2 f x P y P T 8 L T Z 1 N 7 A 9 b 0 e 6 4 8 3 o C K 7 H u v m f I z D z O z K N r M e y Y G j B r q y G g s y X y R H R T m X w O f N w O D h O j k Z M Z n o x U Z f D Y i y H 8 b A D q c S C o i V / Y 4 7 P r 5 n v C w l Z T 6 f e K n T 5 L t L f V c H S Q l v g x I y d 4 0 o B K R 8 o L J f h 8 5 / / P J 5 4 4 g m s X 7 c O h w 4 f Q o w E e u + 9 l C L U L p d e c h n P k K f R X g Z B C 3 J s 0 d z c A h n t H r z g w g v J M L 2 K O c U h r 6 + n y V B L + 9 v m U F p P I K a P Q D 5 l 6 R / N z 8 3 y t 7 8 v / a 3 d p g Y j m z E W c h X w n v e + B 1 / 7 2 t d U Z M l B c S Q B E B V d 4 k t C q B / 5 6 E f w h j e 8 g W b h 1 f j 1 b 3 6 D 8 f F x M v R H M D w 8 j F O n j p J 5 + B u a U n J u L i c Z b V 7 V k j z b G Y l r b Z I A R H V / U A z A 4 n O v B n n e W D q s f y r C 5 d m k / k r K l A i P P / / p U Y w N J 2 F z e D E z G 8 J d 9 + 9 V Q Y X 7 / v g g P v q x / 8 A 3 b / g u h k c m l H Y 2 I + C Q 9 W w u e M p C 5 7 K I z 0 O C M u B L 3 Y M j k 9 p v j 0 5 r R B m o 4 E 6 + / 3 f f x P w w i d R i R W L d O x H v f R f 7 X f y d a T g m H 4 Z j / H 6 4 Z / 6 E f 2 3 9 P p 7 7 / V G c v O c O + E 5 9 G l / + e w v s J 2 7 E K 1 5 + G X z h I N 7 + 5 t c p w n Y m 9 q J 3 w z a a l R l c f s V 1 e P u 5 Y 6 j z Z f C + 9 7 w b l 2 6 9 B L 1 d L b S m h M H 9 y m e 0 Z K d U G N y q J n s t 1 L L / i n T b K / n W B t f 4 7 7 H e d h i 2 7 L z K m J H 5 x u e m O x V R H 5 1 y U g j S 2 e B x + b t I J k n l L G g N 5 H F m u w + 5 o Q L a a Q 2 4 P H W w z T z L 7 6 i B q a U H F 4 d R R 3 9 O L B E Z 9 w P j 4 l 4 s t 1 Q q Y X A q i s 1 N m q V T k V z e 9 / 7 3 o 7 e 3 V 2 m n 2 b k 5 n E X p c c U V V + A n P / m J 8 k N k Y Z 8 8 5 L 9 9 6 M N 4 0 9 / / A y 6 7 7 D I V / v 3 D H / 5 A w s 5 j 4 4 b 1 + N G P f o R f / v K X S y a X B i H A U i K U p R 2 X X 3 4 5 R k Z H c c E F L 8 C G D Z v 4 2 5 v w y 1 t u g V N n l E K O T q P T o v L j I j Q 3 p Q 3 3 3 / 8 A 3 v K W t + D c c 8 / D S 1 9 6 F R 5 4 6 G G c e d Y O l R X / 9 O 6 D P O d H S o M K w 1 1 w 7 l m K w T / 9 6 U / T n G x B X W M X E k k 6 w F Y H X 2 4 y F B B N 5 s l I e S T T e b j Y Z N F M 5 m h i J a h Q / 2 n A 5 6 w + E a v W f z W 6 8 b d / + w Z s 3 r g e h e Q U f R 4 7 L l x / E X Z t b s C 7 3 v K P + M q X v 4 A P f + i D i E Z D K j y 8 k O p H / 4 w m m T 3 2 B j r q 9 S S Q C O V N d U L I D U 3 i 7 J l P I J 7 M Y l s z N T O P b a i n o N K H J i d z e h z D W V u S R M 3 n M 4 Z M D R u p z Z J F t v E c Z F s u x S s f + w u y s x b s u n Y b N l 3 z G h w M / w O e P P B m j D u v U 8 x Q t 8 G P 2 f 4 E 5 q g 5 0 9 4 L 5 N c 0 f w u Y j 9 s w 3 P p h O I b v x c T h S d R u c / O y 8 / y W m j I 9 p u 5 V s N Z q 9 5 T I r 7 k N f K X a X o F c Y A u 8 J 7 4 O Z + g 4 m n w 5 n N W e x u Z G e S Z Z p i 5 e b k F F + 2 r d H E / 6 9 d J 2 y m Y E e g p I R O n 5 H P s 0 8 j W b k O 5 9 A w f a j d 7 a b l 3 L S R 4 p s L O d f S L + k t y P p m Y k r U 1 O l y O R s a C 3 p W i K V 4 z y l U N M I i N 5 0 M A H P v A B / P V f v w E X X X Q x P 2 k N X g v K I 2 S V Y J b 8 K q 5 m X D q X p i M v 8 x D a 7 4 0 Q u l K U l E J W f e 7 B g E l x k j H T S L N j l D Y T R u A 1 Z A m G S N 0 s H V 5 Z u C Y o 1 q 6 Q 3 1 D q q P C z X E i G S B 3 l S x h J / m o n p m O T 7 H R N y F S D 3 M t o t w F L P s l 2 R 3 i f J G a O t a B x J z l Z T N G y s P 7 s I V m X m 0 T z m Q E 1 g B 4 9 w j U U f R x B + l p 1 T s n S 0 H S 9 E T g p R 4 Z m p I 0 k J s u 8 B Y 7 I S W V q 5 r 3 F C V Y z L v 3 t v 2 F z b Q d u e s k H + W P 6 f 2 R Y 4 7 c G L v 0 1 v / P Y 8 d X L 3 4 k L a 4 o r k g U j R w 4 h M 7 M R n k C U 2 j a A T L c H A e 8 I g o 5 i 5 r 1 / / C t Y b P 5 X j M 0 e Q G f L d v Y 7 r y / z a A V q J V s t h s K n 0 B M s v e 4 S J O q r t 8 d K p v L M 3 o l 4 5 z 8 W 1 2 6 Z k M + M I m d r V 6 a t Y P G E D d 7 e K F J S i a N s S b 8 C a U L s J e P 6 o 4 t 2 d N Z m M Z X Y j x b X G e p Y J G 2 H L A V z i k l p w p o Y q j h 5 W s T J k y f U u q F A U K S u N K D 0 + + c H j S R W g i U b 1 Z 1 q 7 T y D A f I Z q m v 6 b + U w b G K r S K 1 8 j J J P T D v 5 r f Z 7 Y d 4 0 t Z P V J f 6 U x l Q C + Z 3 8 Z r X 2 C I y w u R R I E T O h U D F j o f R a l r Q k h x a d 6 P k j B d S f U f 1 e 0 w f i a N 5 Z m v A p K U p B m n R m Z M i k 4 / G 9 6 P C d S 0 l d a s t Z U 2 M I o 1 N F 8 y b D V n Q l H k S m i e a 7 P q d m b q E k v h r + i v q s J 6 G a c e n t H 8 L 2 m i 4 c T k / g / q s + Q 4 b N k M h o s v G 7 2 U M p 5 K w J 2 H I + x A r j K s E U F h / N 9 g T a e z f R r 9 R N J J s d v s 4 s X H 4 H J h O H 0 e i m d q Y f 6 H C 0 U w N P 8 x m j F Z n K k h l n + 5 Y L g 8 D I 9 U j Z z 0 O m 8 V w 1 F r Z w P z X q C 9 R 3 K u 1 I 8 g 4 p a S P z A d z 6 h 1 v x T / / 4 V m R p o t h p b o u 7 s O + 5 g 7 S a j u B v / 4 a a i 8 I 0 F p 6 D N 9 i M d D q J x v l v I 9 J S u i I g M / x j 1 O b n E G 9 9 C 7 k r S I a a O l A A O 8 7 t 8 V E l V t I c Y j 6 s r F E U Q w l X m w h S I M m r D q V u d Z i k y n K s 5 T 4 a J H 0 o 7 d u E Z I Y D Q Y c / E 0 r B X b v 8 u m Z t I 0 J B p L Q 3 O 4 G s U / N b D E S n c 3 R O a U 5 m f C q l K U q N p Y W Q 1 y Y o M p k U M m k t s V M g R V p U X 0 g W c o G m p Y S d V a p V Z Y a x c C C n j 2 T Q d G b 1 u b H E X A p 2 r x V W t w P J 3 C y S Z F 5 Z u u C z N 5 G I t U n L D K W 7 w + Q o l 4 D E t Z h w o N Y r z 6 T h J H 2 O H d M 3 I L X l r W Q W Y V Z + J 2 F 6 C p 1 y W L K z f I 6 i L y Z 4 8 / 1 f R S 4 6 g 0 E 6 4 7 + + 6 o 1 o d 5 + L u f 4 Q U u E M m s / y 4 w 2 3 X 4 / J L i s e 2 v x R e G r d O D D p x M 7 W N D 7 1 0 w j e + e o m D E 2 m q b U o r B 0 u + G w F r G u S u U a D X v S + U u 2 R f j H 1 n b I c S m n N Q J p C M 5 a b R p 0 U d 6 E 5 P 5 / u Q 7 2 9 B / 7 h 6 5 H J t S G 9 / h 9 o z l P o J e c R T 9 X h p 7 / 4 C d 7 + j / + A 3 9 / z g F p B L m U e a m p q V I L w 9 M w M D h 4 4 i L 7 + P u U D B w L 0 C d / 6 9 + T H I k 2 P x p + B r a C t H m / x b B O G O k a G W n m y c E 2 Q 5 R X y 4 B x k V R 2 H 1 5 T l z y p V R Z l N K 8 O a P I W 8 u 4 p 6 L 0 N w 5 I s I d X 2 M W s S C w x M O d N E m r t t c f E h Z O R l 0 c a D K 6 D c w + k V E O j + u f R D m Z p u t N L l 2 / y G L c 1 6 z D m G O X d C 0 H K d S l Z 9 V Q c F S 4 I 0 l C 3 w q e R g 9 / k v 0 L z T s H X X i n M 6 U m s w s u L R r y x x N 3 t W N O T J V w x m a t h i P 7 1 M C o J B 3 w W u 9 A E 3 + P E a e n A K 2 0 5 a 3 Z t D p u 4 A C Y B x 2 M p C v j N C X I R d F L E t h U e B 9 3 D 2 8 n x b u V q a y v Y Z S f I A S P 4 Z s s w S b i h i L D p D 4 0 q j 3 B h G w t + l a S 6 o Q F f H y n 3 4 Y k U A B j 7 3 2 q 5 g + G I e v w w J f v c b U l / 7 s f U g H P b h 3 8 x c R 3 G o j s 6 v D C K U 8 + M h / 0 1 c y I e i 1 4 S v v F A 0 o 4 7 h c 8 J g 1 k p R N y 9 u p 3 Z c t b d E g 2 e g F Z z E 9 K M u x T m T c N O 9 E 6 P N A a h G h o U b U b N a 0 p K Y M S m l U W j E R s q G 9 p u i P J u h j e W z k F X 3 u L U G h l k e a / V + 0 N J Z M v o r I c A B N 4 d 7 n A 0 k 8 9 H E g Z X J w L T X w L K k R E l q X / k m H k l I a p Q s h y n K J v H u T I o h U J I X o R B z 9 n m Z c 0 K 1 F A Y s a p g h / / x d V U m g 5 p v q m E Z m d w 8 Y X b E N E F u q R E c 2 w y F I K e / W 0 l X J U b L + O v l k 7 N t B x X o I M J L W K Y i j v N n V o 8 r k 5 t O 7 0 Y y Z 1 g o O V p 9 Q 7 S x 0 X L J 6 w I 9 t 1 E v X u b u W P R e n b p I X p q N 3 r X R t I K 8 s F l 5 Q a C + U 7 U G M T g l w u H K Q P h c Z c A z 9 H q v d v + K F o J S R S Q 3 B Q 4 G T 4 / B 6 n F p 6 W J S U o M / 3 i o S T i Y 1 Y 0 b C t G b w W X 3 P F h b K / r x v V d b 4 K z k d q o p j o t L U w s Y O 6 o B 0 3 n T K O m t n K S r Q K Z W q N J 7 V n z q X 7 K 8 d L 1 W G C b p b x a O Y Q i L P S N D k 1 6 0 B q Z Q e P m Y v a E h b Q u C z T L I Y W t T L M o p U j P 0 s w r F W Z W F V W p A q u + x u j 5 Q i I 6 K j / M 0 V j C T J J k W Q 1 m Y t Q i P 2 y H a Y 7 B O / 5 L D C U 1 4 p O 5 C H f Q R c e w b Y m Z B K X M J I m O N E 1 y F S J s P G 2 c U l W Y S R i / n J k E p 8 N M S u s 5 t K y C S i h h J m p H C x l C J l Y N Z h K G s 8 v 9 q O m b P D v Q 4 j 6 T 1 y y 2 K R 4 e R 6 N n H c 0 9 T Y s 5 r T 5 K z F p l 6 l V i J j H z 8 m p V K 8 e g i h a T p d u C 1 L o 3 I T D 0 e f V e I M n L D g e l v J t t M x G n K g V H i N k z f W g R U w c i c P m c W F f z j R J m i u V m c E a w D t + 8 + D 2 o W R d A f E Q K q J Q K O T P 8 t a P w X b i P 5 l M N D t 8 7 i 0 S k M u 1 Z l L n F Z 8 1 H 1 e c l Z p K 6 e r k w 2 y 1 L S k g 3 N A v j 6 Q H 5 Q v t e w L e F 1 D i 2 t 2 V g 7 a j H 5 F 4 y n g 6 N m X i C m p 8 s Q p h J V k R X B J l J L Z E x Y W U N t U Y f o h x S F y D o 1 i / L Q d X U a b k a P 7 1 r i w R x L B x A u v l K + b S 0 t k g g D r C z L o V g R 5 D E F a N p 4 a O m m I d v 8 k b E 2 t / L z v L T W f 0 y I l 2 l B R z 3 3 T m M c 6 7 1 K o Z / b t S B X Z 1 F p n w + k H Q Y t e B R B l u S g c V 3 q g R q l U p + i m D q Y A j N Z 9 C 5 N Z w / w k j M n J s d o c / R A r v H w u e k V q D A q V N 1 9 n g u + 1 l 8 t 3 w 2 g Y K 7 i 5 J S + 6 0 Z 1 m Q / N X u p N N 8 / 7 s B Z J D C B J S X t p 9 m u r 7 M S X 0 M 0 o X G t B G 3 i y H C B b a O g b K T l 0 a S Z d u 6 R W 5 C p u x g 5 v 6 z f q o z F e A 6 p v h B a d l R z L 3 K I 5 6 i l q J n b 7 D v U E p G + x 2 b g b s p i 0 w W m b A 3 D P B M G E u Z m P 0 g V X a m g K 0 h l 5 u C m F k p Z W y A F b Y U K V V S X D J Z L z 8 M m Z r b + P P H 5 B N 3 c A v w t Z W N R Q c M Z 6 6 7 M C N G 0 D F D r 2 2 k F y E J L w T K K F m k n K G S k P p z 2 9 V r n W y Q s L T C v o 5 J l z 0 t P U A L 6 W i K h h b h M U r g S J D w u E s Q Z k Y J 3 2 r U 2 N W l E E B j 8 H J o 3 j X H Q 8 5 g 9 n E b u 2 J M o z P X D P / c j R H s + p p h J k P T S P 5 D E S R 3 P 3 H 4 Q Z 7 x U U l g 0 y b 2 p t b L W F D 9 q R Y j A 4 H X z 1 P Q x S u i c z G 0 5 m h U z W R K n S u 6 5 B B M z G Z k Y 8 3 G t r 5 v P D G L m s L Y + y I C x s L A h 4 M T 4 7 h l q 7 D B c B S v q R Y N I f 3 C s M n k 7 0 l Z K T A 8 H l v 0 p E 5 o z y e P 0 M 4 t a s Z y Z B G e 1 Z 9 T a N v 6 I 9 2 l A Y E y r x S i Q s s 3 T q f 1 K 6 k 8 f C i E b y 7 F 9 N M u 2 e Z e Y C b k U c v Z W x L 2 d y E h f E J H s m K I Z y c w e j T + N S / d + F j X 0 k Z w V Q t o G h B a 8 t k Z 0 e S + G 3 R m A t 8 a L H S 8 L Y t O 5 9 T j y + H H s v f u E O o d q k I J D / m q a U l w B g 5 n 4 h H B J L h / P E W Z S q U U 8 a h G a t j g R y Z d G B b 3 0 9 R L z J q v B w B I z k Y F E + 9 M H l Y W W J 6 a L t l + 2 k E I o M 8 T X G E Z z d I 1 0 H i l h q B R V Z o Q n g J L P Q t N l M T 2 E J I 9 V N C f K k M z w I e y y z o k N l X k S D o J K i N T X 2 1 e C 2 P Q S x j Y c Q n E 2 B e Z U K G O C V W x Z u D S b 9 + i U Q 5 e a B c U o e a r 9 t s x 3 E O s c Q b T 7 T A 6 s F 0 P h f 1 O 1 C 5 K h F N u Q Q q b h Q k r S W x H P W H H g 7 g n 4 z t / O n 1 M i 6 0 J H o m X L I N E g U 1 B C z M K p i F W 9 R h d t H G D J J J C / c 7 A 6 O x Q B m 6 v v F j y U r D L A h N R A i M / H F G F K m x a H I v S X Q g i f K G C + P 0 T H X x s Q M Z u s + m / M k I y R q e M O d J 6 f x D z H B H Z q Q j F p p O 4 E m V e k p 5 H x Y s s v o t a T R 5 N 7 C / u p m g O g Q f I X T 8 1 L / 7 N D O Q 6 R 3 k / B P / p 1 7 U u i 1 X 0 W L Y A k G q k 1 A 2 0 + T M Q G + W B F I n Q P 3 4 p M 8 y V 4 y W 8 + g i s e + g 9 1 L G D v k K F R y x y + 9 P B u e v d s I z s 6 b z U v 1 y 9 F w T Q / t Q Q b N T x f Z 1 y y B e d c 0 4 4 9 D 8 7 g 4 I O 7 + b z V A k V 8 D j J D Q Y I E Z A S 7 X i K 5 o C c D S 5 8 o 6 G M u s D r o q e p S b T T 2 l J p O K I J 9 Y v U o d 2 U j z f X 1 9 Y s Y m + P 4 J a N q S q L b d w n q 6 F u 2 e c 8 l g W q B H u t M Q s u p E 7 h s Q T q 3 G z l Y G u H W 8 m R 3 h W X N l W C k 0 4 u l I n M s I h E k c l V w a l G h c l u z E v K u d W r i U g j D q F N g p P 7 I 8 b x u V 2 s r L O W c B d h C R + A 5 + W 0 c r r s S U i B p N t o G m z u N h v V j d J I p q e H E w M E U F o 7 b 2 a Q I B h + c x c 5 X t u H M 9 h B c / k 4 R Z h W h 5 p T K p h H E H 2 w J 5 N W r y z e F r I 0 a j s c L L u 0 Z y y N 6 l + 7 5 H D 5 w r 1 a B N T q Q R 9 o b h W d T L d w 1 L t T 2 B N C 6 q w b 1 W y 1 I t Q 5 g + v A 8 J v f r q U n 6 u A u + / J W v I U F z 4 z v f v R E D 8 Q E 4 / V u x 9 9 E T O H j w K M b D d d h / e B D 3 3 v c A J U 8 U T z y h J X O q w i q r Q A I a A j H x t j b l s X e s K A g k z c d 7 / M v q f T I i 4 f o C G V r r q D Q 7 e T K u Z Q 3 Y Z h 5 F q v 1 q v q G Z 6 G Z f L a a U N h I Y l V e f m z i q p K K k V j V s D G L u q E l a m k H t J l p t J l n M D T R D J r / P v a o L O 6 4 8 H y N H R 3 H o n m m k Y h W 0 v w G Z P h D h R u a X Q I T A o B s z G j b W Y o F C T S C r B F q D p s 4 3 I U o 3 p m + u F h 0 N N X C 7 z f E A W l n C e C 7 N 3 L U 2 e b Z g n r b 1 f E p f p q w I 2 c y l a 4 N E 1 g S q b o R p w t J A p S o 4 l W A w p k Y U x Y e r 9 R Q Q a 3 k V L M l Z n N u V V s v g H b N 7 e W I e i U 3 v R W O u F x s C L m y r H 4 L N 1 8 4 2 d F H g u t h B l C x b w + i u / S q e 3 H 0 1 e s 7 T p b / M 8 l W C M l v E i V + Z K M V U t K m l K t W R G Y l j H 5 1 g 8 a 0 s 2 R r 6 E e 3 a 0 v 0 y t H l 3 o X l 7 P V r P C m K K j r 4 U + Z 8 9 m I E U 0 X z z m 9 + K X / z 4 J x w S O 4 4 c P Y L p i S l s 2 3 m 2 8 m + E m 1 u b m 9 H c 2 I h Y 2 o F L L 9 T r e + j E L F h M F z P C z f B L x E + W m f M i p + Z s O L s j o 0 2 C 6 9 p n 1 P N O E n + W 0 r u A h g 0 1 W M g M q F f Q Y 1 M V X 8 W n d Y c e x 2 x O E y a J O M c q Q g I f 0 4 I F S 6 D w 6 D K Z e p 7 W N B I L l Q I O d A H 4 a q o y d S K T y o a g 6 N 5 o x 5 n X N k N K z B 2 9 b 5 E k s L x P l 0 A L Q t U O J E Q g x m i h K J h + k q M P V g 0 J n Q n 9 7 o L a m U R + J l a Y t g k G L 7 N k w Y g L M w X L w O T T h R p H N y X D Y b T Y a P b o G m W t k G c Z W b C j p 5 4 D Q b U e m 0 4 h N p O G p 9 6 G Q H v p P I H M 4 L d 7 K x S h L 4 N E B x 1 W D g 4 Z Q m 3 b Q u 0 m 9 a O j a T d a R r 6 A y e 5 P s B M n 0 R m 5 G c d d H y H T y G p e n p Y 4 A o s y c 0 S z s G E q s Z J 9 m s 9 i / 3 0 P o W 3 H x b D G 6 t F w B s 0 0 i T S W h H / J R C b z c z W I e R z P z V G r 1 9 D 2 p 6 P N Z 5 e a b Y s n 8 / C 0 5 T D D t r 7 + 8 Y / A Z c n h j 5 d / H q l I B o m G O n S Y 5 j U M y G S k R O z K E Z l O w F f v I i 9 Z 2 a d J J G a y v I e N P o b 0 N X 0 H S w q + N i v c w e J k b o 6 2 c X S K P l 3 c p b 5 3 1 9 n g a X B q t T C q w J I q z r f J E v h R q U z U E k N L + g l k O q 6 m 8 J C 6 4 g U + 8 y I m Y x Q O / H d m 9 H Z E 2 j + i 8 t w k E i a 7 Z V x y 2 y f g o X n x 5 1 d r 2 k 2 + m 0 v v Q 4 L j 2 e P f R m t D m / q Y P Z K j C a l r f x F g p l B 9 R U i Q p 3 w 1 t 6 y H U k I v j 6 N P D C I V z m P X y 7 V o a Q l M U y 4 C L Q N G / 2 C S h n O H c 2 j Y r r V D A h B C D 2 J + y z s R n A b G y + a m y q F F + U Q q r W J r G 5 g 9 l O Z A Z e k a Z F B I e e m E J 3 l D O o P t Y S S H G j E a 8 O H s 3 j z G Z 7 O w T 9 C J 3 a F J h 7 W B p o W K R G 2 g r 2 N Z V r A x T h 5 r O H E 9 4 t s / x o c F g u N f w j O W 9 2 F r G x m B E i N L 2 W 6 3 s P N U k E M k O J + L q t 9 + 8 H t 4 4 s Q l u O C 6 T k w c L K D t n O r O 8 V o h V X S S h X 7 4 p V J P y o P L 9 3 4 B j 5 7 9 C T h 9 R d P p y r s + T h 8 0 j Y e v u R 5 5 h + w Z V X k e L k o n 2 1 / V L z C B T D t x c A 6 N G 2 v g 8 B b v s x K M y e n Y T B y J a S k f V k O Z w X 5 1 J B D s 8 M L h 0 a / D Q 3 L u z K l G 1 H T O w B F s o 1 a d g n 1 q H + y J Y 0 h s / A C 2 P f 4 h 5 O m r j b Q 2 Y r D x E 2 j 2 s 5 8 l q C Q Z L h I d V J f h G M r 8 J U m x g A y G U q O o p T a U 5 S u Z v B c e + t n z / W H U 9 P h h o 3 N c K a W p H J Y s f d 0 y H 1 c V + d S Z T H x Z C Q T t + d 0 p b L i o S a v a Z c C I B p Z B z T n q F X I n Y q f Q 5 t u I y a M L c H u c c H f 4 l y w l A 2 m S U z 6 v C Q + j w E s l U G z x o q s w U 2 i E D v V c C l P 7 o m g 8 0 4 m m 7 V 4 0 b K r h e w d a N 8 b R u L U G P p c D T T s 8 i p l E e j d T M u Z z K U p U b T M q C R B M H 4 x S O h V T d E o h D a S f R G Y S 3 y i T j M D l 9 u A b N 3 y H D J u l z 7 A f P n s M i e 0 f h W / k G z R X E o C v C R t r e T 0 6 / L K u 3 0 m z a H h 0 D G E S q E U q y t K P s 2 Z n s b v / W l z w 2 q 0 c l D p V X O T 5 Q q R b T D 1 L F r H j U d i m m x A 6 l U N k k F o j l M C T M / Q X T L j 5 p R / i s 6 S R s U e q M p O g n J m q z d O l U y H 2 h Z 3 C b B W J T j i c H t z 0 k 5 u R c 7 T j v v s f g J 8 W R P O O F r 7 c 1 A 4 u n J w 7 A Q + F 3 0 0 / + R n C s S l E J 1 K Y P O F C r + 9 G B B f u g a 0 Q p V n t Q b r l E o y 1 v g + W 4 z / C w u A E Q g O T O B j 8 F O r t Q y r Q I v U S L X Y v b A 6 N a E W m S 7 D p U 9 f / E M 7 A R v Q G L 6 b V 1 w s H z 6 1 x x i j j 2 G + Q X T s k m D O 6 K j O J Y F w 2 h 1 a g U F e 6 Q 9 7 n 1 f c y n 7 r j 2 h b E Q 3 H s / / 2 w C o K o 0 m Y V m E k g c 4 5 y i o y p M J O g d V s d f V s f 5 v Z r 8 5 9 m S J d r T F b A c 7 K 0 o w r I U K W m w H D k K Y x E n l U 2 4 u S + C O Z P s i O 6 / P A 2 u N B y t p k o e H F q A A n p J n I L C C G h 5 o D S + Q g Z K o o j U 0 4 6 3 U G q V y s 8 t S 4 s N H u w 2 F q L 2 Q Y f F o 5 Z M L V / U S W 0 9 h + J I H T S Q c Y r q t F s w a c 2 v R q f m c W G D e v x 8 f / 8 E u 6 4 4 w + w u y k Z R y a p B d + K L 3 / 9 O w h l z s G d f / g T P v D h z + D b P 7 h D 7 d I Q 8 A f x 0 x v v x k 9 + 8 g u 8 5 e 3 v w u z R w / C 0 R B R z i Q r 3 1 y 9 P q F w J x 6 b s q q b f 9 J E Q Z v b H 4 K l x q p 0 E m 3 f 4 U M t + a d 5 S i 8 b N I Y 5 M D j c 9 + x s 1 2 E b f t D v y e P x V d P A l 9 L r C Z H Y 5 K s 3 Y D 0 W f o F Q k M 1 k k Q 1 0 G d m V k 0 w m M j Y 0 q P + P + + x / C t F S 0 t d k x P T e L d 7 7 r v R g d m 1 C R Q 1 H m H / 7 Q 5 0 l I N c g 2 Z H D z c z 3 4 3 O 1 x X L z v G 3 j x / i / j 8 a d 2 0 8 e b w z P 2 C y j k M v A t W r C l 1 Y o / P H g A z z 1 3 H A c O H V M V V B 1 2 F 3 5 7 5 9 0 4 c u y 4 k u S d n R 3 4 x 3 f 8 M 9 L Z H J n H i V D S S 9 P P j 1 / + 9 o 9 4 + P B 9 K i R / p I / 9 k h m H N T 3 E / q m 8 P E L m 4 I R N S y D 5 o E s m s m g Z M o d M q 9 B X a t / Y g r N e 0 Y 2 R Q 2 N 4 9 n d a H f R q k K s u m X 8 G + N l J g + c v f a R J m n 5 m 9 0 z e 5 + h 7 + 1 e o y m v N J L K I T M U x e z x E O z I L 7 9 A 5 8 I x t 4 S / p f J 4 d Q P 2 m C p J V O F 8 k E Z l l I T W g E j X p 7 6 k J V a c 1 o J Y U i J 0 p m Q w h f V Z / U 1 N W L c K q 8 R Z Q t 7 W A l r N q V X b 4 + j M C q N k k 9 c K t m D o 8 C y n G b 6 M z n g v x g W J Z b F 3 f h u v f 8 2 J s 3 t S D 3 / z y h 5 g Y O o j u x C 1 o 7 + 7 C 0 G w G Y 0 O n 8 J / / 8 X F E Y / S 1 C l b c c / c f V L W i z u 5 O v O E 1 1 2 F y d C c 2 7 N q y 5 L j a f B E s j h Q j j o n F J O J 0 k q c O L C o n X J Z J h 9 m Z k / v Y H 6 d m 4 U t F V Y H M V 8 d v w F 9 l v 8 o B q D A C y r y 0 o t + q z X e o Y 9 T 6 s o d T 3 t l B o S O v N T A y + 1 V M X h U s 0 O d 0 + E Y 5 u z 1 S p 8 L u 5 3 P U I k v G 0 A h N V u Q W s 0 i K K N D P c i M e T 8 J O T b 1 j 5 5 m q p E E u O Y V L n v 4 U 1 q 9 f h 1 e / 6 j p 8 5 z v f U 9 G 7 7 3 7 3 2 / j E J z 6 J j R s 2 I J V I 4 Z 4 r o p h 8 j u 2 Y i O L S i y 8 C B u / H D 3 7 + M 7 Q W / P j L d V / C Z z 7 9 H 6 q 8 w c J C G M 8 + / Q z H Z i O Z K I f Q 4 i L O 2 L p Z L Q h 9 x z + + H T d + 7 9 t 4 8 I G H c O 9 9 9 6 G e g u i 2 2 3 8 L v 8 e N 1 7 7 2 O p q g V j y 7 5 0 k s 5 t g 3 0 m J n 5 X S t J e G i B 0 s E 4 n M u w e x / K U t L U x D d 2 x t w / m u 2 4 / C 9 M 5 R 1 1 R l A 3 b w M T W f U Y V s 8 p p a 3 m x l O 3 k v N l D N a q 1 s 5 m g 8 l I V S J + p w m h J k M 1 I m k c C 2 v P 1 A J Y 4 s 2 d N Q W N Z I Z o q o l t C p O 6 + z x e X g b P Y j m p 5 T P V h d c R 5 u b W m L 6 T 3 i y c C 0 u t 3 8 f 0 Z b 3 k h A j 8 A 9 / j + a D H 2 n 7 Z m T a r 8 T 0 g T D G x w Z Q 1 x Z E z 6 5 1 S M W S i I 6 m O C 4 + D r g T m X Q U g U 4 6 7 H U r + 3 h a u N + C y + / 9 A r L 5 P B 5 5 x Z e X Q v k G L M k h X H L f d 9 T 7 x 1 7 9 F f V X c P G e T 6 H T 2 Y h f n / E 2 c n J R M F 2 6 5 7 N 4 7 N x P K T 9 M 6 o h X g 8 Y 0 l L 6 m Q J F E / x p 3 i J C S 3 5 U z N 4 9 I j Q p H g 8 q k k A l Z t y 2 A e F Y L n m S o 2 V 5 C h n r 8 k i / p Z 9 M i i T 6 O b u d m a m 8 + F M 2 3 i V g C r z t 0 A 0 A h + 8 C 1 n 6 f P 4 2 I 7 F n D Z v s / h f D L K / 2 v f j m T n W 2 A b u Y / 3 8 W n L P y r A 8 G t K Q R q h o J D F Q L P H I m j c U q O 0 5 G z c h i Z X m O O n a Z 3 Z 9 H E 0 O i n U l 4 I R R h + Z n 7 e g b a L g l h 1 Q B C L E N O Z S 1 g C f x 8 h d P H g P z c F r p A S 2 + r g c F Y 7 L / l / R 8 T g 1 t z Z t l K I r R q 9 m V W i k w R u r / V r X A G P y N a t H 0 A w s q E t V I w 5 K W f o y y h z i q 9 M 7 r L L E B W K 9 H J l 0 I D o T w 8 y h D K b 6 x s l M I m k s 7 P A G t U O E f a Y H s Y J d T Z q 6 B 3 6 H Z P t r 0 V v n Q S J C k 5 O S a 1 L 2 s V 3 3 E c S 6 3 w 1 L v I 9 + j Q M N Z / h h z 7 c r Z h L k X U k 0 c A D F X A v 0 U C O S Q V d j J o G E + 4 V R 3 7 L p x Z D V y L J G a j J s q t F A F N w 9 8 M h k b J k g t I 7 T 7 + w b 0 5 h J l 7 C p X A a n B i j 9 i Z W Y S Y E S 1 8 x M I m z E h F P z K d I W v f K P A Z X 6 p K / F c l j d c O v R L V n N K 7 7 N 1 5 / 4 r h S f 4 F j z d 9 S G l + 7 5 N D 4 9 f I w 2 T h P 9 k A Z a H B 5 8 8 0 m a r d M x Z F J 5 L M a 9 i K a t S F r r k Z 9 1 4 L k Z F z L u B S z E T i L u b a P 2 b Y R v 6 N v q H u V Q z G S Y v 4 Q k C c y T d u Y y A x h N P A 2 1 e Z w s o S U a v f S T d G a y 5 O Y 0 Z p L 3 e t a O 0 I I K L p T Q l 6 X I T K K Z h J l E q 0 u Q g 9 a A Y i b V 5 w X 6 V h 0 4 + A d N o 5 d D t F 2 Y D G j O K B H I q v R s M k e N n a H Z b 2 F f h p S Q U I k K + T T f y 3 Q I G X f J k t C w J G t l 4 I o V Z K p D Q s t i Z s j S A Q O y v a R H Z r X V g 2 u Z C a U F 5 G k e i m M p 5 h B f Y g J t b 5 H 5 A 3 Y 4 b e x u S w h i e j a p I E c H B u e L a l x C x h I 5 6 q n t p T n 6 X e S a d 2 E x O Y u Z K I + 3 v I L 2 d x h S 8 V b y q g T R 1 r e x E 2 a w 5 8 6 j O O N l x W i e y z T Z a Z f N z X J r m x c z 8 J Y t V 7 K t B f x k 9 z 1 o D S 5 P N P 3 N l e / m s 7 O l 4 u n q K G T z F B g 6 l 3 H Q Z b L Y J X Y D n 1 X b w m d l G M w h a U Q y m T 9 z K A 5 / r 5 W S U r b S H E F e a t i R O S y 8 l l q w q F c C S u f 5 v Z i N y g Q S V r J Q E N j x m m 3 v B D J 2 D M Z a M R y q k X k M 2 G e 1 R Z E G j o U G Q P c L j 7 / + K 2 o P K 4 8 9 j 6 S Y T C m Z P 4 r i o l P 9 C L o 3 w V a 7 E 7 m a b Y j 1 v B f e w W / D M f O k 8 r t L o J u / l u w 0 L R h a M a 5 1 a H B u Q r f 3 E h J s c Z p A i q M Y K N j 0 M S N 9 Z S R i S 0 h m y p I p b f S n M I B o V f W M / C M J s c J U 5 i C H 8 f z Z B W x / W R O e u e O w d t w E m a 4 I O t p V / x i Q + v Q C f 3 e O / n 4 K W 5 p p J f C 6 S k j I u j Y K T 1 l K o p a T 8 J 5 G S T N B 8 U k I Y 0 B W Q j y X K L V h i Q I f 0 m 1 M h M o k m t W l J J 7 M I Y l m s i b p c M q C O M k + I G Z j U o D D q 7 I X R m K D 8 D d 7 U d d d 7 I h G X 0 G l M o l J J G u b Z A + o 2 a e f x h P 2 D y A d 2 I E 6 d y M d w w K 8 i 3 f x f i k E M q 3 I n G q l m Z d S j G l 3 1 K H 3 3 G b l l x k w b O F Y V n v 4 V G x e 1 X E w I 0 n t U Q 2 X 7 f k c F q M R M r L 2 D O W o 8 d K k o E m Y o S + h o l 8 U A m 5 q V Q m 8 G F C T x T J w H X 6 8 9 s / X q 2 P D 0 S c w F t u t 3 p t h + E g C S Z k R M 9 N h 9 8 F X 6 6 K m J u G w j 0 W y p s W v k m e z k C m k p l 2 4 j 2 3 9 N G J q M r N k e L G + z o e H X v t p 9 P o n 0 V 3 P 8 z M F X N X x A v 7 W h k n 6 k s K 0 d 7 7 u S 3 j m r 7 8 K u x A r I V 1 Y w 0 s 9 e N 0 3 Y H X z e Y b E M p E Y m 9 6 h R L z 3 v T T 9 L k R w 8 K u I J z Q L R u a l D E g q k C q V p t q j / c 5 c q k 2 K x U z E i x v 9 C S Y y w z T 9 R r G H T N / i m S H N S Z 8 S 0 q 5 C k n + F A b Q 2 S o 5 f Q e Y C q 0 C i u 7 I 7 / 6 Y L 2 7 D n v r 3 6 0 e q w 5 y V F i u P n a U T t m U H S l a E p K 2 O p p J m k o K k 3 9 B P U B z V / s D J S a l l 4 K X K 0 1 8 W f U g G K 5 E n e Q V Q 9 / 5 D 7 R T P l n X x Y E p O R f d D o b V G T e 5 H 2 A f T W 0 u 8 q j o 2 C F G e X E K W Y R L K b n t U f g r 1 t O 9 a n r J g 6 N a P m E N p G f 4 i T 0 2 / D + E E P X D 6 v M h O b d z p x 5 P F j S B X G 0 d I p W 1 w W i V 9 a H e I g y X I H Q d t 5 D V g 8 q Q 2 I + B p Z S u k r n 7 t e M 3 k q Y W w B t R k H P n r F m / Q D l K x x K 6 Z F e h L y C A + + 8 h M Y W X B j L h a k G e s k 8 V 6 P J 9 7 w N f W 9 G R u j X o T 0 7 f p F + 4 q 5 I V M N B o z s 8 n I U T H 0 v F k U t 7 + p U 0 l F C 1 W 1 I W X W t O x q l M I p x X E o 7 V u p 9 j y 3 W 8 V x N w 1 7 a s h W v 6 L 5 U v W + t o 2 m t P c o y S E h a S m 5 Y y X D n t 5 w L / 9 R X 9 W / M o A B c 9 z H 4 e U / 3 q e + T 6 X V z 2 t B + M m l u h k k r X t y T p s l c f F 6 V W W I J k g l s a K 4 9 o B j C q f t S y T z 7 T T R X v h h Y q h Q V L U c 6 T d 9 8 c R C t W z 3 Y e 1 c f x z t J Y f Y 0 h q J P a S e Y y F p L t t X 6 z u 3 I k 6 4 8 G H t m A c e m H R Q 6 p Z E / M 8 S i U F 2 o / A R + M F L Q q 4 K a y H w t m b q T l i z N C R A J S o 5 i V + l Q 6 l p D d C K B m W P z a C I D 9 F Q o o m i G R G f m j i Y Q b P d j 3 l e P Y W 8 e 6 b o m h A 6 N w 5 0 d R t u 5 d X y R r N T y 8 j y e + N M g B y K L t m 1 t f B 6 q Z G E e 3 T a W F k p G i F G T P E 4 z J I N p 9 A 3 E O P h O S m R K / f E o b j v 4 i P p + G U T R U J O a I U 8 v x R Q P 6 P 6 g 2 x V Q a 5 7 q v R Q E R i I m I d p W 0 D 8 r U p X H s x a a M 1 p P S v 6 f g 4 w g e Z Q K 0 s c V m E l Q s I c x e Z C + r q y O J g 6 H P I j Q / M j T r x q Y s 9 H 1 m c T U Y h d y 1 O o t 1 i j s O f G V K O x i e R y f s m N s N o 6 N d Y u Q g o z 5 9 B w + d 9 H f k 2 D U p a p C h J K x + v X R v / o q v n j R P 3 O Q q S H E Z C 3 z O w R 5 X y + S G 9 6 B w P B / w T H x A C 9 Q j U t L j 1 N E 6 u / k O W v R 6 j k D z a 7 N 6 P J e y L E z z h V f h u M t I X Y R H u w r W T N n p s l y z M a k 7 i J N O 5 c T v r o G 1 N Z 3 I 7 g l g s P 3 z K O 5 c B b 7 v 1 K V 3 9 I r q o R l h w V b m j I q y i f W j r G y o h w l T y V a q i J E m o j U l P k U / W Z O H t M Y q f T C 8 v C q e o 0 Z J O L Y x I x a j e q s t a F p W 2 X 1 H J X w v U w A H 5 3 D 9 J E 5 m m R 5 N G z z q H u u b 8 j i z N Y M e p t I j O s 6 4 W 4 W C W h R G R W C R 0 8 6 4 Q l b c N 6 r z m d 7 a b r x J U t H c g U H J u Y T a v w l w b Z / T r O V Z e a + d V s r A t F 8 M b e M P h K / 0 N 6 X w W d z I k s T y Q z J E F / H d u 3 U 1 x M p w c F + c e f H M U w T a j w 8 o g I I x q z 7 e r X A 0 I J P n f u 3 + I 9 z / 1 o d E z R 7 T N v K L D n i Z h T o P 4 V g z d Y g s I V 2 u 6 r / A G x r q l U 5 e f Z 0 P 9 b X R t F V s w 7 n d z u x + 2 + + r i U m i y a y u V H n s 6 o 8 t L Y G r e 5 d L h v F R H I O E 9 H K c z 9 F U F j q G l 2 0 a B 5 Z N Y V w p P 6 D e O E z 7 + W j a H 2 5 D C T A S P d H k G 2 + F L 6 + Y t T T D I m 0 y h J y A 0 Y F V m 2 J x s p c v h R i F 0 1 G / 0 i l p 1 V B o y 9 H e t T e t 7 X 2 w B e k 7 8 Y x O u v a e h x + 5 A S G j 2 q + t 8 L S 8 C 5 n l r a z a z F v S u y V T A m x U G R 8 h x c c S k g J S h i q 6 E O R V X I h N p Y M p p w / S m 9 K T Y u N N j z N I 4 l 2 m e 5 u g g W 1 e i V P g d I w p x Y x f T g O X 0 s Q r b u o u j 1 F Z s s W E v R p t H m U h R M 2 t c Z G 9 v J p 3 t a A 5 j M a 4 D D W H l O a h S l 1 Z V G h Y K P t C M J 6 9 R k j P c m 5 d x / O u F L 3 w 2 R A 2 G b Z f l L y s N r q P T R n J 1 X 5 L W F M M 5 r P 9 C L C P p W 2 v r b 3 I l 6 o V H I K / t / Y Q 7 j p i o / w u b O Y i 1 d e g j A f s y q m V f e 1 1 6 C 9 d o T k l 8 Z 8 q h 8 h O t 2 n Z o r E 9 + K u c 3 F 1 z 3 n 6 J w 6 C 9 K 8 B y T 0 z I 5 / G 7 N E F 8 p A F d T r f i c l h r L Q V w Z G X D Q X I O O W Y S h z U 3 2 l 5 l K O x p 9 V 7 n 9 u H j u B m d J S V w C p H 3 h R Y k r C 6 b B I n + I f b / w O 5 W d L C q f 9 S n 6 t B d j m J d b 8 F / r 7 P L v n P B s S u 8 R h + N y H j K D 6 z m H d m y p L c Q i N L X G q I y M T q E p y N W L R 6 V E n v J b D N Z l P f j E h W C 6 R t 3 H Y u H 8 i N c 1 + x A 7 l I B M / 9 c b 8 6 v o Q K m l c g e 3 L N H i + a m n U U q J J w 2 1 2 X U V V j D 0 3 a S x l K + T 6 K 2 / l g E t U Q W 9 I k h c R H i t I 2 l g n d d E X p p J a V U Z P R X j 2 S U R E v S Y 9 v 2 S z z C c J I p b e z s y O i x 1 2 Y P R Z G 3 e Y c B 8 1 k L K r Q J J l N i t 5 n Q w j S l 5 I V u p K c K H v 6 L G a 1 M L 9 o 1 e T 8 K P 2 1 C F z + O p o D W q e p J S S E E J 8 M 0 K H 5 L u 1 6 Z u j C Q t J x Z g 8 n 8 c 6 u l + O x 1 5 f 6 P M f j E / j 5 5 G M Y W p D 9 Z P X B V E a 0 N u x 9 1 H g y 4 G L i y c 6 E U l x F A j O y 7 F w g f S D f B f k 6 T q a S q J w I h 2 o w t s U U S G 5 d S q 2 / 9 K F 2 X R B / P u V S f q W Y H C o h W M 2 3 a E L G I F i 5 t k R A B S 2 e H U j l N d 9 M k p K l s I v U 8 j N Q a d 1 V E b y P K e V H L A / x N e f T g 0 g r i y W P e M 8 / w 9 t f X D t V D i n q A k c z o h s + p Y J Q v p F v 8 Z j u K 2 r d U w K f g 7 Q n f a d / F s h e V a q M A t / L l I U j K + v 1 D K F m U 0 k E J Q J J w v 9 L W l U W f g 4 p z S o I 2 I 3 J d Y P O L F h 3 w T Z 0 b / N j z 1 3 F Z U y G S V 0 O M f 1 y U s E 4 Z a J T E 7 p q O C a L c 5 N s K 0 0 W 3 Y m U F b Q q 6 7 o C p u L P 8 Q F X z r 3 K n m q D n + a w p 1 6 T m L L 5 8 d J + r X o C p S A d z 2 D x V F Y 5 f K W g d q Q a l + x y g a p w o 2 + 3 K Z i M W L E p 9 A V E O v + d n 7 S u P / F A A p u v o D B Q 2 4 2 K 9 p R U e p n g l G t o 5 8 g C R Q c S J B I 3 n d E n 0 e 2 / m A Q 5 U j Q f i O n D C 8 j T L G z d V Z S c E t 6 + / P c f g n M 2 j z v / 5 g Y E X e w 0 H i O 5 y W 2 W M E c N N U G t c W Y L i U L 8 G j J r I p M i A / h U p a N d H V q h z f K k y x K I 5 l e Z G F q b k 6 E k E h M e D A X s 2 N i U U y k v l t Q g M o 5 e E p Y W u J C r q V 9 k Z j U T j x B N u S y h g 5 i K 2 G B z H F V M V u / s g d f i J f E V w 9 d m I q 9 U N s x A I p s m c + W x m B 6 g Z L Z i 3 c x v E O 7 8 G N t h 1 r Q J 5 C h 0 z Q s u B d b Q C d i n / 4 L h + O v Q e l Y p L U l w r N o y H x X J q 5 B 8 I F k k a w l K a A t d S S N W W Z h Z O u 6 C X G I S B x 9 I 4 + x r S P v i z l T w Y w 1 a n D 9 a o L a q 0 M E E K Y 9 U Y U R k F C q f K G j x 7 l p W W N F A 8 o Q f y V E H n J t m l 5 h J T E b F T A L F T N q I h S f i S C 6 k T M x E J q L W 0 S B q X / e x C q k S Z p K V u p 2 R P y F W + 3 p 2 i q Z t D j 5 w B H M h q u y l v X v 5 S M K Q j g a c n C k O p k S 4 r H a P B O v Q 4 9 p U s V O b t 9 d x k G s x v T + O u X 5 N k q p U o 4 I N a U p J i T 4 K p R Z k Q t L E T I I G X x 5 n i i + l a 2 6 Z 1 x B m E p z T K f t o a c m V o m E V 4 + i Q p d V L U I O u 9 f / 4 n m k s D i Y R b b H i r A 7 N p J B n H s 0 s U j j Q v N Q H 3 B i t d E G r X y H L t C s x k 6 D Z n 6 O J P Y c O 7 3 k 0 t 5 r 4 H M v N x C W I t V I F H v o / f o e b G m 8 b P N i C u b Z P I j X b j 8 D g Z 9 S Y C W R B Y D k z C f I 1 m z F f 9 z f w W I + T s R 7 T j x I 8 v z I z k W b Y 5 k r M p K G y t l g G N X 9 E Z p K q T V Q Y S c k / z R Z 9 S J u n F W d e 5 c J T v y N j P b o 8 O V Y g t J j j G B V s Y W W F V U I Z W R D K d K h 8 s s A c c E g f b U T m R C t S R 2 r g p l n n 7 p Q o S J E 5 Z S 2 + N a k l K G o B D 4 t a + p 2 c D S P Y r j O T c s J J p C 6 N U d 9 x 5 K d 4 y b 4 v I h z t 5 2 H t W t I a 0 Q D b W j L I t r 8 I q Z m n k a J j L n 5 P L u 7 F h q v N K 2 W p P W i H C 2 T L f g O G S d R R x 3 v R V 1 T M J C a f d L A Z / E n z W V 6 2 z 6 t K 9 k Z k / 1 f Z R o Y d W C l R 3 d j w 2 I A s K z A W W w o k E G L + q 9 b S m O p M 9 N T l 6 N S S q S R T x e Z C e C y G h W O 0 z 2 k q R z v o I 9 C E k 1 9 K S L t A n 6 H Z c / a y Y i G H J x 2 I 5 U g w v O 7 m 5 i x k Y b P M K Z m h n O f o b n T 5 z t e P E G Z T q Q z V r J R y + D h E K h O 7 c R M i v f 8 J 2 9 A D s K k y z 9 o Y m C F z S X P U a v 5 G L z K 2 s 1 X Q w j / 8 R d J G m L R S w c x S 5 i + f X o W x K 0 A 0 i Z 2 C x S S g V o O 4 M v O F M B L 5 R W V F S F H M R H 5 e 1 c G I 2 O L Y e G 0 Q d T s b 8 N x d o x g 5 P K Y C D 2 b Y y J h 1 G w P 0 a 7 V A i K y d E v / Z w D K G 0 l J d + B A V H j A 8 F s f U v h g S t O W F m Z z b Z u H Y P A n f t q L z 6 j b m Q g j Z P 8 d w l r O J r C o 3 X N P l R u O Z U n 5 J C J w d I U u V T T g Q G 6 Z J k s U 1 t x Z t c 5 m o N y Z m n S d v g W P d 3 3 E Q A 9 h 9 x y G c + f J O N A c 0 K T U 4 T + k s p p 5 O b 8 Y + q 4 K C a R d x 2 b l c n H 9 V I I Y d X C n t 6 o r D X 8 R I 8 B D S 4 Q x y A z H k M g X s f u o Q c m X 2 8 4 U 9 R e a I q 2 1 j r N R k B b W 4 T s q C G X X I j b 8 K 7 J O c v o x c 0 F 3 D 6 y d p A p O B p b 6 B B B 8 k q 1 0 y J H Y Y E U Q F K 4 9 J A Z J S h t r e m l G T v 2 L 2 C Q L s 8 v I 5 J f F D e g L n K c 1 p 1 O y w l E c U 9 T 5 W W Q e m z J L T Q a b n F U g n Y v A M a L m N l z 7 2 q a V l 8 T K X 1 K D q s B d 5 I N r 9 M Y 5 F F r 7 x 7 8 G 2 U J 7 J Y H 7 2 S u C D i F C g l a V S 2 1 a B M I 6 s O h b 4 d K G m k h T Y b 1 I M U y A T w J G C C 2 d d H U N j R z 3 G H h 7 H 7 G j p t S V l q n 6 L B 1 M H w k q 4 1 d M 6 M b C M o Q S R i R i y a X 4 l E o C S W V J e Z o 6 E E K D U b j 7 b C 8 / G l G I m A 1 n d z P F K o 8 S E J E Q 7 q c k 8 X m P m Y A K R x Q X U b 0 3 x h m L + 2 H W z z q q q / U g k R 5 h A t K h j m r + b 0 L T G q X n N D B T i E I K U z d C s J A z J R J h L n o D X 0 w a 7 U 7 u 3 + C + 9 9 V l q n 0 Y M k L G E o N c 3 G M T P 3 4 q G 1 F N E C j L n I 9 k c x t x P B b / w k X M + i Z 1 1 N W j s 5 G D n J 0 l f V v w 5 + S x S 9 P 3 G 9 y 6 o A v 6 T B + b 5 e E X i 9 i o B o i X B O i 1 5 r K 8 j Q Z T S v m q X w G 7 s x E E p O T u Q x G x / A 4 K b c g h 0 B T A Z G 8 V E d B h 2 + 6 Q 6 R W x 3 I 6 B S 5 y 2 7 I G E 0 w U h V E p i 1 Z D m M q Q N Z Q y Z l o O V V B P t w h a y D 1 S C C z 9 a 8 C z O d 7 4 V v 8 G u w D L H f S U 9 m K I H H s d T A H 9 g t Z K x P I F e 7 F d 7 + G + A 9 / h V 4 T n w d n r 4 f w h L V G K A S z O l t a k 2 U K R 2 u E p K 6 N a I l s x W R V P O Y p D 2 2 S V 4 t d f O I k k Z T 3 m n 0 X C V j F s Z z v x u j h U J e i G p a X T L q m 7 b 5 q W C K E / I C y 9 z k R E E K u R d S H g q K N L y t F n i b X J g 7 J o v Z a u F r G Y O z V j P H E v R N k k q z V E e Q n G + j v R u f T y K 1 Q I I P R h G s n 6 H 9 2 c W u 4 6 M k p 2 B x i 5 o W f 2 O 5 j f 3 Q x H 7 8 5 9 5 b t A + T M T z 2 9 u 8 o A u j N P Y P g 1 G 8 Q 3 X E 9 O S 9 D 6 y a M I w / l V G 0 B w Y M n 3 H j p u k G E c r w n G V A k s k A Y t t E 6 g L C l F w E M 0 b Q 0 q p K K / V Y p U q m D z x G c / T Z m A 2 / G U / O T + O C j P 8 Y D r / o 4 9 o 5 2 4 M r N W m h b C C M 8 G k W C t G 6 1 2 2 F 3 a H 6 i R P Y W v X k 0 1 R S Q H M n B 2 5 6 H v 4 H C h d Q m 2 t a U E U W 1 N o y 5 g X Y 0 b L e r O h k B d 0 E F X u b j i 6 D 8 U i W K r R I 4 E K 1 K A S D 3 r O Q j S Z 1 y W S K j C J V S W / E I z z M 0 u x n h l F 6 q W k q k 2 Z s x n T 6 G J t c Z a g r D L 1 F a e 3 G S 9 X + C o d A C 3 v T H j + C y r o v w / l 0 X o M V z J j 4 1 c B t c a T v e 7 b 4 C d T 2 0 D v I R m p d F q 8 a S H q a V V F o 5 1 p J e h J X M b 5 / f p / Z 0 s v q s s D Y 2 w O I L I D + 3 g P z s I t L 1 l y H T d Y 1 a W 5 U 3 q t y a E K Z J J 1 F K G R / V M W t A H d u V t d a Q U h K 0 v I L Y c / s p t G 7 3 o k P m A n X I 1 j i x 8 e h S F V r L 3 M x E Q W 1 / X w 0 5 S h c O 6 I I q k 2 T m 6 + W Q + S l t p 3 d q n P 5 e 1 B t L / C m F V f T Q 0 A g C M T f K z D 2 F 7 D w u / a N W k y A 7 H k d n Y A M + e v F H c G n 8 M 5 h b 9 w k t M E B Y 0 6 M 4 + K A H 2 6 9 Z b l + L 5 F J + V C 6 F w Z A s F X H B Y S E T S E i W v p S W A m U 8 i 9 a 5 2 k 7 e R c n s G / 0 m x p r e h J G 5 F g R 9 E 2 j z e 2 l q a d p H N u O S / Y O e H X H i / K 6 i y S d b 1 p y a j 2 J z Q 1 H j Z a k + p g 5 G 4 C Y R T A X r c A b 9 w C W Q O 6 J j f c h k m h G v r 1 P + V Y z E 7 n H I T u P A d D i H p i C J h 6 p b 0 o 5 y k n F v q m 8 g T C Q b M s g 1 x U c T L W 5 N j V N 4 t S s N Z a 6 g 2 z 9 r w / p G T S u I b y n B k a 0 1 H F N J 8 N S R L M T g h m P l Y M V p 4 j N P / x x f 6 Z r B e M O / Y S w y g H c M / o R 0 Y s F d 9 R 9 A / Q b S g 5 j d y l 9 j W 1 X 9 h w o 0 U Q m 6 4 D D D G h u B Z / o X v F I A 8 d 5 3 8 n t N Y I q g S P P Z B H X Z B B b s 1 e 5 h M J r E c G 2 o E c Y u k 2 A H H j y M 5 K I N F 7 y u O B k / d 0 p b 0 p / I 2 y n 8 V m I m S W 6 1 + 3 H j D 2 7 C k 3 8 6 g T i d Z 8 k s l 0 k + D w l W T D f 5 G 3 C 1 o M H d r p j p h i / / A t 4 s t U R z D L + 5 7 U 6 V L S 4 2 + W e v / y 6 J e V 7 l C 4 r / Z H P 5 e R 2 L M t k k i V V U q H b P N P 5 y 5 f v U J s X 2 N i / 6 F v p x f j e 1 n i 2 n m E n M Q s m n 0 v a Y K h L M 0 h w T p V D K 0 o h j 0 y 7 0 L w Z o B j r h E C K k V p N I o p F P K C a p J S l 1 A 7 W o l G K m z A K v M 0 d z 4 w Y E B k / i o m + 9 H 0 / f e x P W 1 7 d h N F S n 2 i s v y T y 4 / s t f h 1 t t b E 2 a d G i r g W V 5 u h 1 N a g w M 2 G 0 W d O w K Y j 5 d Q O t c G k M H Q i o S p 5 4 j P I L o T L s q K S b F J u V q 8 o z y f I J m C m 5 J Q s 1 a Z M 5 p o i T I I r 8 X j W Q w q O G j 5 W n 2 y f 3 N z C S L o Q 1 m E k j l p S 3 N m n k s E U s h H / k r u 3 i I c 2 5 U O J K X 5 L y l C 8 X J z N P F f 7 7 g T Y i 2 f x D t w 5 / E O + / 8 m k r v e u S 8 T 7 K v K Z y S Z G i h s Y x Y P X w 2 s V i M J N h V Y F E J r K X I + 7 o Q W / f v Z K Z / J q 0 l 4 R / 9 G h x j v 1 l i J k G c Y 2 S g x t 6 p X n W O d f q r d + k l a W o a e Z V G o n Z e u R 0 7 X 9 6 L o / c t I L K g t V X K o 8 0 e j M P v z M H 2 7 x / 9 8 K f V 0 T K o b G c y y w M P / h m v f 9 0 r c c M N / 4 2 O j m 7 0 d m 7 B n b / 5 I + 6 8 4 z 6 s 6 9 q G r 3 7 l 2 z h 0 8 A T O P X + L W k b h c d W h n u o 4 H I / i 0 s t e g H 1 7 D 8 H j b 8 a O H T u x E E 5 j 9 / 4 T G K W T 9 4 O b f o z f / e 7 3 O G v n L j i d b v z 0 p z / F r l 0 7 q Q 0 D l M h x / K x / N 6 V v A Z 5 k C g / 0 7 c a b e h 2 I + C 5 T N f t k x t x K R p 8 8 O o + m j X 5 Y c 7 J 0 Q Z 8 3 U I S t E Z j U z 1 O H J O g g Q Q m d m S R i 6 J F t C u W z L s U U K C y k c u p i 7 w f x j S d + j Q h N i U t o K t 7 6 m 9 9 i f O A w 7 m J 7 O z o 7 V e b F Q w / 9 C a G J 4 3 j o z 4 9 g / Y a N O H V q A P 6 a W j z z l z 9 i e m o G P T 2 l I f m G Z h e c D R Z M Z + w I T s 7 T g n N T 4 2 T g K g x i Y a I O E Y 9 L 7 b A h E J M 1 n o y Q U T V N I R O X M k f j d p t M o y J v l Y L P U / 5 d i Y l p h n p 2 U o 3 p B 0 k K P 8 3 K 0 C C R O U l 0 d e h L K Z 4 v 0 r U X Y X D + P q Q t z X j D p s u x S G a N j Q T h b 9 P S o x T k v k Y U O U c m q 6 Y p h e l W m g 8 V 0 8 7 u R T p 4 M S I c 5 5 q J x 9 C U e g b O 6 S G 4 Q 3 3 w h o 7 T 3 6 c Z 7 V / H R 6 + k U E w d a H w v k 8 l 6 e 0 Q J N G 3 0 4 O A f B j B 6 b B w d 2 1 r 4 H E 7 M H 6 G P r 8 4 o g 0 h 7 Y 5 5 j 1 z l n 4 t O f / T J e 8 9 p X o V / 2 y b F m M D E 5 i f e 8 5 1 1 4 5 J F H 8 C / v / S f M z c 4 i x 0 E Z G V j A 5 Z d d g J M n + 3 H L L 2 7 B l 7 7 8 N f z h 3 n s x N z e H z o 4 m / P w X N + M l V 7 w Q e 5 7 b j 8 9 + 5 j P 4 6 I c / i F / / 5 l c k F C v e / v Z 3 y J 3 V P Y X 4 b 7 n 0 e q 1 E c I s P J + d m R A 0 s j b s k K A r i I r V n o 4 q Z V M a 8 y v K Q R y q u h F W m n E Q u h X j 0 t B 6 J z B g b E Z j h P f F l R N v e h 1 R u j k w o W 0 P a c N 2 b 3 o s 3 v e n v c M n F F + H q q 6 5 E M h 7 H 4 N A o 3 v j X r 8 P 2 M 7 f j t a 9 9 D f b u 3 g s 7 u a D G 7 8 E E m e l F L 6 q 8 i l U I e 0 u X H Y n u G t R t t a C 2 I Y d g Z z 0 a N n O A Z u P K T F N h W p r I X j L P K Z V M S 1 B r h 1 H K o B I m 0 w I K f E 7 t U Y t Y y i Q o h U x S S w q S O S V J 1 l W Z Y V 6 W Y c B S q E g m V f F k 6 C R + P P G o e i 9 + y 0 z q i G K a z 1 z 1 H f z h b K t a L W C b b V P z f l U h U c b y K Q 0 D 5 S X F y m D k 9 q X S f U h T I 8 2 3 X 4 7 h x t d j p v c a T P d e i 5 m e V 2 I + 2 A z 3 8 E 3 q v D V B 5 j n L 0 q f O + 6 s t q G 3 x Y P / d 2 o L R e i l P V 7 5 Z g D R G l l 3 M x 2 U h W T s i k j 5 y G k i e p K T d 3 A K r g 2 Y K P 1 s g f o v M c g u D i g Q u H R y Z r J X 5 J Q 1 5 t b h w X W A G 8 U I t 3 v 7 I j z G U P A n L V B w 2 M v k j / / x L X r A o U Y 7 9 5 S h S m Q T O e v E u f r I q v 0 B b 8 i E 7 W 9 C P U n U c S g l E Z S f L g A i D 6 Z L Y P v s Y b P N P I r X 5 Q + p z k s 2 5 6 q 4 P 0 7 H P 4 P H X / C f 7 J K H 8 E o E l N c H r N m G M G k Z 8 H g k k S E G a X e 1 p J G k d S E H O N S E 9 C W u S w s D d j J z D i 2 e H X F g f D a N x O y U n x 2 A x F V C 5 Y g L R s F l 7 W 5 m m 4 X 1 0 0 7 B c L J q z J s y Y T h 5 R g S X Z l E 1 S k Z Y g Z q / Y i S S + x c w 4 r 1 w 0 D w 0 4 6 O f 4 b b o V U A H T 8 U W 8 9 t i 3 8 P D Z n 8 C L f v G v w B k N e O y c T + n f k r h z Y S 2 j n r 6 P 5 + Q N G E r 9 M 5 p 2 e F X U U x J u q 0 K 0 k c 5 A l f a n q o Y C m X E x X 3 m C 1 o B 7 8 T h 8 v p 1 V t 0 V d g o m E F F 2 Z o q m C W C i G k w 8 v Y t e r O r S h E C l l F X + C E G Y S 1 H v X n y Y z y Y I 6 + j r 5 O u T s M d h E Y 1 B 9 W 1 P H F T N J 5 S D z y E t t c B l D Y a Z k K k U X h 9 K I n 3 v r 6 Y C T G L y W K d z y U m o t 6 e s W q m 9 b M / w z 3 9 B + r F B A z 6 4 u p O d l i 0 + Z n + E r S S 0 h y y Z o n s i q 4 J K e 0 K G F z G l W 6 M z k H r q Z Z s G Z Z K Y P 6 y n 5 k h 5 k w a O v + y o e e / 3 X M Z 3 y 4 + B C t 5 q v E G I s C G P R 1 u + Q v C 2 a b D X 2 E C 5 q H 1 V Z E G t l J t k p P 4 5 6 + O K 3 0 + e R L T Q L O K s z D 2 e d B C n G K T N 8 i p m M a H Y s 6 6 9 g t r G t c q z s u C T N G q H 7 c j S 7 z 4 C b k t 9 g J m m t a r F M x k v Z a Q q Z W v E d K k A 2 f 5 M t a l K y H q k M 8 5 k Y X v s b M s 9 k D I f m h r Q V i e Y K s t l Z L B l v F I h z l k 2 0 t v M q k L I i M y m I A O U 5 s o n a G p l J k K 4 w h y V + k h n J 2 i 3 w T v x A / 7 Q 2 K G a S h A A T f v C g B f c l a v C 5 n 0 d p n k u O l K s L e X e p S W E u w L I 6 a E L x F e 3 r R X D z M E 3 Y S W R p a s W p X f L u z e o M 6 T h Z F y R Z 1 y K V Z B N g y Q B X 3 7 l c 1 G h U q S b b v W D T J O x t L / k k t R A N k a A T 5 / 7 2 W X V M o E o B + 3 0 I B j s o j f J q Y n P 1 w R G Q E C V C R D i m H 0 S f 5 R L Y f Z p v p U 9 p L U H M x S a / E 1 3 1 Y 0 i m n f A Y K V E G y F h Z m j I R p X k J P r e a 7 y L m U i c R J h F 8 5 7 9 v x M i Y J p h U 2 S 7 6 f y d n 0 / T x n P j o D 2 U z a i d C q S C 8 L h t q 2 + k j O W p V w E G C H G I a C X z 2 8 i U d P M E c + T C h z h d D V F 8 x X A k t H q 0 O Q 4 x a b J j W g I g Q i V o a m l / S m 2 V 6 o x L E n 5 I t Z 4 y A h Z S M E 1 z 3 5 8 8 D O z h e m T x u 2 f 1 H / s 3 h B y 9 4 A 7 / R + 8 U u + 4 M V I 7 y p / H U I N u W W F T I t h 5 p X U l E / t t K 0 I + F a 4 C z b 5 8 l A M Q C h v a I b / p N + 8 x f 0 b 9 c I 5 X v y j x 7 Q + r c 3 B B G O 5 f C B N z T B W s y R E k J j B 5 D 7 p K B G O W y U Y k 6 L H i F L B 0 g c 2 k V t l D 1 e E l Z 6 2 o J c c B K j 8 R T m 2 L F h f r + 0 a l O H S H G Z f J U M B m 3 b x m r 5 W Q S 1 i E z 4 1 j l r l M + T c z n I B x a M T h 5 S X 8 t E n p X m W z g 8 i o F 9 W o F 5 W Z o h 8 z w G x H y U F b V D p h o V Q j g y 1 + H u u w m u m Y f R 3 r 0 e s h p b L R 3 g 1 x J d N C C m n d R m C N K f D L p L U 4 w M S C q W 3 w i I 8 H k M c 6 C R A q H W 2 Y x N m z a h r b U d / Y M j O H b 8 F G 7 4 9 n f R H a B E u + 9 e a u Y M 7 v 3 D P Z g c O I D P f P b z + P J X v 4 4 B O s 5 a Z k g O N Q 7 6 j s L 8 M u 2 Q k + 1 B j Y d j G 8 W h 1 A W D 7 M d l w E U G 9 1 P D L 8 u s N 2 E s u h d z y T 4 K N Y 0 g Z A p A r i k T 5 o u Z I c V U S 0 v O V 0 A s N 0 v t 1 K 8 y s D E a R i 3 H 7 A s v f T v e u e 3 l 2 N Y s y 1 O W M 2 a m k O D 1 q c 3 n v 6 9 b L e U g Q 8 u E L Z + t 0 q b U a 8 X 8 a W w W G O n 4 B A K j X 6 L p U O U 3 V f h e 7 a X F s Z H C O V K L 8 M P f H V v u Q 8 m v w + z s n M l X E f z 4 e 3 f j 8 s s v h 9 / v x o 9 u + h m u v e Z l S u I + 8 s h j u P K K y 7 F t / S 4 E 2 m z 4 8 Y 9 u x Z v f / H c 4 c O g 4 6 o I e / O X x J / H 2 t 7 0 Z 2 b S m g m X u R M K 2 r Q F K E F N e o B k y x 5 Q 3 S S R p 4 K V 3 f U T R k H W 4 H 4 + + 5 z b t C 2 K 2 7 y T 6 9 q b x g t c b 5 a Q I I T y l D Y A B M l N r s E B p W O Q 0 f / + X E O t + D 8 + j v 2 j K K p b 8 N 1 n m L M v u u 8 x l z k j M c R K Y d 1 l Z r J U h U x I j w 8 N o b W t X g Z m 2 l j o 8 8 s R u n L X r A k T G n 4 U z 2 A 2 3 J 4 g 8 B U U q k 0 I q k k V j Y w 1 8 t V 4 + g p h 8 u a W J 4 K n E I V 2 7 l B J h 1 e X y a Q 6 u n s g s q U a y J m s 6 Z l N h 9 g K J d S E 1 h P q l / a J I 4 v T T F q E x m C D D Z 3 b o C x k N Z F W q k h X m f E 3 B u x / 6 G f 5 5 x 6 v w w g 7 x Z V e G 7 O Y h V W o b 2 2 Q 7 U w + c N W X B F j X a l R h t b U j R d 4 p X 8 Z 2 C t h 5 5 U v V e C m 2 W w z l y B 3 K B T c j V n q k f M a F a k 8 T 8 0 z W W Y F n Y X C Z w Z T W u m a G 8 j n o 6 p T 4 8 v W c 3 L r v 4 M r z o R S / E q V N 9 N L e C 2 L p 1 C + 7 + / b 0 0 v 5 z 4 x t e / i 5 a W Z u z b 9 x y u f t n F e P a Z A 5 i Z m c U F F 1 y A T D a n J k J l 7 q T e O U P t M q N J X Q l F l j F v g Z 8 L c E C 2 2 j k 2 0 a a W M T 8 + 9 6 g q w W W J R C l h 4 7 h 8 n b b 3 r K e u D v P 9 l O a N d L Y d W n 6 e J Z + B L U J J 6 5 E d M i z w O C n h y Y 2 O 8 T / B n 7 4 T k b b 3 i z x e 0 i Y G J K t A 6 n U L w 0 / F Q p h P j i H g D K i 1 V 9 Y C r 8 2 2 V s q g N i D m n B G J F E j G R N C T R p b M n X c k 4 K T Z 0 9 3 Z w c H M o z X + e z h a r 4 D T 6 U A o f w K N g S 5 Y Q 8 3 I 1 u T Z 1 5 T O u k k n l 5 N r + h U z a x c X o S Q R w E 5 h e v p L a l q g L F N b / F d j o I U h J W P E 2 J L U m E c U F F K j E O e d r W S f F x s v S a D l k H l H e Z X j 2 v V n o c X n V p W v p H r w s h X b J k w f i K B h K y 0 c b x N q Z n 6 A d M 3 F + j e E p I a Z l 5 O s E W J + S q 0 J e Y k G F L h I A + V K I V U I 0 Y c U s 5 1 s x e 4 t L 1 o q V Z w s + S T c o 7 c g W 2 d K I j Z Q e r o G 9 q W q e q S 3 e 0 l D i Z p f p N Q y U M M L h / S 4 u 3 S + 5 E H J D t g 2 N s J m d y M U i s D j J Q H J M m R H L x Z P j s H R X g O / z 0 W J S 2 K 1 Z u A h 8 e W s Q V g l v c Q 0 b 6 D V j 1 t e Y c m a P K H + 5 l z r M R L Z Q 9 / h Y p q H e V X h S H D p X R + m I b + A / L w L / + 8 V 3 0 e X Z w A + S r i p I x O Y O L a I C 1 6 v z V 4 H p r 6 O S P P 7 4 T n y T R K t B d n B K a Q 2 / Q N y 3 v U 4 O B 3 E z p a F q o 6 7 g b 7 5 O T T 4 o 6 p f D E h C p d O t 1 Y y r B E m R K l 8 R r K K K J t 9 L t K C d 5 p x n + C Y k u 9 7 O g U 1 j I n E E n o k L 4 K g J q Z 0 z W n Y U w 8 m 6 s l 0 G I 1 t j C S R k L e N A G 3 U J q a t l J j o m I 9 T U e h K x B l o i N O 3 J u u q T O 5 9 F U j f j 1 4 o s / R S 7 z U M t m t J c A q t f z a 1 J N N B a R s w G F k 7 Q j N d 3 7 H c P / R C J r r e S J n k u 6 U t l 0 5 x G 4 M F A p h B H N L t 6 g S E D Q X s P e 8 m q B G g 1 e I d v Q N r / Q m T r d a 0 r 5 n U F r W Z A z d t a a K 4 a D G U O Q s j c u U Z G x T v a 2 V E i s x I m C e 2 m u k t S Y i U O + e E + I 2 q O K S j U C S G V T c C t t i B M 7 m y T m n M u U c / m F g A 3 n / w T v r / v F y g s u r G p v h M / v e o N 8 E 7 9 A h a X F X 9 6 9 l W 0 2 / + E 1 s 4 Y z b k P k m G M 9 J I C z a k C E l k 6 / U Y U j r 7 i V N S u J n 7 F T 5 N l G W p V K L 8 e X a S Q s E 4 i 4 K 2 w n I B Y i F H L u K Z h 8 0 i 1 1 W I H S z Z C e Q 1 / t a 2 q o 6 7 k G e J p K 7 X k M V g K T i Q c F A b P z d P E a 0 L D Z o 0 B Z F d D T 4 N N 1 Z O X 4 E S 1 Q R 9 b t K K j t s j s G v g D q c n H M V H a U s L M + m Z w J S A T T 8 V G a H I 5 4 H d r T F a T S y F k K z X l B N m 8 j R r V z I j V U W v v L u m T c k h N E X e j H b W d R Z r w D X 4 V 4 e 5 / J U N a M Z C Y Q b M z C F + F d l R C h o z s I C O H s 6 O K k c 0 o U E M 5 S Z C Z C u 0 J 2 F r 5 T G t I c S J 9 + / u + Q A u j D c m e N 5 M J i u 2 y U J g U h B c U k 2 m D p G o k D o 3 P F D y O k F p 4 Z s B D S Z w o W x 7 t Y Q M T Z W Z A g A 8 U s b i Q O d m q l n G U I 8 D f 2 E l 4 C t k I G y R a o Q q F m C B J m 5 M p m k a S G i / L E v S f W N J z u O y u j 6 o H l V L B j 7 7 r J v 2 a J N R Q H C c e n s e u V 9 H 3 M t m 1 4 u C O x J r R 6 M 1 X X S 0 r 8 1 e N 3 g x i h Z W L y 5 t h J V P W m E p P H 5 2 y Y 1 t L F o c n Z K + s H K V 0 i G 0 r R r Y E E t 0 M J a g x q U 3 t b v p 1 z U 4 E m o x B I k P r E n B i r 6 R m W e D d W F u S Q l Q N s t b J S A a W 6 y i / i l a F m l M 0 a c d E f B B p W w 5 5 X f I l s z S B 9 I W Z E p I x m 3 y n C 0 n h M S p K V c P 8 M Y 7 n 5 j Q 7 r 0 i Y r p F f q k r A P 9 z / I H 6 K P W y B B X 8 5 R 9 t a d D X I P r e y N a d A z D 5 B l r Q r m 1 X I Q s B 6 Z 8 P S S g g z p D Z G D Y X Z 6 c A a H 4 d v 4 W Y K L A v y G Q f l l g O p r l f A t n A M 9 v A R W A I N S N a + G J Z H D y 0 U u h o 0 U 6 s 6 Z L A q d 3 b 6 W A M c G 2 Z p 9 i 3 / 3 k a i C 9 L x l Z o Q R g 7 d W i B 1 4 K L o p P T R C F V 8 g B 3 N Y f j H v k 0 7 O I s L 9 i 0 g N Z 9 G b c G G B 9 5 e X D f 1 5 C / 3 o a 7 L g 6 2 X 6 o m L V N P j 8 T 2 o d b x A + R x b S f D a W i K R u M s l 1 6 J k O p d N a g q R a f G / 5 Z D j d Q V Z B k L / h V L f S q c 9 Q U H p 8 j Z Q O y x q c 1 Y m S C R R e i l y J I a W X Z r D f 3 z K o c p T l Q f E p A x w p N 8 K X w / b X K U S k x m a d r W h q 8 7 U f l n z l V 0 k k c U h 5 Q N T 1 N J O m t B u E p s s W Z B C m U J c Q f q S + R U 0 S z m E 9 Q o c W 7 N Z 5 7 e 3 r Z i e J A s 1 k x y z p m 1 k d N P y + u z c E / j R 7 D H c P H x S l j P g X W d c i 7 / b + C L 1 3 e n A Y K g i t D F z 5 X N I V T B l Z R + x w F J W f X X 6 X o Y V T p M g n b W c m e w k Q q / K M a P K F E m v s P w q 4 v R l T z X D t m 6 u I j M J c p S E Y W V K S t i 3 S h p J B c i k r M 8 e x 8 B A P y 5 1 / B f O j 3 + L E m J I l a Z y t 9 D 3 4 v O 7 6 m g y Z V I c 2 C K x v + D 1 Z y E T o q S Y 0 b b B F O 3 U 7 r s A e 0 a d y t 8 w T r U m S 9 f N S J b 4 Q n q A l 1 1 u 2 p Q z 0 3 S 4 j t J P I y S Z M l A r j U U T O R r V E h W X n 5 K P v o x i J j K V e S W q z J P Z s j S d g 1 q / S g R v S 0 s G M 3 F t k t s M C + 3 H u j M s m D 0 S x t S h l W f 8 B a L F h Z k k m j c b 0 8 e D P r A k E Y d p N 4 p g E G Y S C D O J P 1 j j b E P A 2 V R B t K w M E Q u y T Z E Z i + l + 3 q P c B C 0 i M W 2 l W a t p Q 8 V M a g 6 H m j y 0 H z e H a B k 0 e O A i w z 8 f Z q o M 6 Q O L Y i Y f z d l y S N J v c i n B t j L 9 V k T Z O B k Q Z v r Q R z 4 O y 8 D E 0 0 u n a L 5 T 8 e L S 6 b E y 0 4 + H k B q U Z E 0 / O u 0 3 Y 3 b T d e q 4 M z k H 7 + I J x O p 3 I q P X U h D U q c 1 8 T Q 2 W L G 8 + j N Y y D q W Y C T I 3 o Z Y 5 F 4 d W s h I a 9 3 8 O 0 X O / r i a D x V z r 9 o 3 B P / k j R F v f i U t + / y U V + 7 f O x P D Y P / + 3 + s 2 J G Q d y 8 z P I n U z i j K s C s J r a I U 6 8 p C V J p C u T n U F 0 D f M s a 4 H Y 4 g F 9 w z S z C W K G 5 N v l k Y E t P Y r J v n r U r f M j A q e q U C T z c o J y f 0 k Y w y i W u T g a R 3 I u h d a z V s h 9 q 4 B 8 L o Z I d q K q 9 r G Q i x 0 U m u k K E b 3 T h W g s y d C u F A X N p L J Y O J F S e 2 o t Q d G A D d + + 5 9 P 4 V T Z F Y e P E Q 6 / 4 I h I 5 2 T g v o C j B v A o 3 z 3 6 2 m F Y R 5 9 i f E i i j h 4 d E n r 7 q K j C 0 s h m 1 N P s s + p o 4 p T X l + h V M x G W o w n 9 z C + F S h l o C j 8 S O u O A P d C M R m Y X D 6 a X v 5 S Q B p 1 F o G p N 1 b k o i L s y 5 c U b y D s z X n I m s W 4 p + O O C I j K I p / B T b R X m / G E d i 5 6 d I K X Z Y I w P w h X / N R j u Q i b V h s O G N 9 N u c a r v 6 p Z t y U G z h k 7 C H 9 s r e 7 c i G H E j s + I j 6 V l a l S s F C f / 8 X E F 3 / C f z 1 H z + H k c g c r L M J P P Q P n 4 K L 9 5 f F a i L q B / a P Y X b Y h / N e W 9 w A W T S A B C B k U l l 2 7 F j M r F b k c X X I N c c X G t D V I J J O l p b k 4 S I x e H V z x o A k v Y q G k F 3 z J v d E 0 L w t A a u H 0 r o C 8 x m Q U m B G 9 r l g g f 5 H z S Z 2 p V G 1 s Q z C H A X d 2 S y k p r B o q R x U M c M p P i 5 / F + f Y G r i / 7 w C + G X s W N 2 1 9 A 1 q d 5 l A 8 H 7 Y a J e n w 0 9 m X P M F y y A r n + s 1 e t S Z s q a K V 4 e M m J v H M w B / x w R P P U c U G 8 P h Z 7 + V D + k l L p d c J Z 8 d J A y n l R j j 4 E l s i c 5 p R S X 8 u j S i f t d b R y y e p 8 i y 0 V i T p Q L 0 l o V v z Y b a 3 j u 2 R v j D 9 p s L P H Z L A b W a o + G E v P J 5 m q s J J u D f Q / l 6 5 / x T S d M 6 c 9 t I I i 8 w i B Z z d s K Y j s C Y G 4 Z x 9 A s m u N 9 I M 0 u Z 9 L N k o j z 0 M Z 0 a r I S D a P + P Z g q x v G w q e e p 5 X D K m L p J Y q n e I f y B y W r / / L i P W 8 n z d x 4 9 L b t W R W T M e X t J S B x 3 / 1 D J q 6 6 7 D 5 Y l K h j o m w F W 2 y b T 4 Z a u F / g a H M W I z 7 U e u N k u l d a j c H M 0 Q 7 y m Z z Y k 4 v H M + i a Y d O w F J z U N K E K N X N i x s r Q Q r S L N L N q N 9 C U 6 v C u E z O T s E d j C n G X Q s k 8 B S n 9 a G E A H + V 1 b X Y d T d / G d k m D + 5 + 6 c d g s x X X E Y l Z X C 0 U b s B j D d J Z D 8 E n + a A k n m Q u h z e f / B W a k i 3 4 9 j m v I a N U j q w 9 s u d j + N i R O K x 1 b j z 2 C m 1 x q R n F 1 b b / c 8 j 0 g M d V p I l y y E 4 h s r m B G V p W j w S 7 S O d s h 1 r Z o D S s 9 L U I M t l R R h t z q / C 6 v H J j z X B v j 6 C w v g + u j R w Y i 3 Z 8 t Z f d n i z 5 7 K D P I B l q c Z V I S n + j 9 m w k N v 7 L E j M J C n Y / U q 2 v Q K T r o + o V 3 f B R p D t e j X z t F h K W W S p C m T 2 y t s k Q z P H u 9 y I w f o N 6 / 7 V L Z M m H h t m Y 2 U c r Y O u F D V i c L v X b R E M J k q k R 6 Y b / 1 X 8 1 X s l r s y x j J o H s e C f B k O i g V e 1 R v A S b T 2 U 5 L D F T e p w C s r J m k U W Y N V S 4 a o M D N b D U 7 G Q K S Y 2 a S / V R y / B y J B Z z m 6 r 9 E y k c p z X x V w / f i F c e / D H c k n L D Y 0 7 + t b n o W G e y c F v m T b 8 g m 9 J n y q W k t n 3 l f 7 V k S 7 e t A V 7 X e j U t I k T 5 k l 9 d j 4 f n T 2 J 3 l p K g C j M J X n T W J 2 C z x / D S p m I 1 X T P E l B Z f 2 f y S L B J v h u 5 D N q 7 e r + X l p C 8 l 0 7 4 5 m W 8 V U q j 0 4 v X K j x V c Z C Y p Q S A m o x q z V v r L v W p q R / 4 q Z p L t g w h r I W N B P m G H p W P 1 z P K 0 V I s k 4 v q W M O X w U S 3 6 v d v R 4 N o I X 4 W J 2 0 h 6 e W h d U K I J 9 c l k M 6 T 8 r l Y X n K A Z c s T y J r i m 7 s E L W j b T S i S B N H n x m p s / j l T S c D 4 t a O j d g I D N l I 5 E 1 O n z U D E K C 7 H 5 T / c l K D 8 m S z z U d x z k m m o 1 C 6 l B k 8 k 8 a j f R n D A / a z k 4 M B Z T u o + Y u b k U z Q 8 9 O C R b n d Z u z m P h V B b h f i e m + g p Y T E i A R T I y w k i T 6 M v b V / 4 S p l F P Q g b K 0 y S 3 j I Y R p r a X Y + J j / P b 1 / 4 r f v e L 9 S K m 5 r D z c W a k L r / 3 W Z a e W I G H K b 4 1 j 9 c 7 1 6 m V h 2 4 W x S o h R M B z G h S D B m Y + X v Q o O P / a + 8 G y 8 / 6 y / r v i 9 X T S A f j / j J Y j K p L I p B O / R 1 7 u V w 8 N n l m k O n 2 c r 6 m V v K 3 c P i X l 5 l S S 1 o t s j P n 8 F S O C p v E q U G f o U i d V C 6 W / 1 G H 5 M E R m p 8 1 Y G p 1 5 r 3 C t F E k n k 5 X C v M G E r C K y U D C t Q k Z 9 S S P T k m W d 3 4 3 v f / x F u u / 1 3 i E T j + M M f 7 s O T E 9 2 4 4 4 6 7 8 O / u l y I S i W B q f h Z v + u l n q H 2 y + O L 1 X 8 E X f x F G Z I s f n / 5 Z c f m 2 l H N + v p A d A W / 5 4 f 0 I 0 X w 7 + P Q U I l M u P H r f M T z 5 0 A A c 2 W b c / P 3 7 c P j Q S Y y O T + G H N / 0 M X 7 j + y 2 Q O O 7 7 2 j W 9 h z 8 l 9 C N Q 4 M R v X + t S o f F Q O Y X e R D w Z E K 9 s o H S N p Y y y 0 9 t d 2 z y K 4 I Q 9 7 9 w i y T j t y C 9 r i S z E L B Y v x I G Z i s p 1 N 8 X m 9 Z I z J v f 0 I j W W R n c h i 9 t A Y b j 7 7 7 f h y 9 i w M P 3 6 I T p o V y Z E 4 Z v e P k I a L 7 U u Y J l k l e C F + m p i V Q q A i O M 2 Y n i l N y B 0 M T d K f y + E b F x U t i W q w Z m J q x U A l B B 3 U E J W 7 r A S J C s J Y k B C B U R a V l L r o C j I / q m P F Z G 1 B F S 0 7 E t G 3 x K G W s i S e + 3 R h v O U q 7 c D / A A 0 i n c 1 F 2 / + X I P S 1 U l / a Q k d x + U M / h m x 0 J r 7 U z S / 4 P N b t 8 u H X j 1 l x b C S J H M 2 8 G z f 8 O w r P T W P q P d r e T 6 n 4 c U q 3 l f 2 B 5 w M h M M k Z V D x B z l j o j 6 J u Q 2 m K 0 5 I f V w b z c 4 p J M z g 0 h H W 9 F a R l c o C S S 1 v X I 8 V H k j R F f G S W 8 H w D k j U F + F y a F B 2 n u S v 5 l f V e G Z P V e p G 0 Q g Z Z R n Q r o N b R i h / d d B s 2 b t y A d e u 7 M T E 2 j Y O H D u L q q 1 6 K B x 7 8 E 1 7 / + t f i u e c O 4 M E H H 8 L n P v t p f P m / v o q O j g 6 0 N D d j e n o a j Q 0 N e N n L r t S v R v o + / h 2 k t 7 x H / 1 Q K i Z H K p g t a x y 4 H W w 4 a q v q n 6 m h w l w q A J a i k A 7 o a Y m 6 X J Q S v B c O R J 5 H J t m F D b T c Z a j 8 Z q n l 1 h p K t Z c T k E E i C p F T d F C d V n F V B u b R a K 6 T y p m R E S J S q k j 0 k V V G l k O O d v 7 s H Z 5 9 9 t l p u L z u a 9 / X 3 4 + K L L 8 J v H 8 9 j N m z H j Y u f g M d S Q B c 1 2 h / f 8 Q 2 l Q S X c v j i x D 6 8 8 8 h U + d Q i j H 7 4 d d n 6 f S x z H 4 g p 5 W c 8 H E i 6 u 1 c t X h c f j C L R 6 Y F m W N 6 Q R d i R p R a C K t p y f X 0 B 9 v R Y e z 2 Q y K n K 0 D P S h a L D x r 1 U t t 7 D T d 8 p a a b a P B F D o K k r c M E 3 g o L t 6 J F E g 7 G 8 E M r w 0 j V L U Q j J 9 k q k Q P p Z z r R Y X n 1 N b h G i l B s 6 K C U k a E A 0 u g i C b 4 3 u 7 m I t y V b o T 1 J K q H 2 R s Z Y w J E T o C O c e A L J t p m P w F k j 1 / q x 8 p x V z q l N Z 9 Z U h l 0 4 j R 5 5 N E 1 1 r 3 y g J d G E r u f e t v b s d f k + G l T X / 5 y x O 4 7 A L 6 f f R l 8 2 Q s q y x z l y g k B Z W q 4 i U p b H w + S Z r V q h u X j 2 k p r H P + s / W 3 q 0 D v h P S i B w / e v Y f a r Q Z P P H S C Z t C D e P z + k x g Z W 3 t y o h m q v o P 4 C P r 1 y y H M J C s 7 e 8 9 + B V K p N L Z u 2 w a X 2 4 0 X X / E i 2 t Z W 7 D 2 R x 9 B k C p 2 Z 8 9 D Q 6 O T A a J E p 2 f 1 i U 3 M G 1 l P s E F m / 0 O b H p i / J o j c S v 2 c L z V Y t E D B 4 J I q Z E d 4 / 7 U E i R L N n 0 Y F 8 j I I i V k v C W Y / p 4 R Q W J v J I k m m T I S e S E Z 4 T s v P e X j r E X t i y N R y E A A J 6 U u f A a B 7 B N n 6 n M 1 O Y 5 m g o H E E i Q c I T h 5 c w S q G Z E Y 9 r 3 x n M J D C Y a S F a G k W V q G A y e U o x k / g H O V 0 4 K G Y a K g Z F s u W / q w C D m Q R x m k Y i 2 C o x k w H z F j S y 0 Z t k W s j c m 8 E c d m p + 4 / 3 s i Z C i v 7 E x + s 7 6 s U g k x m d N I B E v 9 X e c 1 j S m U C z N V Q 6 3 v k D x F Y d + o l 4 G J A f Q w d d q z C S Q d s l L + v W P 9 z + E h / 7 0 C M 3 i H H 7 8 y w f w 6 F 8 e p 1 t x C 6 x e C k X R U r K 2 T S b n J S t f q k N J Y E I e R r R Z J V 8 t o 0 2 + W / o m n i h 4 o q N o T u 3 D U M M r 1 c F y z M / E U N 9 k m p R j N w r 9 + w p 2 u P T C k c r U 0 T u t E k Q T C Y 1 J X T k 5 L Z 4 R b V f g A 1 n o W 8 n S i N I J Z D P G Q j Y c P b K I u r F 5 O L w c x F Y y 1 o 5 N a q d u D X J f C y 6 9 9 X 1 8 W E r q + Q T + 8 i / f U 9 / s u 2 0 c s Q s 8 e N 3 9 7 8 Z L y E i 3 v P r 1 K P i 2 U 7 T R 3 n c 1 4 7 n 9 h x G N h u H 2 2 r D 1 z F 4 s z i X h q U u j 7 9 A s m l o a M D Q 4 j o b 6 B h J 6 D e x s 4 o l j g 2 h q b q D J 0 o h k O o X 6 R h / 6 j k 2 g Y 5 M b N b Y e z E x n 4 K / z 0 I e x Y l 1 D G e N I d E 6 f + K y q f Q h j D Z T 4 W j J v J l M G s l Q j N D N A S S r P X I A r 4 K O Z k U R 4 J o e m j h p E Z + b o b G j 3 y 5 6 s h a U m C U e A T O q h l q g i V Y U Z x b 8 w Q + Z 5 J M N F U P 5 9 P Q W C x b d T / 7 Q 6 w n 0 W + n o a T e S o u V Y s W a f D M f 8 0 M v U v 0 D + V 4 t I f v A e 5 V m 3 M f / / S y u b h S q h 1 r m O / l r U h P c M + b W Q P V e 6 j i q A C U E s 2 h E F F g + l L Y Q S K o S Y W m 9 F W O 4 3 e + d 9 h y n 4 2 E s E u O J P z a F h 4 F l N N l 5 N G P f B G R + C N j S D e / h p E F 1 P 4 6 c 9 + g c 6 O T j q i M 2 o N l F K h q 2 D Z k g N C C o p E C 8 3 w O Z d L b c H B B 4 4 j 2 F G H k / b u p Y q t 5 s H x T 3 4 H 0 V a t c w / P D e G d D 9 2 g f K n f v f n b q P E 7 c O y R k 9 h + C b W R a e 2 T J X o E B f 8 Z + i c K D N r n Y q f / T 5 B L 2 2 m O L m J z 9 w 7 I 3 r A V F a 5 s n C A R p j L I Z g H t v g Q Z t r p Q E b M j l p f N x G S P V 5 o g N L 9 T l J b u j B 9 5 0 X h J G 1 L O 0 r L A A t v I B u S 6 + v R P q 8 M w A d 2 W W t g L X v Z 1 / x J T B c n A E b s X 9 S 5 j Y e L K y K S z c J T X F S i D p H v J + j U j u u s Z / w X m G t + k M m N E A E t g O U H h K w G L v / n V Z z B i D + P 2 a 9 9 J E 3 t 1 n 0 m g r V H T m D p g 7 Y a z Q h / L 2 M t y j t O B J T W u a T C B a C d 9 6 k M x l H q 3 B l g 5 k P b k A q 2 j R t S 5 u / n Z i c N H j 2 I 7 z b D V s H w 9 T i m M y q e y x X 4 d O 2 9 8 h q b W 0 X 6 c c d k 2 z M V t q j j k h b 0 p 1 c m i C Q 0 7 3 B o f Q 1 5 2 Y N d x 2 a / / V f 3 9 y x u 0 p N k s B 1 U 6 1 F a m D W Q g j 0 6 F 0 V Z H z a c X s D d j I a 1 V y v W n w 7 j 8 m B b M + P 2 O t 6 i / 5 X C M b k W m 8 5 j 2 3 u q F 2 9 q h M h 0 6 a s T T k X V m 1 C z 8 F 8 j 5 4 P R q p q G R I S 7 r o 0 Q b r S w f 8 / Q h t F J V g m Q i A 7 e n s n a r h H x / A y y S c 6 n f p J J m M u D O p 5 D U Q 9 G 5 v J V t 0 w S N J 0 s z z V R x t c 7 Z y 7 G o z i x S H z / Q Z r Z q y k B a M h a W r l V 7 G Z i j u V s O I e I E z f Y 8 / U q r R e Y u J T G h l L R z 0 V o 0 N 5 Z m s S j I 1 k j O 0 1 i N b b I 0 S i D L N 0 6 H o Q S 9 c 7 / D Y M N 1 z z s I s Q z K f y o O j I R + D 9 0 9 j 5 2 v r v D g h D C T S C w h R l v 4 B H J B f X m I j o V w Q i 2 9 N 5 C n p s 2 Q k F 2 y 7 0 o Z o j T Z / M 6 V n f Z L 9 2 g 7 R / B k P P b C z y N v y W B B 3 6 I n O + d F f G E G w Y 0 a 4 Z i l o S B O y S W r n Q W h e B C N h U V k f E V J K J J + d c l Y U B O 3 5 R j s m 0 H v h u V z f Q Y y d N Q d S y a x B s t A J w r r T H v K r h E S c o 9 X K V 9 c j Q 4 W 6 d v W b q 7 8 b I X 0 F C w V l u 0 b s E 3 9 E d m W K x H O T K j g l 0 w q C 3 K S S H p a 1 F q K y G I a v a 1 n 8 J o U x C t L s B U g D a j + 4 4 p P n I x n E I s s n x O a H k p j u P E 1 6 F 7 8 I 5 8 u h f 6 B Y f o + q x H E a t A a N z s 8 i + d u l 3 S g Q k V m O j m u T 6 p R z B p r f 9 y x B 9 V f M 2 o D 9 F + i N i R p R l y 6 5 z N 4 5 a + + D L u x V 6 8 J D z 7 0 M E b 6 B 1 X 7 5 W U j 8 V k p J e W 9 / B V I Y U h M x j H 6 1 D E K H / o P d h s d c I l m 0 T A a a I e 9 I b 7 E T I K c q S C k T D 5 m x Z Q h U m k H 0 h k X X E 6 t T 7 M 5 7 f o q F L w K y p k p n t M m J F d i J k G + b I N t g T B T f r x 0 w e d M p J 5 m V X V T 0 5 v T m K l a W F p F 3 8 o g Q q / q B v + J g R J m y m S L K U V q / y h e z x L r Z 9 8 M s P 8 k g i i F d 9 I a M w l W Y Q Q J W P x u 7 o j + q R T G D o v P n 5 l k A 4 Q + j E W K a W s h W m x m q F 6 a H g / T 3 i 2 a Y 2 6 v A 7 6 A C + m S H c Y s d L g X 8 I s f 3 o + b H m 2 H d + I m V R V W m O p H P 7 4 Z X / z S V / D 0 M 3 v 1 c y s j m V l U 6 j q b K X b i q d 2 D O P H E I B q 7 G 7 H r t V 1 L x F y O j W 2 a i W L u i 6 T 3 C v 2 d h p n F J F L 0 M S T F 6 N / 2 / 5 R e c Q Z z s c V i 3 X Q T t m 7 b i v m F E P b u 3 Y 8 f / + R m P P a X J 3 H H n b + D 3 e 7 C 7 + + 5 T 5 0 j o V h L J g 9 n w A t P J I t Q K I p f 3 v p b f k O b e 9 3 y r V O M l a 0 y + B F R / 3 p r F + O 1 a K q Z Q V K i G o T d V u x r I a B Q p r L W y M S P I Z Y q 1 Q x e v b y a g U Q 8 D d k R J a d y y 4 q Y m y 3 m 4 Z l h b Q 8 h N 1 x 0 o p s C 8 1 o G B C H Z 2 0 L E B h w U C H F 9 5 f N y 9 i w i z P b H T N k z o f 4 M r b k K D E g h A 0 + p e e 3 Q + 0 Q g S + g F U x 0 v R d P Y n 9 V 7 g W j 6 t a L L V Y v v D T 2 B L w 0 / r B 8 p w m 9 K f 3 s + S G d C 7 A c L M h z f Q T K W v B Z S p W 1 b M v k W Y g H U + U y z x i Y / R T A T r s f 6 m j h c k E R A 3 d 6 k L e m f + G / E / d f w S m k U P D 0 q T 6 8 S z H a v M c F 2 4 L 4 T 2 H H 1 J l E 6 x O p i 4 0 + H U 3 j x 9 q K J 5 h / 5 F q J d 7 1 P v T 4 2 E s L G r R m 1 r Y w Q v L r 3 z w 0 h Q z X / t s r f g R R u 0 6 Y F 0 O o 3 x y W n 0 d n d S d U w C r u L s e D o t k T e 7 m j t x 0 H m 9 7 b Y 7 8 F e v f w 1 S M U r J i A V P H 3 k M X Z 1 d W L + x A 7 f / 9 m 6 8 6 J o d + i + X I 5 W L q O L 7 p w v D h E r E h q k Z i o K n G n L J F G x u F 6 L Z S f h s z c o 8 k u p E k 8 N x d P Z W J y D r c C / y 3 d q 6 s U o w R / v W A r P 5 G p u S X f 8 r T J A K s 1 b J Z j B g 1 n i t 0 3 / C y V o t e O S n V l u K x K 3 E 3 Y R 8 / U p q q l c 3 n o F / b L 1 A O 0 g E 7 b 1 q j q w S L N S c 5 g K o / M C X F q J R a U W m L I l M Y h h j e h U v s V a 6 g l 0 U p p p P t d R j Z m Y S G M y U T m h a q j k 4 C 6 d k 3 J r r Z t M x i 7 a / H / n g J u Q D 2 0 u Y y Z K t L C E N 7 P n N M H a + T O o y y H 1 W Z y a B M N O x K W 2 P J Y H F l F s l z C R Q z C R O I 3 H r S z + K d f b a J W Y S S J R H M Z O A z G Q O 9 U s F I i P 8 n 6 L G n l 9 Y Q P + J Y Q y N D O L O B 2 / D h S + 4 E P s P H E C U m i 8 a 1 e a N q q E a M 0 W S y x 3 1 l K l P h a D E F A z T s T Y 1 r S o c s u k B I b v F y / a W e T 6 7 F E x Z z R Q X Z n K M l v q f Z r h N i / L S s q V R B a i c O n n J e x S 1 b j Z S W a h W Y i Z z / 4 v P Z M Z k 8 4 u x d W a P e h + V I i h r h F D T 7 8 9 8 S w k z C Z Y x k 5 i R v G 5 4 U V Z X t 6 m J W 6 m D r 7 1 a N M U h 5 m l Z y p H D 0 4 1 e 2 r T y W l e 7 D n a p U q u n z a 0 p K O H P Z W F 3 b + Z A y S D J 6 a s z g G P 6 U d j y C 0 i 2 v k p 9 F g 2 l M i v y O Y z e 5 8 V Z r y l O Q J 4 u / v L 4 b l x 6 y X l w z u 5 G p v E 8 j I e t u P T w B / D g 1 g 9 h f Z D m D M 0 U 0 T I 5 m p b O w g Q K e q q O G U P 9 x 1 R b 1 m 0 s T a A 1 w + x Y D w x K K l A x 5 C 2 2 v R Y J P D 2 k 0 k 7 6 U q W a R 3 b I c + n J l U b W w 9 h c G z o a T q c U t k C I 2 6 q e X X I g B c I M O a R V i S 8 t I F 4 6 d v b R L c h 2 H t c / F e H P x R G t k I Y T T U 9 T W 1 S O i B n a N R l O w h 0 s Y x 7 Z l F z f R 1 l Q b g F p v m J l U o y T 6 H 3 2 B h T M 6 5 / W I G z K Y V h G l u Q o a U I X q g p r o 2 m B h W Z 4 w V t h A l q P W l Y W Y 6 b G 1 l q 8 c P E C w k w q j U S X / g a G Y 4 / r 7 0 q R a b 5 c M Z N r / H d w z D y q M p L 7 f p d H 8 9 j D u O S 8 X 9 N U / J Z + p u D 0 e u c y M t M 1 T 3 0 P f z + t S a + X H f 0 o n f U U L r 7 x 3 Y q Z B k n 8 O T q 7 h x 4 6 x Y 7 T 8 u G s U a 3 i 7 M j g K c R j C T S 1 9 C C X T m F U L 5 M s p C g D n J q b J y N l c P z 4 A O r W R z A 6 d B y p V A r r 1 5 X m 1 U n I u N 6 0 Q / 1 a 4 M 1 l l j G T w G A m M R + E m Q T V m C n o b U d 4 V j R g L a y 5 I M e F D M r f j / c l 6 Y P U Y M 9 f h u i j F U O 6 8 k y y M E + 0 i e T + m T W J I N t x n E p m O T E t Z 6 a C W i 0 g c z b V V g 0 I s q n c c m a S 3 j U x k 8 C s m Q Q N p o I 3 5 f B S S 3 R F / q R / + h 9 A a V q K l R J m I n Q t a 1 g 2 F S E V r C h E C 5 5 N / C u L E K f V + c K c C v o U Q I m G S o f p g A e L P N a g C K b o 0 K d j E 3 D 6 S s t S x T I z S 0 s 1 c p k c h g 7 2 I T r u V h 3 r 8 F p 4 v T x 8 t R 6 0 t P N z X W k u l H v i N 0 i 2 v U 7 / V D x u o / 9 g T x 6 H I 3 Y U y c B l y N a d D W v 4 E M L h f X j Z 2 B G s G / P h a H s e 8 f F B b E v 3 4 L e v f R c u / c N X c G q w H + P v + z X 9 C p p Q N i f 2 3 T m G c 1 7 b q y Z a h R B i 0 R T s V P u p W B L h u R l 0 b 1 6 P n 9 3 y a 7 S 2 t i I Y D K C 7 u w v Z b B 4 b G t K I 2 T p w 6 M g R n H 3 2 L t x + + x 1 Y W A j h H W 9 7 k 9 Z A G R i D C X h d K c G m b G 0 d s 5 F 6 N N L Z N 8 P Q P N X g y q W R M q 2 c r Q a f r Q k P / / k Z E m S W J o w b Q 8 N D e P N b / w 5 H D p 7 A + M Q Y M r T t L 7 l q G 2 l E J x J C 2 i j 9 q / Z 6 k l S h M h P G O b 4 N 6 f a j + q c i j I R Z m U B W m z u b I F q q P O Q v 2 i 9 Y 6 K E 1 U 3 z O Q n o W F i O z W 0 c 4 H F H 9 v R y V p w g M 1 C / s w z x p Q e H 0 Z L C C t 9 A G j 6 f a 3 J h c 0 K B B K g 6 l x S p v n F A N E S n C 8 8 y t f Y V s K k H t Y 4 W 1 b g p 1 2 + x w B m x o c F I i m + a H / u 1 7 i / i b q x p w Z C C J U y M J v L H n G B m Q P k i W n e p K o e f c e t S 2 1 K i F c K e H A p x z j y B L 5 s 3 Q j r U 5 K h P V 0 P A o L h z 6 E m R r z I 3 H 6 O c 0 e X A q N g n b c A T j / 3 4 n f n d 8 F t 0 1 c 9 j Z 1 A t 7 Y g K 5 q R O Y S V 4 M 2 V 3 Q S t s 9 T y m d 9 0 + g r r m Z b d Q l q E i k s g k 6 W b A m j q m x e 3 1 V y H q a M k I R T b C Y X r 4 S 2 E F m y d m 9 y k z 8 v 4 S P b Y / x P i p a p 1 d Q l S q u U q B 0 N e Q m n b C 1 V g + C J L O L c N h 8 J M o 6 z G Z P I S A 1 8 Z c r N t j G u l G 7 X s o l k A H Z t 9 Y V q s i a U S n 8 L q h o p m a i a J l 7 F G M t 1 + h H 1 g Z P K A x v i 7 b z i P K V 5 Y 2 u K V W R T Q o a a 2 4 R e Z r H A o k 4 5 3 O l G r 0 S p E a 7 F O C x Z M K w f e X 7 n / x 0 0 2 Y f m r f Q t M u 2 o q G j H p E R S t M c j Y N M H h l q m v B 0 C A + T i J 8 5 E s P I V B p f f 3 c t m t Z 1 o H V r D d r O C K J t S z 0 8 g U r Z 1 W s A b f W s d x M m F 9 O q t L M 6 x I e I x + J w 0 u G + / u D t + N W J R / D y d e f j 7 o V D C O 3 p R 5 y + U U 3 c h h 4 K 2 n N a z s T L W u t w Z m s z 2 m r a 2 F F 2 D K a O Y u h w H T r P 7 V F F I 1 3 B B X i b S A y B G r b R p C V E T Y u z a 6 o i m 5 h 7 D C G H h c T j U W W 2 p G 5 d + Y A q G C a R Z C f r z r a Y g Z J 0 m 8 w V 5 y b k m D P X i Y y 1 d P W w G T L X k 9 G j R P 8 T y D V E 0 8 l 2 O B K C F k 3 k 1 L c n M k M i g k a I 2 o D d E 0 d + o B H W S C O y l j g f q a j h B H Y + o / j A O U u a 5 i Z / u 6 x L J N M 8 D f t i C 9 w N 7 D E y U n n R y 4 m J S Q Q C y w M W 1 b R S J p 9 A l s 6 + v b x Q E D W 5 N z 6 K m K + y y R 2 J J O B y F f t z b i Y K r 4 8 C I x O j h a W Z n p / / 4 n 9 h b n 4 B P b 3 r 4 H C 6 8 L V v / D c u v u g F O N 4 / g Z O n + v G H e + / H e e e f h 5 t / / i s y l l 1 l p Z + x r b R q s O S n i v 7 Q F 2 H A O / L D 0 s 0 C U p E M 7 M 4 E b C 6 N s I v g K V T / h 6 e c 2 K 4 2 R + P n s s 4 6 b b C j J m d C a G 1 Z O e X j w q f / k 3 c r I P z w S T g 6 a p F M J D A 3 O Y N g 0 o 6 b X / L v 6 N n c i 6 b a B L 5 9 4 9 1 o p v a R j Q l u v + M u b C q 8 E N t e q R G 9 J T m 4 5 E s t g z C U P t H o H P w B J t q 0 u a 0 C T T Q p O u 8 r q y 8 g l F R u 7 x d k s l I S J E U r i P m r a / a o 7 K p u I U F L X 5 E g p S 7 C L 3 9 5 G 3 b u 2 o b O j b W q T 0 l 1 u O t X j + F V b 7 y U n + V J J Y e t u C y m M m j E U d t V K i w p a U U z h U V 1 D S / N w 2 q Q g p B Z 2 a R a l 8 a C m r m 9 y N Z s x R T C 8 N t p f d C E y Q 7 W w h 9 o R y w + g q N z R 3 H J Z e c j m p q i U S T 5 b x b Y c z X I 2 6 O q v W J a z g 5 k s X 5 j t 9 p o 4 J Z f 3 Y a G h n q 8 / G V X K p 9 J C D 1 Y 4 1 s m 9 a t p p 2 R 2 Q R m r X l P y q R m u 2 B R S 3 t K M i 6 m J E F r a S i e v y 2 E E J y S a G n S 2 q 8 n 6 q p D A S Z m / V x E c S 2 t y p n S z A L v L h s W h N D z 1 p n Q c C S 0 K g d A M a v Y L I 7 E b V X H 0 5 Z J m z a C p J W V s f V 4 v L 7 e y V v v F / g d I m R l 4 s z b U 5 1 y w 1 / r R X O + D / + J e p F s 9 u C D Y h s 7 Q / b j w 2 v f h r J 3 b 0 T 8 4 h I s u v A D z c 0 N o 6 N R N n Z W K b A p R W 1 0 I z H w X o 4 3 F B W 8 y n 1 N J u o v U l Y i Z G R Y H P 4 u J K K H y p X k M M i h / H 4 7 t x 1 R u D D X O L k X k U i d v f G w a y Y g F / S e m s H P r e b j / g Y e w Z f 1 O j A z M 4 6 H 7 n s Y l F 1 2 O p G x A V w F G M X 6 z 9 E / k 5 p D K h 5 W P J O M i O w X K 5 g 4 r I Z 6 b I b H m S j R V y t u G t s X 7 M e N q V 8 f l F r a G J H K B G V j r U / C 7 m n D r L + / E o X 0 D W J h J 4 7 m n T u L s n R f g 1 l / c T Z + x G 0 8 + e h B b N m 7 B v g O H U V t f h 8 P 0 Q c / Z d Q 4 e / N O f 8 a c / P 4 K + v j 7 s 2 H E m 2 6 7 f U I e U D q s E 0 b B S 3 V Z p x A q o i R x D w l M a L f Y H V j H V i U R 2 X k 1 r C O 3 N p o 7 r d U C E c T Q B 9 3 z g G / o u 0 k 0 v h u W e e 3 5 f S F D q x 2 I x b N q 0 E Z s 7 a J 7 Q c b / 9 z j u p n g N K m s h a n b / 7 u 7 / h / Z Z L T S k Q W S m 5 t C q o m W L J n G K m t e L S 2 z / M j g X c V N 2 P / c v 3 K F 0 z e N G + 6 4 G + R X z p w j f i C k 8 M m a Z i 1 s T I k V F 0 b O m g q i b z U w N V 2 u 7 F D P v U o 8 i 2 X F 5 V U p r x v 5 b D W I a 1 3 F s g Y X C n v t O D Q J j I K q E G a s A M B Z 3 d 3 k i a O F 0 / t h T N U / d h u u V l + q f T Q y 5 k h 6 0 m u 9 R P 0 4 m j a H R v o j A p m t o z / Q t w e 9 1 q E a a B t T 5 / C S j f 6 x a e Q 9 L V j I R p W 8 / y k L z A S c W Q r r B E S M o y L A k V U 9 b 4 a p D S c O Y y 2 Y 7 x B 5 B p f y l s l 1 x y 8 a e v f M m L 1 Z J k k X o N L Y 0 Y G 5 / A Z Z d c B I / H i 5 r a o D J R v K 7 S y J C B c m m 9 G q I x S j r f y t K z H B c 3 X I v t f M 4 3 n f M i 3 s 8 F j 8 O H m 3 b / T m m D e 3 c / g X / a e R 7 y 3 m K t 6 q E n 4 m j d p k e R 1 q B J 3 Q v 3 I k R 7 X K q J r g Z j Y e L A n B V 1 X p M p I A G H 5 0 P I U k a M A 1 1 N S p d D w u R m i N k n G k o W P L q s X k S o e W T 7 z k r a d a 2 I + T f C F Z 1 B z l Q o 1 I C E 3 1 e y K m p s X Q h 4 i 6 a m + E e 1 + p o 5 A 7 4 6 D 1 x + B 0 4 d G o H X 6 U H M N v n 8 A j Z s R t L d i q w j g P a Z P y L m 7 o b U h 5 f 2 p V J 0 X + y 0 J n I p 5 O g 3 l 2 9 t Y 0 A 2 m R O N J a u V 4 Z R 2 r 6 6 h U t Q r X p O 1 7 R r 4 J d L t L 6 S y y M D 6 d 3 / z B h K 4 B + 1 t L V j X 2 4 n o R B y 9 P Z 1 s F N D T 3 Y G N G 3 r R W K t 1 k E V W K 1 a Z N V 8 L 8 v k C / P 6 1 D 7 Q U 8 R f z 1 e 0 6 h r O a e h F 0 e R F 0 a + b b P S / 7 L N t S o B O + i G z 9 h W q O z E D e r p l L l v j a i v 9 b X R Y S 5 e r V R w U i S e V V v n h Q z U u s A c t 2 7 S P D r 1 R z T o 9 F V Y X 4 M e L v i A k n 8 T D l + y j P 4 3 8 G G 5 m y E m S a R L I x K o J N t Z Q V 4 u z 2 X 6 i / W 4 6 N Z 3 Y h 5 w 8 h P 0 g / d e X H X B X j T V e r Y E U g G c W e R 0 + g 1 u l V g a W 8 q 4 E a P Y i f / + C P c N s D a s 7 u z l 8 + R u H T A L c j S L N 1 B A 6 7 h z 0 n f b Y 6 M w n o G R V B A s 3 7 1 2 t u B a + / b A f D V C w D l 6 k 4 f X Q x C m / Q i 2 y W T r D V C p V n a l L f a w a d f K k g u 1 Y k c x Y 6 z M W m z c d n E M 6 E a e 8 G U U 8 J 6 J 6 8 D a m W 1 9 A X K 5 U 8 y W h K 1 b 5 w u N c e N Q v M f w + D v p f q n 9 a G c t N v + e x 7 Z U S T J H q 3 8 V z y 1 4 J J M r 7 D t s K k Y g V E 4 t 5 l W + 5 o m W c W l a j q s y 8 P S E h 0 z 2 t r W A p m a G d X J 6 J 1 2 Y c w Y H + J / m l 1 F C g s G n 3 V J 2 g F 5 e Z Y I j + v k l 8 l B p M f q Y O t d 2 X B 1 n 9 s C u u 3 m k x 4 M / W G F m E N t N G r 8 O H A g d 1 0 Y X a o + v j i z l x 6 2 Q V 4 + O E n V b Z L T U 0 t R o a H M D 0 z p 6 Z V 2 t t b 0 N 3 V g f q 6 t Z l 7 S 6 C 2 D o b + H 8 K 1 7 9 Y P c A z K G U r W I 1 W b S x o Y G M K 6 d Z J + o x H C W m F J D p / 2 J J n a m G w F C 8 o a H a J k 6 F E a z G y B H L j 3 B H a + v H q O W i X 4 p 7 6 F o V p t T k O L n q 3 O + M t 9 q W K f a N k I Q q r y A K V 9 l S / w q E W + 1 x 5 O q q I O z d N k q V m b h j N Q v v Z q L R C G M k O i g K m 8 t p G e G X K e a D q B O z a B Z N l k f j U U U j Y 0 B k 8 v e 0 R g 9 p + s w + u R 7 1 5 5 W c v M R A R N b Q G E F i Q 8 b k N 4 Y h H N 6 8 3 R W K 3 P A 6 E B x A K d y K 8 w J e F x 1 C E h W R B E 1 a p I Z b D K 6 v X o X Y i 2 k J H E z F f m v k Y z y 0 g 2 N F h d U t b W G t E y j U A S 8 Q T 6 + g c x O j K m P l e C h Y 2 V X e Z P B 3 t H H S s y k y 1 y U j G T Q N W x y 6 d o c k 1 i K N w H S 1 7 3 n U 4 D l n R m z c u 6 l 0 A n V + Z J Z K d 3 z Q z s U 3 / D i W N q L Y 9 W 9 k r E b q l f J k v + p d t l C c B 0 Y g C Z X G J N z C S T t m a c L j O Z I U E M Y R i J O p Z v 3 y n M 5 L I W p 0 1 s 2 S i Z V 8 y h 1 e 8 n m 4 q v B U N D l c t g Z 2 n 6 C j P l Z l w r 3 k 6 Y a X R g D j X 0 x d x e Z x k z 0 c r S d 6 e P 1 K y j B W O F L z y g P g t k S Y o Z B j M F l r N C E f y N e + w 2 B C a + C d v i I d J e l 1 Z 2 w f C Z h Z n 0 3 f + X a a j Q K Q t q N l Z 7 m g L C 4 R j V p F U F L M o h 6 l w m Z R 2 F E N S e S R W i K q t B N o 3 e 2 r y y + e M f u Q H R r v d r H / Q l A Z P R M f o n S X g W / G h Z t 3 J U r x z + o S 8 j 2 v N R 9 V 4 c f D G J h K i E Q f y 5 j H J q x W + Q z b t O Z 0 m D j + 1 x + 8 7 U / E 6 b T + 2 U K C U W z B L 5 d O D P x B F 1 e F f U T q e 7 7 M I M M Q H V A k a O o x Q z N c z B w M I x R O q q V y Q y k F 9 0 o q m l 1 B I x C s 6 s h v I + y c + 5 Y K m n o F y B R 2 0 U S o v Z e U X X s l G B A Z k T E 2 F R R A H d o f s x 4 t p B S 0 m 0 7 f K L V t N O w k S R t g / o n 1 Y B m X P Z o w o z h f u q m T w W B I P + i s w k s B R S 9 L G s U J t B P w 9 m e n r I u S o z C T R m K k B V Y J X o D J G W + b J B x 2 k z k 0 B t n K 3 D Q x 9 D S W h K Z j H r o j Y H E h I 1 4 v M I o U r N u r U i Z t e u K 8 X l B e H w z P N m J o E w k 5 v P u Z J 2 k v C w A U m G P R 0 I A 3 m t 9 W o y 2 2 A m g d V 0 z Z W g 0 t D K U I 2 Z j C q 3 B s p N a G t D C o U o N a i U g K s A B 8 c n x z G R s L e Z m Q R m Z t I C P h Y M 1 1 x N Z m p H 6 + h D 2 h c m q N r u Z f B P 3 A j f 4 A 1 r Z y Y B z c e K j x v c k M X 8 s R Q W B 6 K I D b q x e K K A h Z N p h I b l x u y I Z S F O O p r J G Z p O V H v P U z o O z t n x g p 7 V B 8 4 + Z W S 3 a y W 2 4 K i F J d 6 H b t r u 0 2 z z 8 0 H B Y g q t 6 0 X f Z a v R S s Q v + Q G n i 8 n U E I Y i T 8 D l K W 6 7 u h b I J G 4 5 k i S i u n Q Y V n E e K 8 B c U 2 9 5 l s f q k A y I c o Q a d q J 3 8 R 7 9 0 w r Q N 6 I r h x S x L I f 4 6 e X R y H K z 2 x r I Y X 4 x R 4 u + 9 P e T o / P I m B e y r j A k 5 S b t T M e L l B V l h t u c l U L z L j D 8 D U T b 3 o l Y r 2 4 F n Q a q U n / 9 V h d q 1 / n h 6 0 2 i d j M 1 U 6 8 N w S 7 J o O B P j E G T z d N k 1 S u f q C D 7 Q 7 l L U / Q t q d X X 8 x y Z 0 h z G 3 r L d 0 0 s g 1 1 F 2 P J / X W 1 y F m s l r z S 9 4 t c i S T G 4 + H 4 i p W o Q x y M s J N q W W i B c X N a 4 F B Z q k r f R X a i 0 7 k T 6 N K K e g W r b D g j O I P L W m b C V k I z G Y Q + s r Z b S v B Z U 2 T B M M 1 l 4 L R 2 p x x Y V + l p x d C S H Z l d 0 M n 4 u s U 4 H / y 7 P V K 9 X Y q G l y I h r j 9 Q a 1 C O r 4 4 B x a j Q y Y 0 4 A E m 2 S e 0 U V t W x v S K l Q Z s M m S D M I 5 c Q 9 s 4 V O I d H 9 Q f X 4 + W L M 6 i Q x U m N C T r T 1 M S 8 j L o X Y g X 2 G O R T r 5 D J U b W A H p e f 5 W l x x y H V 3 z + W 3 F W g E O a x 7 J j N 4 m M o X 8 K 8 d s z I b 5 u F W 9 R F J K v Q m 5 7 2 D 4 W Q z N D 6 t z b D C t V t a 3 k 6 k 0 u G q H Q q u n 6 u 4 j l R B P n M I C a T z r q L 6 G 6 P l A J i K d d v p 3 N G 8 k + G 0 n w c g x m c i U Z R f / F 2 i K 7 V V L 0 a v B k t e Y U Z K K y 7 X r S n n T w o T y U j u p y O f p 0 t X j w X o P C r 0 j a B h 9 B l 2 W C + B K r c 0 E N U M i t 5 K z F 7 d 5 E a 4 / A x 2 z W t 0 Q B R 4 L j H 8 d 6 b Z r k K t d v S T e S r B W 2 w n C D G G k h 4 / e z 7 8 2 l X l r k e q b y o 5 f / b c Q l S s T w h W w E K v A z 2 m d W J 2 U Q i W O p Y Z Y v r Q O u x R E l F p + b B x s T o e q d y e Q D a I F j b 4 c 6 r 1 5 9 R J J K f s 0 y e D W U K P 2 1 N O B F g n v N t 1 H L 4 h Z i T k N E 0 o c 9 n K o j O h E P W a H e R 9 b C 5 y o R y F O g V N o h 7 N Q w 2 O t c K t F g T U 4 + P Q k 3 N Y 6 O C 2 V S 6 W t B e L P G Y p V 9 o W S g I m U U p b d M o T B y i G + l y s b p 9 + 5 q J z 2 5 4 P x + h f r 7 y r D U i j 2 Y 0 Z f P m L G R L i y S W j A W K 3 Q 0 B x A t s x 3 s v J Z I / X r k O v p Q 0 L 4 d q S 9 q n + 1 G s Q / H G t 8 G b z R U d g T c 3 A N / g q R d q n n u L z f T h e W i f H h w m 9 + c w f c H g + 8 H r e q G 7 5 l 8 2 Z 0 d x V z o y S F / W U v f R n G J k d V v t + t v 7 4 N l 1 9 + K T a u r 5 L B X Q n 6 + i F J e X + s 3 y X 0 j x d t L A 8 p L 6 J A n 6 g q J O S 5 w p z C 3 j t O 4 J z X a H N Q U t l T o A V I T M m + O o Y i T + L 4 0 0 n s 2 L 5 F L T A U M 1 a N J 1 + y D k Y y n c P J 0 9 M q v / 7 J n 7 F l C + / P h w u H Q j h 7 x 0 b 4 a 9 u x / 7 n n E I n G 4 P P 7 V L a 8 L E 2 R h Y 5 n n X M W a l t X D 8 K s h G A m i r C j N L 3 K l 0 s g Z q u c K m b G S v X 2 q q F 5 6 i + I u d o R q 1 0 + g W s Z 7 U K h s x g S L w 8 0 V B L B k q E S z 1 b 2 L W X B q s 2 h M W H v / N 0 Y r N d K h Y v 5 F p M w N U 3 + 2 p m z k e v S V 8 0 u l 4 E r w j G 2 B a 6 G R b h q t a m W L G i B Y D m t n A 4 s e 3 f v L q x b 3 4 O 9 e 5 / D 2 P g Y r n r p l f C Q q b S 5 h y L C f R K s 0 D 8 8 T 0 Q T B f g 9 V a S A S M 0 K G s m M w O w N i D R W c R T p y x 1 8 N I I d L 6 2 y 3 a M 8 j 9 x D G F K J 9 h w G R y b x z D P P I h G P 4 2 / e + F c Y G Z 1 U h V m O H j m K 6 6 5 7 B X L u l a N k U s h E N E W l t U z m 7 W G k X p / N k i c B x 0 n A a 0 8 K X g 0 r V Y A 9 H X i y v I 4 e k V w b C q i b 2 Y O F s h 0 H 7 S O b k O 0 6 q X 8 S h h K C q T L e J s y n + n j F y t w g 6 W o B E l + s h t c q d z l 0 p C b c C B b W I 9 V W u R 7 f M v B W j r H N C G 6 U Q j g F L A 6 E U b e + R m W Y S B b 6 i s s 5 V s H S P J S k w q 1 U K G f x Z B 5 1 3 V L P e f X 0 m m o w i t 9 r U U L + N R x g S l S p B S E w y o 2 5 L A H 4 X U V 7 3 T H z O D J N l + i f S m F J j i C Z b 0 A 6 m Y O 7 J g j Z 0 W M l S E 5 i g R L O N 3 c f U u v e i 1 w u Y 8 Q 8 k E j R D 3 F J h 5 a W P z Z g U e a S R U 0 Y m m E w k D B Z U i 1 l 1 w a / 2 p y R l D Z O 6 k R c y U R b C x w 0 9 d L s w 0 r X l + 9 O d 1 P n Q D a G i H 3 t u Z Z t U w 9 i o q W 4 5 E X W T 1 n 0 I q Q G y r V U m j Q g e y a X o 9 p 0 Q u P o Y x i u P R v e N e S A 2 o c 3 k K G L i x V / + / N H s X P n G W h o C K C l u x Y 5 S V 4 t O G G d a U K w m 2 N E B j V K B c g u 9 X W b X a r w j u y k U m k 3 / 7 V g i S r K 6 G M 5 6 J D / T 5 h J U o k U M w k k S m i O J p G Z C i R U 6 d S j E 9 Q w p K + U H i i Q p F e 1 b K S K d N I W D 3 b h 5 P 1 p B O o D k N 0 9 y j E W 3 a e / 0 1 C Q z b U 8 v f j O v V a 1 3 u Y 3 t 9 2 O 0 Y l J 3 P C t 7 + D w o W O 4 7 4 E H Y I m f g r E P k h m S O 1 j O T A J N G 1 n I T L L c v v h 9 t T k j q R M u j F S d m Y q / k 2 B I J W R 5 z 2 r X P 1 1 m E h j M J J p U I J P E s t G 2 8 T J D 6 g 4 O N J 6 r N J U C x 1 d 2 w y z H f L o f q U J Y u k a 9 n H K O j K 8 U h t G P q V c F d I z 8 D n M d l y h m S s n 6 n V U Q 6 3 g O t p F O J c T k m q 9 4 5 d V q K 5 3 F x S R + + v 2 7 8 e T D J 2 B N 1 e G p E 4 9 j z + 4 D G B g c V a v S F / v S Z A S H 2 i 1 E a r a P x 6 V g a + V + F V Q b D 8 G y T I l q W O x L o n b D 8 1 e F J 2 Z k J / Q q / g L V 7 k J 6 C B m q d y l O X 7 4 i 1 j / 6 D Z X F v G y S z V Q T Y v f d e 3 D e K 8 9 V 7 8 V P W 0 1 L C a z z j 6 P Q e D k y 2 S x c T o c q g m m z W X H i e B 8 2 b 9 5 Q V W p W g 7 a 0 Y T m z z U b r 0 O h f O e n T R u m Z M 5 m O k t b k s H q W 5 d 8 Z O X Y G R D M m s v R 9 H c s j X 8 E s / a s q h U e f L / z U Y l G T F r N R 0 + Z E O E T J 3 H 5 d z V e F B Q 1 u b W z F 6 j b L y P I N A H r o M w 3 R Z 5 J a F g I b + 0 Y 2 Y l C c U g G 5 v I 3 n 5 F R 0 0 c X + s E y t 5 0 E b 8 s 4 Y h U E N c n W T t G D S c N W 5 6 L / m 2 Y 8 t G B 0 b R 3 d X p x L a E q g Z j w 7 B P 9 + M Q J s X N q e V p n o G k e y 4 W u L R 7 N b K z Y 1 E p U C O J l w k c t j p P 1 + 9 N 2 B N r N E n t l K y y O S 2 H t k 8 b d R 5 t E Y I 0 U X S E + q v 8 X k u 3 Q e f r Q F N r p 5 l z B S Y / T a i n R 9 U z O Q f + 4 Z + l N 0 q Q Q e d m f b 9 d m S J m Q T C T I s S + V s N n g 2 w j 9 8 H u 9 W C H J l K 1 R 3 k 8 w k z m S F z P a s h n p 2 t y E z R l H d V Z h I I M 4 l P Z K A S M 1 W C a M a A r f K S m v 9 t Z h K Y m U k g z N Q 4 9 i g s 0 2 v x D Q u K c a R 0 t D D T Q l z r L 6 k b a E Z v + B 7 F T A K 3 v V a 9 Z E 5 O a Z 4 q E G Y S y H l 5 p w 2 5 r i H k e v s x Q X f A 3 h 7 D U 8 / Q S n H a 8 e S f n 8 H + Z w c w P D q O J 5 9 6 a m n Z j 5 F d E a u f U d b a Y n 9 c z c n V O n o U M 4 3 E n 1 J b f x r M J J D g i B w z w 1 q + K 0 r c m N c p g 1 r h z R u t N J + w I n R x J E Q X c E o x F a 0 z 5 a / Y 2 U 5 Z S 1 L m x P n H v o l I 4 3 v 1 T 0 C 0 7 T 3 s / Z S W v a 7 v z X P 0 z y M 4 6 9 W l E 8 o C 8 2 r K a s h 7 W u G g z W z M 2 A + F z Z 2 j / d 7 K 7 6 o t T j O Q k u 0 j T Z L T z A h + V + k k Z y W I + a T + c g C l X J c s N o x m S y d Q b b T p Z d b f 2 C z A j J X M O y l f 9 n 8 F F 8 d C 4 L E s c O z W P g U Q y 8 w q x q r z 6 k J 1 Z C + 6 5 u 5 F z / R d C M 4 f x m D w W n X c D B F Y M l W T O s 3 1 e J 0 b A y g 4 I r j i y k s w 2 D + M K 1 5 + M V p c I U x N T e M N r 3 8 D R u N P 6 2 c C 9 e 5 m j n o B E 4 l B 1 K 7 3 0 g Q s j n v Q 3 o k u / w t I E F q b q 2 F N J p 9 M u A k n V y q 6 / 3 8 B K e X l H L 8 f q e 5 X 6 0 d 0 k D j 8 U 9 8 h Y 3 0 A n / l Z B B 9 8 Y y M + 9 Y N J f P N f l q 8 a N v Z f W g 3 u o W 8 g 2 V N h Z p z S Z 2 6 N l W G r a R J h g p V W N E t U S V v q U W r K W d M z C O s S 1 w y 5 n m z B e b o 1 0 2 W b T 9 m 9 / f 8 S 9 t H N y H a e 4 D u 5 z 2 r 9 X k D b 4 D 1 w 0 U Q c r b k S W Y c X s Y Q f X k + 0 x K B T R W 7 s z V i Y L K C u V U S W E m 8 l w m u t M E d d 5 f 4 N r k 1 I p s c R p z 8 k B U t H 4 8 + g 1 X P W s m C E a C p v S w F O 0 y r z s c R u W j R F 0 8 7 t q K U W 0 y a E S 1 V C F U S G w s + b m c R E / P M p C c P r B w h j 8 r U S Z M a 6 Y P c u Z y Y B J b E w U 2 D q u 5 g L Z f G R 7 0 5 Q w 1 W + V r W k z B J k F p B u e A 0 s i V G l 9 c y w J K o X X C y H T O Q a 8 F j r 2 a n a 8 o j V y g P I I k A h D n v Z 7 v l x m 1 P 9 v s V S i x p b k 3 r v o 8 0 v x C r M N L r Q x j 4 8 j f m j 0 6 e / N U G I V E q g O X N p + p / T K C Q D q P V 0 4 K u f + x m O 7 J 2 E P V u L 0 D R w 7 L l J 2 K j N 9 j 5 6 H F 2 Z K T x 5 3 z 5 M 9 L 4 S 8 9 3 / B I 9 / P f Y 8 P o z 6 g A V H 9 o h W l i p Q T + C r n / 0 Z n v j 9 K H 7 7 8 4 c R W o x j d j S P b 3 7 p F t V f a 4 W T f q l s P C 0 o M p P A A t v 0 7 + B 2 t q P e 2 Y E U N W a 7 5 + w S Z h I / X O h U N J U w k w Q s D H R 4 z l s q 7 i p + V M 5 k q q 9 J Q y 2 e y q F 2 4 + k x V C R l V d t 8 V j M R K y 0 g 9 M 9 S + z R W 3 j v V Q m l S Y A c o s M W H H + h H 9 5 k t C L R X D q f O x q x o 9 F V R z 7 L c n c R u n 3 0 G 2 c b S g v I G Z F 3 T 6 U T K R E v J g r 3 S Z Q P L U S 1 w s R L E b J N U 0 j T 9 r F T E B b c / s S z S K J O 0 U f o P 1 i o m i Z h n K d v / b N J S Y M v n q C N z K v t e I O a y 0 h z 9 L X D 3 j q H / V B q P P P o Y k o k 4 U q k E 3 C 4 v O r s 6 8 M r X v h T 3 3 / M 4 3 B 4 3 r n z 5 R c r / i K c W E J m 1 Y W R w T O 1 2 0 t L S g v p W P w n b C h d / t / v Z 5 9 Q k e E t z K / r 7 B 3 D k y D G 8 / T 2 v U P d d D a t p 5 a 7 J u x E v t 0 x k O k c i 0 C a Y i 7 E k F l L I J n K k u e r + Y k W G E q 2 y x A h 8 n 0 v T Q e M D r g U H x + 3 Y 0 p J T K T 5 r Q Z i M F 3 T l 4 R / 9 J q K d K 6 T K m + a q n v v t O H b 9 V T t S 4 T A S 0 x 4 y e 5 k j S I S T v G 5 Z s c b y D v O P f w P R 9 s q J k K f D U M J M N o u b G q l 6 l o c s e p M I V H m U 7 n Q w v t C C 9 j r N t z K q x B p Y m 1 k n Y 7 L a O d X h z 8 Q Q d Z Q J M N E A Z A D n x H a k 2 w 4 r Y W E E n A y I J p O A i 7 m 9 l S D a p 9 I E 7 2 p l r M v h o 3 C J r Z I B 4 o m M w t v 4 I v 2 T C Q W a l L J / r r u 4 K L a 8 w t H i Q B J S U S v Y r Q m o q a F T m B 4 8 g Q 2 7 X r C c o f p m 7 d j Q W H R k M 4 k M H F X 2 c x 2 Y s 6 s s 8 Y m Q l o B 6 R m v m e Q U t f E P f Q 6 z n X f q n K p A s b 6 s H + 2 4 f w N m v X U c V R 0 f e T o e T 3 C / q 2 N W U h L u 2 N K y f p R v i S B 7 C M A m 5 y 7 e L v z d J a D X o Q g y V B 2 o h e Z J m w u o P k 8 y H 4 T a t c K 0 G C c H K 4 s X n y 1 B j 8 6 3 o q K 8 e 9 a v J R B E q S 0 H 6 3 4 S Y T p X m 3 5 Z w q h P Y u P p 2 o 2 v R l B L N k 5 1 R Z A r D w O m k S W l s u f r Y N T p 7 + E y V a V v V o 9 S 1 s A H J D 5 W 5 V M O y C o 9 Q S M Y t a D m z j k o o D 7 v s g G l m K A k 1 y 2 7 b Z i w c y 6 F u 6 3 I z Z v + 4 E 2 e 1 n 3 7 W r x n 2 + f 0 o u O q Q 8 x U n U C U N J W j r g t 2 0 s 5 2 B + Z k Q f G R u l 1 8 G p L R N w l i R f g f c r T E 4 1 f d E c o w e Y w e y s c O w + 0 q 3 r b E m p p D 3 V M + c P t 0 5 q N U g k b u 1 1 B i v h m z O z g G r H L E L i L a S C e W V C P 5 5 Q h J v Z c X y a s h P B W B t q Z w E X Y 7 n a 3 6 W a + V y p H N x O N g P 5 c t C q q F u f h 8 W 6 o t 7 h 5 k h / l S Q / p W a N 6 / Q r 7 J q Y S C 8 H y 5 H D I N 3 7 0 O g o Q X b L 7 p y d R 8 q P h u j a i x V 8 + N h B 1 o C G Z o 5 + o H T R g H + i R t U g K E c s p 1 m l t z u M u e o 0 X 8 C / a d D d y 3 i z F e t k D x L Z J N Z p K e D 8 H Z F V U d Y Y k d Q 8 G m 7 4 E n t C U N L e Y Z u Q q L n b e p 9 J f x v M 9 T / N S I J H w K e t Y W U Z V 5 t t a m A 8 l 3 f V 0 N O V t f 6 l 0 c m q 0 F q O 6 x U z z 3 E 6 9 W s c D 1 h L h E g h i 9 n C J O 1 7 m I i U b I G C v S 5 B l o u a 0 C D t Y a N X r 7 K w M D J + S F l h a z I y g t 9 8 W X M N D A v 2 6 H k k V g h U r c S P K M / 5 8 P k K j K T Q O 1 3 Z G Y m g a 0 O 0 Y U o 1 r 2 Q A 0 D T Z g m p C R W s U J A J N / p I s p W K t z u O + I h m / i w x k 4 Q Z T S a f 3 b 5 A R q 2 e / F q e g / b / d w g z S a r Q W i D M Z J f M / Q q Q y J j K v j g N Z h K 4 F z e i Y 9 q 0 x m g V r L Y 5 g t 9 T u X 3 G J L t o K k k M F k Y y a + Y 1 M R P R P X e P Y i Y 3 B c d a M J c P o b A C v W y q 7 8 H W h o 3 4 / w C F f z t + N I Y 6 2 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 N a m e = " C o n d u c t i v i t y "   G u i d = " 2 9 a c 6 1 1 b - a 9 7 6 - 4 2 6 6 - a d d 3 - f e 7 4 e f 3 1 3 4 9 3 "   R e v = " 2 6 "   R e v G u i d = " 2 5 0 3 f 0 1 7 - 7 1 8 1 - 4 9 5 f - a 0 4 f - c d 4 b 2 b 5 8 4 6 8 7 " 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1 & 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 N a m e = " E l e c t r i c a l   C o n d u c t i v i t y   ( M i c r o s ) "   V i s i b l e = " t r u e "   D a t a T y p e = " D o u b l e "   M o d e l Q u e r y N a m e = " ' A l l D a t a M a p ' [ E l e c t r i c a l   C o n d u c t i v i t y   ( M i c r o s ) ] " & g t ; & l t ; T a b l e 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C a t V a l M s r ' A l l D a t a M a p ' [ E l e c t r i c a l   C o n d u c t i v i t y   ( M i c r o s ) ] M s r A F N o n e M s r V a l 0 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P h o s p h a t e   ( P P M ) ] M s r A F A v e r a g e 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4 & l t ; / X & g t ; & l t ; Y & g t ; 1 3 0 & l t ; / Y & g t ; & l t ; D i s t a n c e T o N e a r e s t C o r n e r X & g t ; 4 & l t ; / D i s t a n c e T o N e a r e s t C o r n e r X & g t ; & l t ; D i s t a n c e T o N e a r e s t C o r n e r Y & g t ; 1 3 0 & l t ; / D i s t a n c e T o N e a r e s t C o r n e r Y & g t ; & l t ; Z O r d e r & g t ; 0 & l t ; / Z O r d e r & g t ; & l t ; W i d t h & g t ; 5 1 0 & l t ; / W i d t h & g t ; & l t ; H e i g h t & g t ; 8 2 . 2 2 0 0 0 0 0 0 0 0 0 0 0 2 7 & l t ; / H e i g h t & g t ; & l t ; A c t u a l W i d t h & g t ; 5 1 0 & l t ; / A c t u a l W i d t h & g t ; & l t ; A c t u a l H e i g h t & g t ; 8 2 . 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1 2 & l t ; / W i d t h & g t ; & l t ; H e i g h t & g t ; 1 2 8 & l t ; / H e i g h t & g t ; & l t ; A c t u a l W i d t h & g t ; 5 1 2 & l t ; / A c t u a l W i d t h & g t ; & l t ; A c t u a l H e i g h t & g t ; 1 2 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5 5 & l t ; / M i n i m u m & g t ; & l t ; M a x i m u m & g t ; 9 5 6 0 & l t ; / M a x i m u m & g t ; & l t ; / L e g e n d & g t ; & l t ; D o c k & g t ; T o p L e f t & l t ; / D o c k & g t ; & l t ; / D e c o r a t o r & g t ; & l t ; D e c o r a t o r & g t ; & l t ; X & g t ; 1 0 9 3 & l t ; / X & g t ; & l t ; Y & g t ; 1 6 . 5 & l t ; / Y & g t ; & l t ; D i s t a n c e T o N e a r e s t C o r n e r X & g t ; 1 3 & l t ; / D i s t a n c e T o N e a r e s t C o r n e r X & g t ; & l t ; D i s t a n c e T o N e a r e s t C o r n e r Y & g t ; 1 6 . 5 & l t ; / D i s t a n c e T o N e a r e s t C o r n e r Y & g t ; & l t ; Z O r d e r & g t ; 2 & l t ; / Z O r d e r & g t ; & l t ; W i d t h & g t ; 2 0 6 & l t ; / W i d t h & g t ; & l t ; H e i g h t & g t ; 1 0 7 & l t ; / H e i g h t & g t ; & l t ; A c t u a l W i d t h & g t ; 2 0 6 & l t ; / A c t u a l W i d t h & g t ; & l t ; A c t u a l H e i g h t & g t ; 1 0 7 & 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s > < / T o u r > 
</file>

<file path=customXml/item5.xml>��< ? x m l   v e r s i o n = " 1 . 0 "   e n c o d i n g = " u t f - 1 6 " ? > < V i s u a l i z a t i o n   x m l n s : x s d = " h t t p : / / w w w . w 3 . o r g / 2 0 0 1 / X M L S c h e m a "   x m l n s : x s i = " h t t p : / / w w w . w 3 . o r g / 2 0 0 1 / X M L S c h e m a - i n s t a n c e "   x m l n s = " h t t p : / / m i c r o s o f t . d a t a . v i s u a l i z a t i o n . C l i e n t . E x c e l / 1 . 0 " > < T o u r s > < T o u r   N a m e = " S a f e   A v o n   0 2 - 0 9 - 2 0 2 4 "   I d = " { 6 6 1 F 2 C 3 6 - C 4 3 2 - 4 4 A F - 8 8 3 F - 6 C 2 3 C 6 F B 4 F B 3 } "   T o u r I d = " 2 d 8 9 4 3 6 9 - 4 f 6 d - 4 6 4 e - b 8 8 f - 1 4 1 0 c e e 8 6 0 9 2 "   X m l V e r = " 6 "   M i n X m l V e r = " 3 " > < D e s c r i p t i o n > S o m e   d e s c r i p t i o n   f o r   t h e   t o u r   g o e s   h e r e < / D e s c r i p t i o n > < I m a g e > i V B O R w 0 K G g o A A A A N S U h E U g A A A N Q A A A B 1 C A Y A A A A 2 n s 9 T A A A A A X N S R 0 I A r s 4 c 6 Q A A A A R n Q U 1 B A A C x j w v 8 Y Q U A A A A J c E h Z c w A A A m I A A A J i A W y J d J c A A K V X S U R B V H h e t X 0 H g C R V t f b X O Y f p n p x n c 2 R Z c k Y l S Q Z B F B V R w Y S o P J / 6 9 D 0 D m B U F B B U R R S T n t O Q M u 7 C B z T n M T s 6 h c 4 7 / O b e q p q t 7 u m d n 0 f + D 3 u m u r q 6 6 d e / J 9 9 x z N V 0 j 6 / M g N H m W Q a c z A v x J I w 7 J 0 N B L H I R W o 0 U u l 6 e / d I w P M 6 S v p L + E T A 7 Q a 6 X 3 E q Q T + N 9 c P g W d h u 4 h H + X P W v r M P 8 / S e z X 4 v F w + T e f J F x b 3 N 0 z d V k H h W 0 Y e 2 Q y g 1 S v 3 o 7 b k Y n R t M 3 T U q D y o c a D G 0 f E 8 f 5 n X Q K P L Q 0 P P w + e L d o y s R m c + j k b z U v q a z p X b q 0 Z g v w b O e R l o t T r x m a + r y W c Q T w 3 j w K s 6 e D 8 6 Q f d M o t V x P P J 5 + i 4 9 g X j U h W w q h x Q 9 p s W p R X L U C l 1 r B A 5 D G m n o Y c z F k c o 4 E O r W U b u j i N X q 0 V a V p Q d w 0 D W y 1 E b p X r 7 d O X i W a O G P d C K c 1 a D V N V c c 1 9 C 9 B z K D 8 B j a Y T F 4 o M m G 4 D v g h n t u h P o t g 2 g 2 g V B m D I 1 a E 3 L m + d S m Q W x 7 K 4 L q + R 7 o 6 y J o G H 0 F 2 T l f F 9 f K J C a g N 9 e I 9 9 G U B j Y j 9 w 6 Q p u Y Y c 2 P I G 2 r F 5 3 w + j 5 G u L j S 0 1 1 D f 5 Z D X u a g D E 9 D k w v I 5 1 L f 0 X H n q G + p p e q 4 k 9 Q v 1 l t a I 4 F 4 D q h f S 2 O v 1 1 P Z e 5 P W N N D Q G W H r v R r z t y 9 B k g h j Z p U G y o w / t J j t y h n q i q w x C / n E E d D W o s W t h D g / A E n w G r 9 b + l q 4 j m n Q I y O N / C J S j 4 R y 1 m + m f H o W J i p 5 G i x p t E v M z + 5 A 3 N i I T T y H u j 0 H 3 7 e 9 + + U b + S T p q g s l k Q j K Z E i c L x i G C S S S S o u N 0 W j 2 y 2 R w y m Q z S 6 b Q g w n Q 6 Q 8 e y 0 O u l w W Y U e I 0 b r 6 H G 5 e g d v + e W c N O Y O O j 6 x C z K Z y 0 R C 7 / 4 v Y L C e x 4 K + o + J P q + l N j G j 0 P X o s 9 Q G I k c a l D S 1 S 6 f T U f t S x C x 8 L r E i c V e O i D V P A o I Z i K / D 7 U 8 k E j A Y D X K 7 q I u 1 / I 2 M 4 H 6 Y b E f T 9 W m E Z C J G j v o k P U R M Q 4 S V S 8 J c Y 0 J 4 M I 5 A d w L 2 e p P 0 W z r f o H d j c P c k F q 5 Y j F j G R + d q k O i t g s Y 6 D r P d D q P D D I v L A K M u C H O 1 A S Y D E V Q 2 D K 3 O g e h o G I G Y D / r 6 I a Q s N W h 1 h g B i D H F p Z m x C O p a B p Z b 6 Q J O D l Z r m N p h I 8 l j 4 D P T H O 1 F r X o S x i B U u k 4 4 I 0 g d z r Q m p Y B T + f g t c V V G Y d E 4 a R y M R r x 3 b X 0 p g 0 W k e V D f S P b I 6 G O s / A s P o 6 8 h a W h B M u 4 g p 8 1 i z Z h 0 W z W 8 n W i B B k C G q y A 1 D a 6 y n o Q x S p 5 n p v n n Y r V k E B v M w e 7 i t 1 B P E F N Q o e p H k E M K I 2 q 6 1 o C e 6 C Y G U n 5 7 Z B S u N i c 0 b R X w y i E C / C V F n E q b 4 O E Z j O z H h a I N T T w K B 6 M P W Y E f q Y B V q M / f C m N i E S G 4 O U u Y W u A z U T x o T M g Y r h o a O h a / a L W i B x a I m l 6 Z 2 x p A n w a G G J h u D R r R t a q S n w M P K h 5 V v i B w E W B g y + N p a W c n w I S 0 T I c F G N G r I 2 e i 7 L A l F I 6 w u M 6 Y 0 V K N n K f S s o V T Q Z p P U N 9 x x d I d s X D Q 4 Q w 3 V z S A O + G L a b J S k l Z X e s d w i y S X Y u g D W N C z V W f I e H o z i Y R V G y u W y x C D E k P S A z E A M H b 1 n Z k m l 0 o L Z + b j F b C E N R Z K f C Y N U h M K E / D I Y q J P 5 t 9 T h o D Y n k z E k E 3 F x r S L k E t R w 7 o s C + N q + 3 W l Y G 2 k g S d O F + h M w V W n Q t b 0 X K 8 5 a j l C X D u 7 5 W Y x G h p A k y a 3 V B e g 3 G d F H r Z Z l J O l s 0 o U I o 9 u D s C w M I J G Z g 1 q b 3 C 8 Z Y i q 9 U 3 p P y C Q z G O k Z g a M t T U T l J e I h Y W e o w X h 0 G M l M D C 1 W 0 h B E T B F N m 6 x V m C C k w f f 3 + 5 A O G F G z z I Y t z / X g q I s 7 q D 0 6 H D z Y L f q m s a E R 9 9 1 / P z 1 m C P 3 D A R h M B u p L H T 7 6 0 Y / i 2 O O P R z i y B 2 7 7 f H G t A q i d 1 I Z M 2 I d U u g o 2 p 5 + Y t Y 5 u y Y R L I E F E V E w v o h c e a 9 J Q G q H B g s i Z 2 u k E i X J 7 f T 2 o H e t E P P 9 R e B a T M E h 2 E 7 M 0 0 / 0 N G N 2 W Q N 1 y u h 6 1 J Z z o h Y M Y i s c r Q 9 o + 0 k s C q i G O f p s k e N T Q p g L Q R g 7 Q H Y j Y q 4 6 l P i e h T e 3 R R f a J 5 q R J + E B n I B q h P 8 T / T A J E V t O Q S U W Q D h m E 1 c P 3 t F S b i e Z C i J D Q c e u G s c B q l 8 + U o B k 5 + E w + Z m t A U 9 V i f O + 3 9 2 P t K A 3 y 1 J X J t N H E 8 N p t X x b E 2 N 3 d j Z a W F p j 0 Z I q R h J A 6 h I i J O k l h 6 5 x W I h L x i V U 9 d W L Q H 4 D d X U t S I 4 / J S R 9 q q + s x P D y M a C y K 9 o 4 2 B O j 7 K g 8 R Q x k o 5 0 t g 1 S t J C 2 q O Y E o e L 6 2 Q i E x A d F c 2 H U k z Z U H S g j / S P X k s m W i k F p a C L k R S D b J E q 8 h Q s w E N W C y S Q a R H i 9 o j z M Q c I Z i J I S Y T X T B q z P C n + l F n O h I T c Q u a X J L 0 e 3 2 / C R + b n 0 S o U w v r H B I Z O u m 4 A k 1 q i N p m J U J 1 0 6 B z W x M Y 2 5 Z C 3 V F u + p b 6 P u 2 j / g + S A H M i S / f S p c c x E G 9 G i 6 W P z i d B Y 2 q k P s u g y 7 c F N o s F 4 2 9 U 4 4 j z q + B L x u E x U 5 / L 2 g 9 k l s J Q T c R M h J g J Y F 9 s H u b V K F a F P J 4 y N H Q P Z u R S j G w L o X 5 F Q Q B I K P 2 1 D H q O H P V J h g S Z e / / v E V v y E 3 G Y T d W h X X E S 2 g 4 S d j Y a Q y 1 i x L B 8 H Y v D g z Q x v M V R D c e c B H a N G L G 0 P o W t a T I b 6 b 8 U E Y V Z Z y O r S A M D m / L i i g Q h 0 O m T Y n G o w K 3 T R 7 u I y U j 4 p r J k D j d Q X z M P E L 0 Q E + d Z C I d p X B x 5 J E N p m B y k C E j D a o g r q z R p 2 C M 7 4 H T O k y 5 G 0 F 3 3 v / 9 1 I 9 / Y b q 3 D y + s O Y F v Q j V j e N P X S E f F + + d w j c O t t t w m m e v b Z Z z F 3 3 m K s 3 7 A R 4 x M T e P C h h 2 G y O t H Z 1 Q c 7 P T B L 7 V Q m g V g s g U 2 b t 5 D k y u G v f / 8 n W t q a s f b 9 9 f j L n / + K i 8 4 / C 9 / 5 7 + 9 h w Y I F + O M f b 8 f C x Q t E h 7 z w w o v w + X x 4 7 L H H M W f u X L y 3 e h 2 s F i v S p F X e X 7 s W L 7 3 0 M s K h A D H h H G J U + g V 1 m s R M D K n 7 N C S h B S O R N m O p o 9 X R e Y L p J M L J Z d n 8 o / N Y A L D W I W 0 p R J a M b J Y 0 G 5 m F x e B u Z 0 j 3 U I M J g J k x S w 5 G 9 6 Y D G N r n g 8 t j h 4 3 M Q g O Z u R o i T i u Z W X y P S M Z P g z 2 J B q c i I M h s o K + M 1 M b d E x n U 2 9 L Q G U s G n c z B S G I A I z E / H E Y H d F k f D W w 1 L D U a 9 A W 7 y D x L w m k n T q Q 2 a t j E o u d x 6 S b J B G y D W z 9 J j O b A U H Q H q i w N i H W a 4 J l v g D 0 / Q S Z o I z H G i L i + I D i d J G k 1 + R A R V R M 8 N p L G X X 9 C p u q 4 6 U 9 N R M u a S d 1 v j G Q 0 B Z f / n 8 h 5 j p G P M K j / 0 6 N T 1 5 8 C / Z b H S U 8 + V p R M w g h d y k x C g / v S U W s l f 4 Q Y n J r m b a V r 1 k z C X k f G u 9 d K J q + B T C s f o k E S 9 m T e h k e D G P X W k Y F p R J a e n f Q f C X U 9 f d b R i 3 w w I v 4 k j U T h v a 7 o x e c l S J D E y S 9 L G O u Q p L Y o 5 y f I F A 4 k 6 B 0 N E n n 7 S J M 1 E 8 / x d 3 r 6 C 4 w P D 6 F 3 + 1 7 U N n l g I L N P Q + M s q E w h F 3 7 4 S g i F Q l i x 4 g j 8 8 A c / w F / v u g v b t m 3 D + v U b 6 B s N / v K X O 7 F 9 + w 7 c / 8 A D + P Y N N + B n N / 0 S 9 9 5 7 L 9 a u X Y f f / u 7 3 d I Y W O 7 f v I b M h I l 2 M 7 H 6 d 3 o C T j z t C a K k / 3 n Y H 7 r 7 7 7 9 i 1 a x d C A T o n p 8 O P / v c n W L Z s G W 6 + + f e 4 8 6 9 3 Y S 4 x m G T W S f 5 R J B Z B i k y g J D F b T v a 3 N L k o / d R B L z u p a P p M 5 h 8 z a o H p J A b T k h b I E Q 3 l Y V I 9 + 0 x g 5 i O / M T 1 J P 5 L u x d C k y E E n z b D p h S 2 Y G J r E v K O 8 W H p a O 6 q I C D T J f j q B T F t y z t l Z N 9 K g W X R u M u d W 0 O + I w A g D A S 1 G Q h o M R 9 f h y P k B R P r 0 x H B E q C W w G 2 v R Q m a N n p g 3 b 6 g j w S a d 0 2 Z 1 o M 1 O z j / 1 R y g z T m b I C M b i d n S F n G i 2 j p B Z 1 Y Y E C b R s e i U 6 X 5 6 A z e N A T b U J N t + D 9 C w T 5 E w 3 i O u w W B q L 7 Z b e y w E H x h r D d 2 D v / h V p L / K Z S q H 4 K F l p T A O 9 Y d i q j U j P / Z r 4 r P d v h 6 2 X x j 5 J Z i C 1 W Q g v F S J 0 T f b L b I N 3 w V h z K g m B g m a b 2 B d h C 4 + Y y I C e 8 K g w D z O 6 K v G d I T t C 1 h H 5 v 1 Y L H B 1 x e k 9 m L / n 2 w r o l B t D m e a z 5 A / D Q L b 9 G J i 0 F u / g Z Z 4 t c h u g j y 4 K Y f F X S 6 u z q r H 3 p O Y w P s t b P I x Y n D U p 2 Y n 1 t N b Z t 3 U Z C k e i N h Q x B + F B 8 q 2 b v U f j 2 z Q / i x f 5 i 0 6 t a F 8 b 6 P 3 4 W / 7 z 3 n + S k v k e E P U e Y Y Y M D A 7 j 0 E 5 / A x o 0 b 4 X K 5 s H P n T n z j G 9 f h I d J Y Y 6 O j + P F P f o z b b 7 8 D o W A Q S 5 Y u R X t 7 O 9 5 9 9 1 3 E Y z E 8 + u i j + N z n r k J H R w e M Z j 1 d a x g n n H C C Y N K q q i o y u 5 J 0 j 0 n 8 9 c 4 7 8 b W v f x 1 G I z l 8 V i t a W 1 t g s 9 l x 9 e c / R y 3 T I k u q R i M 7 i z o y L T P k 7 r L U k 7 q O D E L S R h o d M 5 U M O R A i t J L o d I 7 8 0 e G c r L X o W m n S r o d l 8 h G D b X 6 6 C 8 s u q s d 7 u 2 2 k 5 c N C M 9 I V Y T F p c d N n 2 U T l C B h L a J J i J J E 5 g p U n c y d P j H J g Y y 9 Z W 1 r E M x O o b q q F 3 q h F 0 D e A b K g Z i 8 + u g d 4 g a w G 6 j y b D D J 3 H 6 D 4 7 a p e T O c R M Q W Z e O D U C q 6 F B + B y M P a M G L K 4 j p i O i 1 e R C 6 N l L n g R 1 Q s f y F n p G I p S M F H m D w S E Y P 2 8 i v 0 R A F i / C X 7 Q I 0 0 l P J r O t 8 5 e I z v s / 6 T s 1 u N P o F Q v S + U T M 1 m o O k E y H L t o H y / A D i M z 7 X / E 5 S c 9 v o n Z b e v 6 G c N O X 6 R m 1 G I 1 t R 7 2 h E W P 7 b P A u J s s o 5 0 d C U 0 3 n y W 1 i U 1 5 Q K o F M j i T d T / l u b c Z L 8 i 6 L b W v f w u j Q M D x e D 3 p 2 7 S B z M o d E N E R W R w Y L j z o e + z a v x 6 K j T y D m e B a n X f J J v P P 0 o z j q I 2 f D 6 f F g b K A f T r c b + 7 Z s I g u j B n W t z Z g Y G U L z 3 I X 0 2 Y v X H n 2 A f H M j P v + 9 n 5 N g k n i k R h N H f b a X B F 4 N A j 0 x R O N k f g d 8 Y 6 J V d k f V j A y l h k S K E v j H p X q N i Y k 1 Q y V k S Q J w G L s U O W I J S Q t J 3 + l K b F 4 O u e q Y Y w T Y l m W G y E K b T S G j I a 1 H P 5 v W F n a C d e R P i U C J J E U k F F r O G k 5 D W i y X y S M 4 H E O a n G a L u z h K V A n d W 7 p R N 6 c O E X 8 U N z 2 r R 3 W V g S R Y F v V e A / b 3 J f D X G 6 q w + + 2 9 p J W q R d S U m T q S H E P H M c 1 w e u 2 I Z g 2 o 0 o 8 h k P M g 1 R 1 F 9 U K n Z I 4 S k r E k u j 7 o J 4 K V G N x C Z l h e Z 4 S J t H A q G y Z n 2 U Z M G U D z Y r q 2 3 g q 7 1 0 Y C i p i K B Q c L D X p m N s 9 2 v j C G Z e d 5 q Q 0 j C C A N Q 9 6 C 2 s j D i F T f I K 4 7 B e F L S k z J Y M H P f c r Q x o e g D + 5 G q v 5 M + o K D V W R e i i 6 k t p K 6 H 9 4 W R M N K r 3 S y g j T d n 0 0 F n d y X 5 G O a 9 / y Z f k q + Z t N n E S W / l p 4 A 4 b w R f v K N b F E y n c h s c t T S T b X k g 1 J z + H E Y w v r g s + l 2 k a Q W T j N T I R 0 n A b g u 5 y K B Y c b E 4 A h W r 3 o c o 3 3 d M J G r U N P U g k g w g A U r j s L B H V u R I M 2 S T q b g b W h A Y 8 d c r H n + K Z x 7 1 b X Y / c F a Q X e 1 T a 3 o 2 r U N b Q u X 0 3 l R E k S 7 0 b p g I e L R K P Z v 3 Q R n l Q d X f e 9 n s H v Y f y W G 0 i a x I L 0 P A W J w P W l s K 0 c n A 5 P D L M Y F Q 6 1 6 e w M G g 4 K / p q C n A f j K p a f J n w o o x 0 i V I b F g l g i W o d O X + 6 V y X 1 a w l R l y + h w B Q 2 G u D P 1 b b N f n y E L T a s l c 4 4 g Y M 6 q I P h Z a r x Y O j G S M f J Q 0 + Y H R N C b 3 R 0 j q k o 0 d y M B g 1 6 G q n Y h 9 i q G B o Q N j G N w 9 h G P P c R M T W I X G G d u W Q O 0 K M z W U P F k 9 O Q E y w s k Q T K S F j D b y d 0 T E i z Q E M U U + H S K a M 5 L v k k F g c B H G y I + a V 8 c + X P H z M z P k O W Q t Y 2 x b h O 5 T 8 E v 6 g g f R 6 p p D h J D B 9 l c 2 k / R u F H N y R v a 7 d A Y E g j 2 o m W M j L U X E Y H D D 2 P M E g r V n w m I h U 4 s I g g M 8 v s g W u K 0 r i Y l I q 6 a G k G N T T Y H s L z l 6 f 4 X d r 6 2 D 9 2 P f g 3 X O q e I Y Y 3 h T A I 0 r a B y I q H R 6 P f V 7 F g f + e i E W 1 e i Q P f k n y F c v I 6 1 C z J M Y R N v 4 f Y i 1 / 7 d g s D x P D X A 0 k B g p 0 m u A o a E P s U w j H G Z 2 / d N I 5 r Q Y D P e h z U L f a U j g k u b M 6 7 2 w 7 P 6 9 C N T s a z g a g 9 a z 5 F Z w r 2 l J L t B I k 9 Z T I O b I i k a 5 g B y Z x B z 4 0 J A b I C t c c i N i e P W h e 1 D b 3 I o T z 7 2 E f s 9 m P v c R 0 S b 1 q V Y v m f 3 V 2 g z m a S W T t y f 0 H h y G V m g 6 B 9 f k q y 0 L B E P t 3 7 0 Z w 3 1 d 9 H W B 4 M w W G 0 7 8 6 P n i P Y P n Q 5 m m i o d b g m A J + o c Z Q o D f M 8 X S G 5 0 Y j / I P x W B f i O f B I u R n s X 1 q N B r o L 8 9 9 Z c W L 5 4 / M Z j P i J G U 4 T M 6 f 7 X a 7 Y J R 4 k j U e O a J 0 D b v d R u c k i F A s i J J k 4 d A 4 h 9 J T 6 b T 4 f T K Z E C a Z l W x w / l v 8 H H n 6 P j 6 j y T e y P S D 8 M A 4 w 2 F 0 a 1 L a 3 k Z T k c D E R a j Y G 3 0 E N q u a T Y 5 u O w W w k s y w T E N / 1 h 7 r Q 4 u T g g Q K p c 3 L k L w r F R U d 8 u 9 L w L i 1 o C A X s 1 A s / R A X B A O T 2 e J d Q n 9 I o 5 9 J h j C X D q L e R D 0 T S X Z v s J t + j Q z 5 b Q j A 5 i H 0 v D p E G c G P x y f N h 7 n 8 Y i Z Y r h Z D i u R Q m m R Q 5 3 U Y d t 4 Y u y / 1 T M t D r / / h J N J J G n X v x t 5 F q u l S c 4 C e T s m o R k R s x I U 9 y 6 s l 5 / 7 8 f 3 Y h r m j a I u U q O l P H 0 x I F 5 3 8 V 7 7 6 / G t + t e E W M 6 e e Y D m E c u R F / f A J w O N 9 a T p t h O Z n 8 w F M a v f v Y j 8 n / 8 i O V r 4 D R E y S S e J B O a T V P y u 7 p + j e i c H 4 j 2 h V J 9 2 K V b I d r G V o Y C 9 q v Y 3 J 8 N m G E 4 r M 4 X Z C t F z P u R m V 7 8 e 2 J J 1 p I i i i 1 1 C m s o Z q g 0 m 8 b k L g i + K J h 8 b r x x 5 z d w c v w p c b K C / k w 9 F v 5 g u x Q 2 7 + l G T U 0 t P X x B 8 v K P 8 9 w I 0 j p 8 G y b 0 I P l N X m + J + i c w g X P H s k 9 U i g y J U y Z + n l D m e z G x R W N x w T T s U z G D 8 f V 5 7 o Q f K J d J i W g O a 6 v R 4 W H 4 g 2 H M n z 8 f 4 V A I D q e T r q W j A W H 1 p A O 9 F Q M b C A R Q X V 1 N / U Y M y D P 4 Z U z A 2 Y b N 9 7 x M 1 2 r h c K 0 e h q o Y E m M m 3 P H k H 6 Q J Y 2 r / e e e d K 0 y M l U c d h X f e e R s 2 e o 7 R k V G c f P K J O H D g I N x u E m D 7 9 t N z p 9 F P 9 v t F F 1 y E n g P d c F a 7 c R L 5 k 9 Q V U 1 C H q e P k N 1 k M 1 f Q u T 5 o z g e g o M e E 8 6 h v y I Z l x o y k t b P q Y Y C r p i a a D z Z v t L 3 V S y 1 3 Q O c O Y e 3 Q r D K Q B 1 O j x 6 c n X S W F h D V N J 4 S r v 3 3 w B m t x a t H 3 5 O R I g C f K P + j H Y X Y P 6 F a S l 5 X Z y m H 5 i 1 1 t I r L 0 d 6 b a z Y e h 7 H Z b m o 1 B 3 3 k 3 i 3 n 1 3 X y i u t e i s M x F t + z Z C f T m 4 2 p i I S b / Q e D E N a W i M N K T R S 8 P z 9 r 7 f I 9 J K 2 o 2 f j C e Y 9 S 7 s z 0 r h d w O N p z Q J L r W X t U 8 m n o b R y R P o H N E l D S P P J W p Y K 1 I 7 p f n S A j L k P s Q z M d g M P G G r R 3 g i g h T H y c j 6 q b L 7 o K 9 q l k x Y u o W N z M 3 x t T u p D 7 y k E A K w 1 2 m h + 8 H 3 / 1 t k S h h N V n R v f A G t m T 3 i w g p C O T u q T / k 6 f n f z z U T U r E H C + N G P f o w z z j w T a 1 a / R 2 f k 8 e L L L 2 E B E f O 1 X / 4 y / H 6 S 1 t Q Z A w M D Y g I 1 m U h i 9 Z o 1 9 F s 9 f v 6 L X 8 J b 7 U V L s + Q E v / X 2 W 4 K 5 E q R R 3 n j r d Z J W 8 4 V 2 Y g 3 0 8 i u v 4 q Y b b 8 Q l F 1 8 s z g 2 H I 9 i / d w 9 8 E 6 N C 0 7 z x 1 j t o a W o i A j b h x z / 5 K T p a 6 v G b 3 / 0 B R x 2 1 k h g 3 g j f f f A u b N 2 / B 7 t 0 7 U U X O 5 o Y P P i A N a I R B b x D X v v e + h 9 D e U g O P m O N i N S p J o / J h 8 2 K k 4 i k M H + z D v O O 0 s D Z U w W w 3 w 1 5 v g M f e g H P O O w M r V i x D a 1 U t t T k D X c a M F U c v w s J 5 7 T A 5 a l B b U 4 e x s W E R w W x e m I e H j l 1 w / g V C m P C x 0 Q E / O u Y 1 C s K b g o r x D V M E Q K x s 0 i E + Z o C 1 j g S U T C h C u 7 B 5 R u Y k h 3 G Z w U o j 8 W y 2 1 s / 3 o n a + D S 2 5 x 5 C t P g 6 9 u 4 f R s 9 4 P / 8 g k X H V W e J 1 a m E l a G e i 3 2 s y o M E k 1 u Q S y e 5 7 h C 8 B 9 9 J X 0 h R 5 j + 2 1 i s p g z G z i Q w e F 0 D f k T W / 9 1 A x w m D U b 6 D t J f o O G K O 8 W 9 N 9 9 9 L a w I I Z b W w B v u x W j 8 J C Q j G t h r U 6 Q d T R I j k b Q P E b 2 b t W Q S 0 n O x q D b 3 3 Q 9 N f B S J p q v 4 C c S 1 + J l 5 2 s J L N O M C m c C k U T z Z C X j 4 r 4 Z 8 J T 0 J m / w E 9 K M J N J B v 6 9 H m x H H x 0 m b p v D y q E I e X T D f l e L U u i 6 4 B n v 8 0 I B r K I h I 3 o M G t w Q n J O + F u + S i q 6 B q a g X G k 9 w / D 7 d R g T 9 9 e n H r h U W h c U o N X 3 3 u d G O o H 3 7 + R O 8 h o s l R k K C 8 x V L X H i 7 / + 9 a 8 I B o J i r q i t r V V E 7 Y 5 c e S R W r V q F 4 Z E R 9 P b 2 E j G t g M v l F C H z 5 5 5 7 j g j 7 T X z h 6 q t x 9 9 / / Q d q t h g h a j x d e f J H u Z 8 S G D R / g i S e e x J t v v Y k q c v g O d n X h 5 Z d f J j P T j M c f f w I O 0 o S 1 N d W 4 k + 6 7 a / t m b N u 5 h 0 y G t X j / / X U i G v j G G 2 / g l J N P x u u v v 4 5 P X / l Z v P 7 q y 9 i 6 b Q f e e + 9 9 0 l Q R 0 l Q 2 w a D 3 / P O f u P a a a 4 i h f 4 G 9 e / f i j I 9 9 V D D b U U c u I 4 b i M H F B t R + K o Q b 2 D K J n y z B W n r + E C I y I S G e h v x F M 7 N Z g z g o X r I Y k u W l 5 2 J x e N D T X w O U l 0 3 M k j s i A A U 3 z 7 D C S J m 9 r b Y H R o I e d z L i E p R f h T D 8 N G g s T I g R i / h z 5 W 5 r 8 G L W K 7 H o N p z a R D 8 g M k v V T C 6 i t S g o N j V t 0 P A x b j R k R M r c 0 4 O w G W b W J s D a N K x E A n 1 c J 5 u G n k a 4 5 A + 5 a B + o X u l D V 6 i H m 1 m L X W 3 s x v G s E 7 j Y d D O Y a u n e M t E U V / B s f g q l m P h y L z x G / 1 + q D 0 J l N w m T k e 3 J f c M p R a s e j 4 r Y p 6 k q r g U z C o 6 8 g j T O K 7 r f u g 5 O 0 4 V i E L B H i f U v H 1 a h Z r s f w z h Q x o g 9 m m 4 X 6 g / x F c J p S P T 0 B m X j 7 f 4 l 4 x 3 X Q e Z c K N y B P v p R B b x b v t a R J 9 P k g D C Y v / Y 1 Q E 7 z i e C J r I J N b h 7 T W C U e V G a k Q u Q w O 6 T d F L x K w p c f C a S u c V h 3 s Z h 0 W N w C t X g 1 M 2 j H k H H R / o l + 7 x w Z v a x W d q 8 O u 3 X v w 0 k u v Y o T o v 7 a 2 D l q e k B S o 1 O d C 9 U a w a + c m t L c 2 Y G J 8 C D a L E U H f K K q I Y D l s z v Y w a w 2 + A Z t n H O L e v X u 3 C H 2 z 5 G X z j 8 3 A t e + / j / q G B n z 3 v / 8 b 7 W 3 t + I C 0 B u f V s Z r 3 e q u F t u L v 5 s 6 Z C 5 v N h i u u + K T Q b t 1 d B / C 5 q 7 + E n p 4 e j A y P i P v U 1 t b S g H H C p W R K / v Z 3 v 4 P T L e W A c R p N X 3 8 v h o a G M T 4 + I c K d H N p n h M N h 3 H X X 3 4 R Z 1 t 8 / R E c K z H Q o T P R N I D Z O Z t x 5 S 6 h f 0 k R g H m Q S Z E p 2 e 1 C 9 z E g D b U S A C N 9 q q M V I T B J M n a N a O J v s 8 C z W I n h Q M n V J w Q l M J P Y J 8 6 j J c g x 1 v 9 S O 6 E A C O b M V Y z E 7 O b o c H o 5 h P L 5 T m H N 5 Q w O G k n v Z K J h C n u P h B D v 5 L g a R J l Y C N o F 4 D i 3 Z j x w J C z l g O I V Y z o z + 6 P v y J w K P t 1 a D Z R 9 b j K a P r c D B N 8 i 0 J n 8 k n P N i 8 4 5 e c e u G i 3 8 n n U v Q W p y S 3 8 E R R Q a b n v S H E w J 0 Z j e 8 N m o f M z l p T W 5 / D U n 1 F J l V V g 4 S k h b O g s 2 x C B p W V J F m b M T Y r i z 5 I x a 4 8 w Z o E w e R j w 0 h X v 8 p 8 R x m i 1 2 8 7 D b P 1 H t + m R x t M J k d 9 L c Z J v m Y 1 2 U j P 9 q K K v p r J c H s r v P Q O b a p 7 8 X v z I X 3 6 t e K V r I q 6 H X s H C P q P W Q B k G z K N 3 + 2 6 B y + j t F s x K U f X 4 5 v f + t r O H n R a T j p u G O h + c c / / p E / 5 e R T i d D r 8 N 4 9 N + C 0 F N n G K i g + V D l k 5 Y H V i U x x y e 5 l z i z 2 T c q h Y G K V g i / J J M K B D c 4 J z L F d X M T t h d 9 y 0 L A 4 Y C j 9 m p N i R e 6 W r u j L q W s L y J G l U l T y o R K R B H a 8 2 k 3 M N B + B r j T 0 t h R J b 5 6 M L L k H 3 W Q 4 r C d b n K S v I Y s a O 9 + 1 g N B A F I l J H R q O J k L k 2 e V 0 g N o S I 6 E V R t r Y I S J s o U E 9 i D Z E l o m Z H F + N n k w p F h 5 p 8 l k i B 2 E K v C N y 0 S K e I x D e Z y V m l h i J E 4 5 1 6 U k i X N K 6 w p c o j 2 h q m H y E W h i G X 0 C 6 4 X x M J j v h N S + U v 2 V I P b W 5 3 4 C j 6 / r w w a o I F p z l w p Y H r k M 1 O e b L v n o v 3 a N O m g c z e D G 2 I 4 R a M v u U S O D W + 6 6 H M 9 6 L k G U e X P F O t H z 2 H 9 D b a 7 H v + Z u h 7 X + D G C o P E w 0 c Z 2 / X n P 0 W H B 3 k 8 6 n 6 0 b + P N P U c 0 l J 5 C 0 y j z y P Z c i U 4 m 9 5 e s 5 S + L e 7 v Y q j p q j D a P C Z C S d M b j v r q l L k t Q r n o n / K t c i c O R m Q 1 0 h y n + v 6 J e A S Z S B f y x i Y x I c + h c 8 2 u H V v y r a 1 t i J L Y T E 3 2 I O n v E x q H p b / I q t U Z M f c 4 y Y m s B G 4 A N 1 q e P i G 1 T 9 K K D k i M V W h A O f B v l T M 4 c s W Z 5 F o i D L b D s / R Z V x I G V 6 D + H Y O T c D m 9 i O e U O D O C Q / T l w / M y S P J L I f R i l G M o l q R b n + 1 G 0 5 x 6 6 D r 8 8 D q a B E O S X K Z 2 T o / K H Q p s V v z r 3 g e F S T o Z 8 A s f j 7 V z M B i m P t e g r 6 8 P i x Y s w M j Y G J m u Y V x 5 5 e X Y t 7 8 T S x c v I 8 3 s o f Y d J J O 5 H R M 7 0 0 I z K t n o a g g T j f 0 a c t o r w d H z M 4 T b p R w 6 B f l 0 D J n 7 z 4 D + s k c B V + t U H 4 9 1 j 2 H n P Z 8 h s 9 2 I e V 9 / h P w g K T F X y v r I Y X S v G 7 V H S B O 7 L 9 9 4 B t p I s k 8 m 9 G h 0 k S n 8 1 V X i + B o O a N D n 7 v E E 2 q r 1 W E C m 6 l j H 3 Y h 1 k B a 3 x u A w N I t M c R 6 X v u 2 9 2 L j 3 D X z i i i 9 N T R k 4 X F 4 e D K K R P H 5 H F g l b M d / 8 5 j f F t S c m J v D d 7 3 4 X T e R X / / S n P 0 U 8 H s M P f v B D 4 W b c S L 7 4 b 3 7 z G 7 x H 1 g 7 T 6 b n n n T v 1 u 2 I w V T G m 0 4 2 W t C h n 4 K j B l l E u w 7 R S O F / 3 q 1 / + / E a e U X d 7 G r B 7 y w R 6 9 5 o x O e b C x J g T 4 6 M O + C Y t m L 9 S C i J U m h / i I x L 3 S l q L n W F J + t M H k s I i O 4 C 0 G L / E 2 U Q A z H Q i h Y R M H v p C / k u O N s / S y 4 y o 5 N + p o T A S T z o q D M z g 2 S v + l 3 / F 7 z j 7 g Y l T g a Q 7 V W A i L E O I p T 5 U I p z A p m f 2 Y s 6 S + R i v y R K h y N F L j Q 7 R y C i R F Z k a 5 X m + I r i v 5 s z r I I 1 D p q 7 D i + O O P h 5 9 w 3 0 4 8 s j F S M X j O P 0 j H y F T q Y E c 8 i S O P f Z 4 J M g R O b p + A N l U l M w Y 8 g u N t f S U a c Q m D L D V l U Q c C D r / Z u g D u 5 B 1 L S M t M i b 3 p w Q 2 I T n 7 3 W k i J g 6 s Q 8 p 9 i v y N h K 6 3 / o 7 I 5 B D c J 1 x D 3 a M T 0 T 6 3 J Q d b l Q 2 Z / Y 8 j G a M 7 W 0 / A p H k u P B Y a W 7 J M W D P Z q W / C k w G E e g y k + R 7 H B J n 7 H o e R B I U Z A 8 Y j k U i m o N 3 / N N E U M S C Z f D Y S d o P + B N x k W u 3 q y 8 J u 8 p C f / U + 8 v 2 4 z w p E Y F h y x B O m s D g 8 8 8 D D s 7 i b 8 4 Z b b 8 P G P f 1 w I t y 7 y t a + 6 6 i r h R 1 9 6 6 a V C A V x + + W U i c P U + u R X s y 3 M 6 H P 9 9 + + 2 3 h b B a Q 8 z E g o p / u 5 C E 1 c c + 9 j H 5 i d V g C u E X U 4 t M T y Q 4 t R w R 1 p L w V Y h c R o 6 e I 5 m Y I A F Z y B A p y p S 4 7 Y Y H M f l y i U S r D u O X 7 3 8 W v X 2 9 w t 9 h / 4 S D B a V g f 4 l 9 J b 4 Y E 7 s 0 + S o 1 i v 0 n / o 2 y j m Q K Z N v n a N D Y k t Y R I T O R T u W I l U G W J a 6 4 J j + b n I h Y B i K V i D U d + V r i M 7 2 K u 4 L A J h + b K C V M p d Z Q 2 9 / a T U 6 9 g T R I A + q W W x F I k u C x V J E f o o X L T I Q k p G l J 0 q c K E X K u j R o b j J y A W g H c z j x J 4 M g g X S 7 T A o 1 h k J j K B P d c B z z B O 5 B K N t P w G t B d 1 Y x m u 5 x 0 S o J p d E c Q 1 Y s 8 U j I t R + A 4 K 4 G I L W 9 k 0 0 v S m v a D N y E y 9 6 f i v W S e V Y s J Y E a r q w O O v l + h s + Z C V J u W k K k p / W b L H Z e S p s i g / c u r M B H V o 9 5 Z E C 7 7 7 7 w Q 8 7 7 0 M F k e F u x + e Q I d p 9 j R F X M T M + S p P 7 K o s u Y x s X c 1 g u / 8 D q Y j r k L 8 g / v h P u Y 7 a D j 1 T P z p / 7 6 I j z e P k Q Z k 0 Z d F M t A D R 9 1 c z L / s a q S 8 l w u t w 8 + l Z U F M U n / y g A m e h e z P 0 R g J 0 9 9 E f r p b R G p 5 V u U H P / g f 8 o / H c M 8 9 / 5 R b R 7 4 p C a P j j z 8 e l 1 1 2 G W 4 k L c X B r + u v / w Z p r B t J U 1 U L P / q z n / 0 c 7 r r z L p x z r h R U q Q T 2 6 z i 4 k i / j F i g Q J l 9 0 m P r V g 0 g y T / 2 g e M I z Q i L g U Z I s d 9 z x J z F 5 + v w L L w g m 4 Q f g v y y N / u 9 H P 4 L P N y H m X l 5 + c R V J 1 R Q 2 b t q E d 1 e / S 9 L l D / j 7 P + 4 W I X c O C j D z 8 f K N F 1 5 6 B f 7 R A a R j M Z H K P x M z c T u U L I W y D K J C P k 8 P J j N T s W a S A z A M 7 i g 5 y b Q U U Z L q k Z Q W S f J 1 W p c 0 o o 4 z E k g Y M D M l s x q 4 S G I L R p y B m R i p T F D M j c y E / l A 3 B o i B n X M a 4 V 6 Q h b M + B 5 O x D q G D W o R r / w v J 5 k 8 g 3 X Q + E Z E 8 V C S E M r E I T C 6 j x E w M d v i N L u R J 6 y j M x I j M / Q m s u 3 4 J + 9 7 / g 3 3 w T j g m b s O i o Y e n V v l m 8 n b U W V Z M M R P D o s u I i d 6 h U D E z 9 a z + h 5 i X C t P 9 e S n M 8 g v q h F O e 2 b A H s c 3 b S a O S R U A d v e e 5 m 5 m v 0 b 3 m A T G c T a e f h Q F / H o v 1 g y J j q T + S o b H J w F J N g o I c G m P i A M b C P E Y k A P v f h n 3 k z 9 C G d y M e m o A 2 2 U V U 2 4 c 4 W y 9 5 L f T U T P 5 N Q V F I b / i 3 j O 9 8 5 z t C 6 H / r W 9 8 S N L J 1 6 1 b S X j n U 1 9 f h v P P O p / M 0 4 v u T T z 1 Z B F I q Q Z k C m I m Z F I h M D w I L F f b z d D / 4 n + / J 8 1 A W r H t 5 B + K d J Z E i a w p n X H M E P U Q e O 3 f t w q b N m 4 Q t u m f v X q x 6 / n k 8 8 v D D 6 O n p w k D / g A h p h 6 N x r F r 1 H P b s 2 Y P X X n u d 6 J B M o 2 h M T A i z N G F G e u S R R 0 T I + 4 t f u B q / u f k 2 Y r r 3 c d L J J 5 M 0 T 1 L X M O O U s 6 G 4 2 / h b D k Q Y h W m p N v k Y / B 1 L f I b C f I z C O 0 V + 8 J n U v X k a 4 Z J O Y 5 P P F 7 a i e e g m j I c / h k b V + p 5 Q Q j u 1 H F y B J j l E D S q v g S z 6 a j G I a v S F N 5 A G 4 A i l x A z B 9 D 6 k y a S o Y j O Y r q P V 0 l M 6 4 8 g G r U j Z u 2 H m A a N z 3 c S Y Q 9 H d i O w 2 I h U j U 3 G e l E 8 2 M z R I 1 5 6 G V P U Z Z N q d j h S Z a u m a 0 + g h W Z D k Y Z p 8 D x l b B 4 w D r 8 E S X A V T f g v 6 1 q + j r 5 J Y 4 d k v 7 s s L H P P 0 d 8 s j N 8 J u 1 K L l 5 G u k S x O Y s R p I S 9 b O r c G u F y d R O 9 8 K 3 w c P k h D R i H M Z t 7 9 4 E F d c c i 7 8 m / 6 J Q H A C D V 4 r o i R U Y 3 H y / z 7 y L V i b j y Q B 6 4 P d a s K z a / p Q v / R y Z D S N 2 L z 3 A 8 x v 1 M P S / Q A s Z M K a U + + T t X S m Y C b 2 t d 9 4 / U 3 E S B B f f P H F 9 J Q 5 3 H f f A 7 j t t t v w 6 i s v o a W 1 D Q 8 + + C A u O P 9 8 E Y X u 7 e 0 T 5 / 3 t b v L X Y l F 8 9 S t f J n l I v + L o Z C k R E S Q T b 3 r E l O + r H k 9 e H c 4 p V h L o u N Z G / j 8 R Y H 9 A T y p X P l 4 J w j T S w G q 1 w V 3 l w c U X X S g y z j k T o K a m D i 5 y r J c v X 4 7 h w X 6 R e n L E E U d g z p w 5 w n Z l 7 c Z z V s 3 N z V i z e r V I L 5 L C 6 d U 4 / / z z M E b O t 8 1 K N q r e D h 1 J B / b V G K V N 4 g C F n t r B x 8 v F G 8 Q h 0 k 7 q H / K x 6 Y 8 m / Z h 9 O C m 4 w N I 6 Q 0 z K K 3 x z a B 3 4 J X r 0 X 0 f a z m H 1 A u w m i V n V 4 A V 8 h 4 N W x 3 H E N A W N 0 O o 4 E X P d x 4 u I F y N P g z I + R t I 8 E y U z q h 1 h X g Y i j p v Q 6 F g J e x V p z K X T s 1 C K w T 3 I / x W 3 1 5 / o R C j Z Q x 1 J q o M E S T x r R B i N S L V / A p G 2 7 y N c d T 1 a r t + A J f / 1 H q I r f o 1 0 3 U e R M 9 O 9 6 H w n m T O 6 T A j W g z d D k + G o X D G W n O v B j l X D s N J 5 l s U X E O H n M O 4 P i T n I 7 9 / w d d h J m 2 n 1 5 E / 1 D y I d m Y D H n s X d L + 3 B H / + 5 A S 0 b / g f + 1 2 + G b 2 I Y R n 0 O f 7 j 9 D z D a D c h a G x F d / H 2 M z f 0 K I v X f I k 2 q E 4 J I J y w L H r U 8 L r n k E v y W h P L v f / 9 7 k Q l z x I q V u O a a L 4 m l Q A s W L i R h v V p M v z D e f / 8 9 n H L K q f Q r i Z Y 5 t U h k 5 r D Z T W q V e U B D w o Y j y 3 z 1 U p 4 o F Y 6 l Y A 2 l G R 7 b m 7 f o P c K H + v V 1 d 2 P 4 V d m M k K H 1 x H H 7 x n I R E Q Y P m C L 1 C 0 j T Y f a h Z r 4 9 t 1 Y j F i 4 u W b I E Z 5 3 9 M b q S r J k 4 M M H S U W W + T I E u y g 8 6 / a 4 y q E O y O T K H x E / 5 H n J D 1 J 0 j P v M B k l B 5 u h c Z 5 X m h F T V 4 5 r 0 Y 3 t k S x F E L r H h x b R B 3 f 7 e a v s 4 R Y e v g M K l M R h W 0 i S 4 i P H W e 3 s z I s d l G g 2 h U s r A J O W J m i a k 0 G N 7 q R 9 6 r Q W 2 j E 7 / 4 1 a 9 x 2 a W f I C G l I / / B g s c f e 4 I k f Q B n n n E m l i 5 Z Q E K q l Z 4 i K w I p G Z K s s c w k m a s R 2 A 1 m 0 h I t d M 3 i 8 V T D d u D n i M 7 / M Z l y W p i I k P 1 x H Z m p e d Q 5 p g u O 3 X + 6 E O 4 l Z 6 H x Y 9 8 S n 8 0 j T 0 O f P I C 0 p l 4 2 f b X Y + N p z S A 8 P I W L 0 o M 7 k x 8 K v P 0 V m W w C r b 7 k U D c 4 8 e v w e d H h 4 9 a 0 0 J i M X b E L + i X P Q 4 k i g / d K b R M Y G T 3 c M b 5 t E 4 5 H E y K S O N C l y L k X + H P k o X l 4 Z y 2 M g P R N 7 Y 5 / 8 5 G W 4 9 o t X 4 + z z O K O G m Y L M f R X h s f b K k L m s D L / y H S 9 f 4 U l w E Q t T G U T a b J g Y y i H R m H x u + Y R s y Y d K p w p u g y b Z V x y U m B Y 0 m B H 8 M 1 X L y 0 D d K A b L z A K X l 2 f G A k i 9 c u h X O Y f D 6 N R Z n K 8 Y D E k a z k w O a i K Z F H 9 T K b b N d S I T g T M J e J U v f 0 6 n S S 0 T Q / D 5 J q M J I T I 3 b H Y H 0 p w k K z 8 D R 4 H Y p O X B f G 6 1 H 2 9 v D s B C J k v v a A q / / E o N + Q c F u z 1 B T r X Z I L q s A A 6 p k o n A u V / / N u j S E w e C y L r T e J S Y 5 9 Q T T 4 T L 6 c b a D S T J W 5 v Q 3 z u I Y C Q A p 8 N J f s E 5 + N O f 7 8 R P f v R D 8 v t G k c + 6 S B M U T J U 0 O f M z + X A 6 / 0 7 E n e 0 w E M E O + b V o 8 p Q 8 F 6 E / u g 7 1 m i X Y f 8 9 n s f Q b z y L U v x O e j V K g g x w h Z M 6 9 W 3 p P l s W 7 v 7 s I N T Y t h o I Z M m H p 6 1 P / h C U n e L H x z 5 + H 0 6 x B K k E m a O g g b N W t m H / l H 4 G q B d h + + 4 X 0 n R Z z P 3 E j M d R K j G 2 P w z s / T k q R p z S I X n h 5 v 9 a K J A m h 6 u o F 4 p i a 7 t i n F + P H W o u 4 o / w c K N M d j 2 9 5 e l M S a T k 0 z r / n s 6 X f K P 8 W o K b p a Q z F 2 S p q h r r l t f u x I d s r v l R g S + v x z 4 v / V 5 h p 7 I R y I I L X K X G y J 6 t J U V K M E I 2 G Y T C Y x M M p K G U o h m S G q B b 9 f Q j w M n c R x i w D s V y j j F A W w 8 D i i A a G 3 i A N M x G S 0 s E 5 Y l a e m C Z G T M v Z 5 q Q x D o 5 l M b e G z + e J 1 R m Y n 7 M E W J s y Q 8 1 0 3 i w x u i O C u u U k 9 U U k k n p K 1 t T h g Q Q c z Q W G 4 R J f O p 0 f Z p 0 b 8 Y w P o c w Q 6 s z L p O 8 y 4 7 D p p 9 d 9 K E A i z E B M C 2 f w b W g b p i / R U d C 3 c R W C a / + G 5 d 9 c h b W / v w C N d q m E m n 3 J e a g 6 5 R v y W c A u 0 m I a N g 2 o j 0 3 V c z D 3 U 3 9 E P O D H / j u v Q I Y I l p k 9 5 u + C 2 d W K x T e 8 g N V v v 4 r 6 v T e T E L S h 7 d p n x D U 4 o X k 4 Q c K D T G F B z s n h K b P a 4 e I A w K E o h 3 5 D z F X O B 5 J Q E O R S D 9 D w k V Y 2 a G N y J n k 5 F A t / T i 7 i H M c B / 0 a 4 t K q M / t Q 4 M 9 Q o X Z e c S G K o L z 1 4 E + 5 z 7 5 S / l d A c t q D v M w / g u 9 / / H k 4 4 / g R s 2 r R R L I / g x F V O A e K o 3 f Y d O 9 D d 3 S X m A d h m 5 h A 7 z w 3 M m T s P b p d L r N r l F K L z z j 0 X P b 0 9 6 O v r J 5 P l D P k O 5 X A o 7 a V 0 h Q T 1 J 1 6 l W y l D g v 9 y Z 0 j B M e U e P H 3 M 7 7 Q k Q b O Y T A z D p r F i L E w m l 4 O M K f p S l y e G m U H S T 0 d x + 9 S I p i f g S 3 e i x X q C f G Q 6 g r 0 x j K W H q Z + T 2 L l r N 2 p r a 0 R K F 6 d b c b Z 8 b 0 8 P I t E Y z v 3 4 O a S x + V 4 S + m P r 6 b r H y 5 + A 4 f h W M r 2 W Y T y 1 d 4 r R 1 E h m N G L V a 5 x k h m f g H s Q 7 v i R / U w L 2 L 9 K c I p b B 2 t u u h D v Z C 1 t t B 1 q u e Y r k h 6 S V E 8 F R d N 5 / L f L N p 0 A 3 s A a N 1 9 w B t 6 U d b / 3 2 Q t T Z N d S f O T T Z k 4 h F j D A 6 d I h c + D K S j 5 6 N J q c G H V 9 5 l r p L C + P E u 4 j Z T 4 L e r E d f + H 3 y L 0 8 i o c z Z H 7 x c v x 5 R M s / d Z r K k F H N B D R Z q p W O U I X O e / L Z S + M i P r D K 2 k / Y r V J X K k p + i U 6 2 h K g v V P f w x c g E M C V i H b y U t 5 U X G N B f m + B p o / J O j Z E h l Y H f W E E P 9 r C J D 3 X f / f e T U r R V m I c 8 + c + i b l 1 b w G q Z r r 7 1 G F F j h y B p P n n F w g h N m j z y S I z i T I v 7 P y 9 0 5 8 t f f 3 w + P p 0 q E N l t b W u W 7 f A j k y Z R T z U W x 3 8 b 9 U W x W S q T N K B 0 C M b H M 2 d F T 3 3 B p s i z 6 J 8 f J 6 S W T x S Z N 1 r G r p R X L C H j J x G E i N U H c O / 1 3 Y u a f y 4 A J Q p H q O m S S K e j J d G U M 7 Q i i c X n l D I d A T x T u d m l g g 6 l + u M h X k p 6 0 8 J Q Z I j 6 9 x o x A q g 9 u Y 0 k / s 3 k k N G q B g I Z D O s y b / A O i H d I q 3 g Q x m 5 l T d F h L i i C K d O 3 e u y 9 C f L w b l p o O a Q m H j D d + d x l q L S m M E O M 0 O r V Y e r 2 U H b H 2 5 g v g o o F J c / W p 4 C D 0 9 g Y s v W E V 0 Y o W O + + 4 U O T 0 1 V 3 x K I b 3 T 2 D e 8 a 0 i S J A h w W a 0 F s z n W G Q 7 r P Y j i N 4 c S J H l Y J x F O L s Y R B N c D k B D w l P r h D Y X Q k 7 v J U H K l F I w 6 r J p E q B c b I X e c 2 T a Z D K I N D Y 7 + c 6 C r t i k p H 7 j w j d c x i C R z C G d L z b z t V z I M i v m O A q D U Q q + 2 L H H H i s K t b C U X L x 4 s a h Y x B O 5 v F z j z 3 / + i 8 h A 5 8 / M c K t X r x Y T u Z / 8 5 O U 4 c O A A l i 5 d i l d f f X V q L R R 3 z L 8 N Z q Z c g j o l O 8 V M o r C G / B x s j j L 4 E 5 u e a v B H 9 p c k 8 B n S T A Y T U W e f e Y q Z G C w M S 4 s m q p E h G z o a 9 B F D J J A m U 5 G L g m T T 8 v y N 0 U s E 3 Y v B 2 E a k O A u b I c L 6 3 F h e r V p Y N K g w U y 4 V R O 1 c 6 n G 5 / R L y C G e G 5 f e Y Y i a G n k w b v v Z I v D j f k p m J M Y 2 Z G M R Q 0 X S x X d z g z A p m M o 2 / L N p I r C h 9 I Y h X 6 t N 4 a I T 6 k i w A G u M 8 2 9 Y q n P H 9 J 4 V J 6 L Y Q U R L R M / J k p R z r 6 s c 8 a y 9 4 u V U 2 S 3 6 t k H o a 7 H z 6 t + J Y 7 R n f g 6 3 K i r o V c / D e H g 1 e 2 U L d x s z E 2 i D t o 7 8 x w U w M D S / / 1 1 t I D t A o c 8 R v l i 8 h d U 1 e E l 6 1 Z J W b k a N x Y b + A 8 y b J y 6 a v E + I 8 n g Y w G Z l G T S I L w 2 q 1 w + Z w 0 + / o f B K M a U O 9 G F N u B 0 w 1 J N C L + 4 B R 5 E P N Z P K V 4 r + + 8 x 1 c d 9 3 X M X 9 e a f F D N S E o C U F q y A T 1 n w B L W p n Y x V 3 p H 7 4 6 g + / M M + r s J r G J w A Q 6 1 T K O q C n L H F R I k 2 T M a Z L T c v k E S s N B / y b Y / 5 m a 0 x J a o F j q B n t i c L V L f m J v d I 3 4 6 z E s h 8 M o a a 7 R / W O I 1 v a j 1 t Y s l o F M J g / A a y o d i 5 k h q j Y R k S l Q o l m a p I + k M F G 7 n i Q x J 9 v q 3 e g N 9 a L 3 X 9 9 D o y l K f a u F o / 1 k 1 H 7 s O p J k U j U i B d t J 6 3 R c / H M i u m Z s f v Q G u L W T a L Q m M J m x I 0 a m J W e A 1 5 / x I L Y 9 c Y n I 8 5 v / N U m T q d G / f Y y 0 Q Q 7 N K 4 i A O e I r + 0 M i l 6 8 I C i 0 x Y b O A K E 9 b U y t y Z 8 R 0 S j 0 U p o I S K l O w a G L 3 r Y 3 v I + W P o j 5 k K r w i J l x 9 / E X T b v X x c 8 6 B V 8 l r K w K f q b y k f w t N 5 X f T H 5 g j d b x E n a U f + 1 4 c l W P z k Y / x Z / Y f + D M f 5 w o 2 W f r L V W e 1 q r A z E w O X S m Y 1 z k Q h / S V J x i q G w H / 5 p U W c p F F 5 j c P V Q f n 6 / k h 2 e n 6 e M I 9 4 w K T r / b s o W v S n C m 2 z G c i 3 s N g i i B J f s 0 Z 3 6 6 o R z I y Q S V V g m G z A j I b G J v K D n M I P C q U H B G P 1 R t 8 j r S Q t F S 8 H k Q M p 1 x I s 9 T k 4 g C R Y n L S A f e B O p F z k 5 3 E C M T 2 7 R e P E 0 J r 7 o Q / 1 w W S r Q t P l t 4 q J a B Z O s Y c v g + X A o 0 h t f w Q t b h 0 x + t d R h 0 e w b 8 t W N F X p k d G Y E K c x Z I G 0 9 L q n k L X p k N v + I F 1 b C + 8 x V 4 p 7 q + G q s 8 F Z T w w 4 t A s 9 2 y P w t k p 0 Z j J L A u b Z Z 5 / B D d / + N m L k y 7 P l 8 9 p r r 2 H H j p 3 4 6 U 9 + S u 3 P 4 6 W X X i R 3 Y 6 W Y 3 F 2 5 c i X 9 Q o u H H 3 5 Y W E 7 s e j z + + O O C F v 7 + 9 7 8 L l 4 W z e 5 5 6 5 l k 8 8 v A j e O r p p 5 D J p E W 1 4 d W r 3 8 V N N 9 0 k s o F 4 P t X r 8 c B D V p j o Q + q r q Y l d l T C U q J s l J O H 2 a 3 + E z d f d W / R 6 + 1 t 3 / 1 s k V M z 3 p V d i A g X M 9 F B c / 8 x E x M M v I 5 m G b F Y o n 3 n S l x c m G o h T j A b p e 7 3 e K J i I r 8 8 v y Z / U y H 9 p r M o 1 m r V M k S l V A B c 3 U c x F p 7 n 8 O V y O + n C g i e 6 S 3 x 0 K U j 8 w 2 F d L Z L m a U S 3 8 n W H p I B F 1 m + 1 k y S e T Y a m X f m M z S n 9 5 c 4 W h G B G w 9 T j 6 N P 3 h N c k R 8 Z c 1 t s h T q 4 B Q Q v p t p L W k I h K h w c X z O a z 7 u a i J b B a T M J i I Z n F g K I 3 B Y B b d k 1 m 4 5 x A D t X 4 J Z g N b B p y C R a b n M Z f i i G 9 J 2 m j D b R e R L 6 N F x + f u E Z / L I R f v x Z j T j / k n t o g i o g f W c a 0 T C R d f f A k u v O g i s c j 1 s k 9 c j O u / c b 3 w y / n Y W W e e B Q f 5 9 q + 8 8 r L I i p C Q R 3 t 7 m 3 B P r B a j i F h v 2 L A B T q c L m z d v x K O P P Q a 7 z S r m + j g u E A g E x T J 8 r v P P b s q i h Q v F b 7 3 V k j / M U z e V o B U d f d h O 3 q H B 2 o R R G N o C 0 R Q w Q 8 v K Q j 6 f z Q B C J p 0 U Y X x + e N 4 s I J 6 M C q d W C s 3 L E P a 8 / J k k J G c i l C K d z M J g k r Q E L x m v C N k 3 m B U y I e R t v H 5 H e j 8 z C v c 8 0 N m N o H 8 c 6 z d s g r 5 O J 6 T w p C + I V 1 9 / S 9 j x A n Q 9 j Y X s J w J L y n B 6 h L R T P f T R N q x 5 d y N p b g O 2 b N 2 J P 9 x 6 O / Y d 6 M b u v Q e Q M 0 k V k 3 g 8 Z s r u c K m E i W P g F v k d h 4 l 5 W Y w c + J F P C R 2 k 6 x H h 8 8 c c a U l h D Z A 2 0 0 9 u w p b H f i G 0 M H / H 1 Y 6 a T p J 2 9 l C S Y L k d G n 2 x u a i G V u 9 E u / 0 U 9 M Q 3 Q U e M O f / 4 N n E 8 k y i M 7 f J l y / H K q 2 + Q V n k a S 5 d I f f 3 s c 8 / h 6 G O O E Q t c O Y / v Y G f n l N X D q 7 P / d d + D q K u t F S l w r I k 4 y 0 d J 9 u a l H 7 / 7 7 e / g 9 X p E / R R 2 E 6 6 6 6 n N i d f m i R Y u w c e M H 4 r y Z M O V D 6 X k n C N k 8 E g 4 x v c 2 k R m A w N p A m k J x / Y 8 U 4 f Q H h e E 6 Y I E Y O 1 C v g u R 9 V u k 0 5 8 A K 7 P J 9 T c f 6 A C D 8 r 1 a w 2 T z 6 P h P c C + a g E T Y J r c 1 v I 9 r c i P s r R G A 2 M D g 3 s w e e Q q J P q U k h m G 0 H V n q F 9 E 2 h c S I R K / h g Z e m Q 2 c p U l O a h w u M g G x X V 6 U / v F R 6 e h W Y R n B Z g Z 2 d a W w 7 Q M s S O I I E L p c z D B W e w 8 H N J x H o f h / e S D U P u K g x Q S I s M h W J w R s e 5 L R A 1 Z M N J 9 U j k 9 E b N 8 P i 9 g N E h 5 f 1 I 2 h m p c O A m 0 J B t F z B 3 m I q I f x P d 5 A 2 l L F / a u + j 0 M g + / Q t W N w N h 0 L 1 / E 3 i Z 1 H t j / 0 H T g i n R g K k s / j 1 m L B W e c i 2 f 5 1 v P n r 8 z H H K 9 0 r m I h i x b e k h Y V J M h n 7 H 7 o e J k 8 r P E f f i q o F F Y R 5 c p R s P C l o w 5 E 2 j U 4 v + 1 A c b e N d Y E h T s F k + Q y Z I Z X D f y J 1 e B m J c W F L N A A 5 j 8 Z q r v t E Y v A 4 5 o Y D / V x j K Y r X T I L J K p 4 c m w j B r 7 f T t 4 T n h S r S t G C x R W K z x J O U s N S G Z Z l n o y 5 t t B F 2 0 h + x w m V A V 5 B M i p G r O x B H R W A R B m n V m k U q j S 1 G n 6 3 L Q m 6 X G 6 Z O d i O n n I z Y W h b W W l 1 d w G 6 W b p Z K s 8 S T p P 1 v 0 + b V o r S p I T k a S / B T e P q Y c e s P v w z V y H N z z i / s 3 N k b X y G n I n N N i 5 8 7 d 1 C T 2 + X R I p h K I x m I 4 9 e T C H F M q l I D R a c J Q O I 5 G B / k W a T 9 1 f h m J n y M z V U w P l M f B V 2 7 H w u h b y H z i a f m I z F R T f c 9 t y u K d m y + F O 9 U P a 0 0 r 6 i 5 4 F M 5 m K 8 a i I 9 h 5 + 1 X o 8 J g x G u G U J S 0 W X v I t p G r P l B c T a o W / 4 V h x G e p O v F p c 7 b V f n V 8 U V j 8 c T A 9 K s N A n S m G i Y 8 F 0 C H C m O f t M y n Z M D K 6 O V b p A k 2 W J w q d s 7 Y h t l O h 0 / o W a F d m k Z C u J L 8 V m N J d A 0 L L 2 6 Q u v F a t I u W A F + y Y 2 U w 2 p W a n + + O G 8 j N S 4 6 c d N 0 l + D r e T 4 D C + 6 N / t J 5 b 7 T 0 k v j 7 B D v W a N J x 6 n t B g c s J E l z F i 8 s J h d s Z h d 1 N P t m J p h o A E 1 2 o 3 h G T g / K W x a C p 1 i 8 L S 4 6 l 5 + b v p O v z / X Q i z A L v 4 m Z i S d J B T i o Q C j P T E J 2 w d K z D P 3 O 6 f X C r b V a h N 2 7 a M D y a D E v x P K l i 9 B a 2 4 S j V i 4 v Y i b G p p 0 7 R a S y w S r t 2 8 X L C N I 5 o g J e i S z f R 2 A G Z m J M 7 H 4 L 3 T 4 2 Z e X f k D 9 d L J z J X 6 I + q C N t L 7 Y P S u Q F M z G c 1 M / s V 3 F u I k / e a s n H Y 2 b a / v R v x f d E i U h w b q D M T A y P l Z + u g G C n / G Y a p L P 6 w + v E 3 z w v V E 2 r f T / p e z 3 b l U T R X P s v y 3 U H K o A f y S K n Z R k M 0 j Z G n I 5 W d r W z S u m x S F P 6 Q 2 k 3 / + U X p 6 s d n N A J 6 4 G z L H i O S s v z G J z x z H M Z v K M g I x a N 4 v r r r 8 f l l 1 2 G d e v W i m P l o O 5 3 N p M K u Y D K r W d G d 1 e X q K R 0 O O B 7 s t b 5 n / / 5 H 1 x / 3 d e E 1 M m Q B O f P V 1 3 1 e Q z 2 k 5 m q z e O 2 W / 8 g V n X 2 9 3 H R f u 4 h j V i z N e m b E K 1 j B / T Q o D N V q z F n w l Q N 7 g o T w J L F J v W Y 0 W L D k p r y 5 y k Z D e 5 5 U l / a P R b 4 9 x c 0 Z q B H I q o T T z o G S d 8 Q P Z q J N C R J W T q m 1 x J B i W X 9 6 p E p I M n V b E t Q Z c 4 I j c S / U f x p r o 3 O 1 g Y / f 4 7 G l T d o 0 6 S l 6 K n O x K Z o V t S h 8 E 1 s F X c a j j B R 5 e A 4 9 q s 4 M K H H 3 F M + R Y w j t b / U U u W l H e 2 X / k r + R D 4 b 5 7 u q z g l 0 b 4 T + 1 W 9 A t / F 2 8 b n F I W W U r L / l E i R e / T 6 S L 3 y D 6 D O E W G h M + s u v S I D M r w i S 5 E P 7 x 8 f F a + o 7 + R U V r z C 6 D n Y i O N G L a C Q k 5 k j H R k f g m 5 w U n 9 X n T 3 T G i z 4 r L 5 6 L V d 5 n S N P N r V b 6 T 8 I U e x r J x J P W I e X w h S 9 + E Q s X L s Q P / / e H 5 N x J 1 X u U I W L G Y Y 4 U X C k H H h j / / d / f x e 2 3 3 y 4 k B Z / N x S / F r g i l P a r C p G 9 S L A K r j O L f C r u e 8 I t f / I L e p 8 V E M i 8 q + / O f b s c Q O Z n n n X c e v v z l a / H Y E 4 + L U m N n n X U W r q X P f J 1 9 e / f g n X f e g d V m E 2 H 6 L E k 8 D m j w i 5 1 W r g / A 6 2 v 6 B 9 R L N s o T Z i k m E 5 3 i p U Y 6 E o d v D y + n z 2 H f i A 6 J F D 0 L 9 c X 4 z j A x C 0 8 q V u 4 X t b + k I Q K s W l D w c 9 z t n N l N 5 5 D P u C / e h M D + P N w h j m a R 3 S + + m Y 5 4 I I l w l w 7 x X q l + u x o s V 0 S g g J A 3 1 U P / 1 K V Y 6 r t / K m q q J a 2 + 9 / m n y d U i v 9 h u h 6 3 1 W K I T H b y m e d j 7 r 5 8 J k y 6 R 5 i U w W n i O v x o 2 O m / z v d 8 k c z s P P y n 3 m m O u E K P I R B f g l c 5 X / w g + p x J 9 A 6 I P X Q L 9 P 4 + E / m l p i c X e J 3 8 K R E h Q 9 L 0 t P j N Y O / E 1 D u 7 d h t j S L 1 O f U r / m S T P z X 3 7 R + G U z K f F e r w 2 L D R c 2 P t Z Z + H 7 q l U J t D Z e K N p G g S K O h j q w Z s 0 E s J u X P 6 n N N N T E E + 8 N T n y f D X L 0 4 j V R a 2 s G T j y l r 7 9 7 v L k z D T D E U g 9 U b H + K 4 P I c P F y 1 c h C 9 9 S c r v + u r X v o b 6 + n p c e O G F 1 K E a Q b w n n X y S y J z Y s n m L K C z J 5 b n o S 5 x z z j l o a G 7 A 9 d / 6 p v h 8 8 s k n i y h J Y 2 M j r v j k J w U j 3 H / / / Y J w e G 6 g o a E B n / r U p 8 R 9 P v 7 x c 8 R 9 e C c P b t F J J 0 m / v f r q q 0 m l S l r l x p t u w m 9 / y y t D 8 y K t q a e 3 D 8 c c f T S u v P J K w e S f v P x T Y q 6 B 1 b r N K g V S f v L T G 0 U R j 8 m x S V g s Z v L P D K J c M 7 8 4 J 5 E L f n D 5 s 5 b m w 1 v f F C f J P e o v z A 9 N 7 o m h d z Q P g 9 0 C z 2 I 2 I 8 m v q M + i N z O C 7 d E + 1 C y T I k q V E M / 6 R f 8 e C h p z N Z Y 1 Z O B e Q F p m j m S C V Q J v f O C Y k 4 V 7 r l X M t S l I x a N c / J U 0 U A v 5 Z M Q U Z N K x + T c 2 2 C 2 + T 8 d S y C S z G N 5 1 D 0 K j 3 c g b a z B n 5 Z H i O 4 b b J J k 7 j U 6 L I H h G k 6 l X W A j 8 + a g b V q H + x K u g y Y T E R n A u 3 Q h I w S E f r s E r r 7 2 J v / / 1 z 9 j Q F c G W C S s 6 R 0 L Y s + + g I N a d R M h b e 4 J 4 / s V X x T X X / u E S 4 Y 8 x 3 + u r W s h x U s x l f h Y N e v s G i N C l w k L g k t i E l Z 9 o I 1 r I o G f r 8 F R / s r C U t H D x P G S V V W I M F g 5 q 2 B v M C H S R P 0 / q m u t q R I N + Y Y k o J i A H y T g 3 9 O S O Q s Y 5 c Z D S F Q X c d d d d 2 L x 5 M 0 4 5 9 V R i j r P F M f 7 8 z t t v E 0 d b s Z 5 X d d L v X n / t d V F R Z v W a 1 f j o R z + C r 3 z l y 9 i x Y 7 u Y O 3 r 3 3 X e w a d M m 0 U H s C H I Y 8 + y z z s a n P 3 2 l 2 L T t v f e 4 6 i z E N j Y c w p y c n M B m O p / n m a T f b h b h c A v 5 Q P z b f / 3 r X 3 Q 2 P z F P 2 e b x 3 t r 1 e O b p p / D T n / x E D K o E G k h Z / 4 7 Q N X / 8 4 x / h 1 l t v h d / n w 0 F S 9 T X e K n z x 2 i / Q t 9 Q j c q f 8 O w g P k J b r S q B V E 6 G 2 W h G Y S M P R q k e 9 t 0 h O C f x o 5 0 O 4 b h v P u 0 z v b z U s 8 j 5 I U 1 D N P a n B O x c y 1 N p s V k g O E + V I G k J P 4 w T 6 v / V T P x f l i k d 3 v E Z E l Y f n l G 8 g H a d n S b 0 D e + R V W H W S y S k C V o 0 X w R + M I J z U 0 H G S 2 v S V n r R R 2 l a F o e g 2 p F G F a l u x n y R W / R I z a o y 1 q H c c j 7 b G u T j 7 t B V Y n n g N D d p R W D m q S F r D / 9 z 1 a K s x k x V h x b L v v I k L z p N o T 4 F t 4 Z n S G z l S u m f v f o T D U c n 3 5 d x O I o 8 d u 3 a T G 5 D E w a 4 e + k s a a W E V 9 u w 6 g P V r N 4 m 5 p I l Y 5 S g y z y + V d q d 7 D v v n E p v Y X c V j w x F n 1 v D M r z u H J S t C e + C D 1 d i 1 5 h U k o v R Q f I T U m M 1 h w R 9 v v w W b N m / A 2 N g 4 0 i l S e W R n c t E L 1 k o d 7 V L K u n R v y f y T 3 u W Q I n N q e G Q Y z z / / A j 5 J 2 o g D B u w E M l x u F z z V X l E + m X 8 j W 3 A C P H / E E 2 l c g X b q t 6 Q 5 2 H E s g F u o R T A Y w n X X X Y f n X 3 i R T A n e K I D 3 P c 0 I s 4 1 b w k z 8 + a s / L / y z t v Y 2 / P J X v w K X h P 7 h / / 4 Y e / b s l U 3 V k p 4 7 D A Q 7 q e H 0 c 0 e z H p 6 F J t j r b e S U N 8 J d z X l g Y Z i 0 J L E y U i 7 c v g M H M T I 6 j i 9 M L M U V W x q w d t 0 H 2 L p t J / X r p P i + H C Z 9 X C F W R p n k 2 r H 4 b q G t N c R s s t V x a L B U 5 / k 7 U w P 9 l X z l 3 v c e F a a Y X t 6 j 9 u A b f x M E p T U 7 R a 3 z h P s s J L z n w m E 1 C W J L k T q L 0 3 M 1 B R / B 2 P t 3 I R S N Y 8 C X x g B J / t G 2 r + C + P 7 2 O 5 3 5 + s b j m q s E 2 o X F Y c 6 x e s w 5 3 3 X 2 P q N 7 0 z 3 8 9 g K 6 e f j z 7 8 j o E A w E R U O E x 5 H n E J G + g R + P E j e A 6 6 Q F i 3 D d + f i a q j E m x g c D m 9 B F 4 6 J H H S Z j y R n / A 4 k X z 4 X C Q V e G O E E 1 x 3 b w 8 l s 6 f C w N R e H t T I 0 x k r l p 1 A S x a M g / H n 3 g 0 s j 0 G e K t m L h 1 Q y T g I d m c x E J j u d 8 v y G z Z 5 N b d 2 / r G n Y e k p 5 8 B s s w s S y + e 0 u P i i T 2 D p 4 i O w b O k K k Q T L B f C X L 1 s m t M T d d 9 + N K n n H 7 w s u O B + / + c 1 v c d p p p 2 I e P c j f / / 4 P H H 3 0 M Y I 5 7 r v v P r z 8 8 k v U N x q 6 a a G V m R S Z E Z x A y n Y v c R S n j b C W 4 s m 1 F U e u E M e V 3 7 K q 5 g E W a X S y Z u K y T r / 4 2 U + E Q 3 n S S S e K K j a f v v L T + O M f b 8 P y 5 U f g u O O O E 2 k m 7 7 6 7 W m z q d j S Z g t / 7 / n f w 2 K O P 4 d s 3 f F t s / M b B E / Z N 8 l y Y o g x C Z P E E O o M I d + v g 3 5 d B b I K k H / l C s t w g R 5 r F k v S + F C J q x P N B s u m x k P q l v o 7 r l 3 8 c 3 / r a l T j x h O N w 5 A q u r 6 e E g K e 3 w c v 7 D / H k Z 2 K A R m x 6 C L / W Q E y h d 5 H U r 0 a E T E 7 l G m m u w l Q K + j 3 7 R Z p E h D l F H E p w H m M u i Z 6 1 j 8 s E I T 0 M b 3 a p E I i C w C D 5 0 H R M b 6 / B / M t v g 4 W 0 Q 5 b u 7 d x x J 5 Z U h d B G 2 r i x z o 2 P n H 4 q f v A / / w 2 P Q 7 r H f / 3 8 T 1 j S R g K G R P i p p 5 y A r 3 7 5 S 8 J U + u L V n 8 O c 9 h a c u s i J G l M S R j K J e e 3 U s F + H 5 m r y 0 8 i a a f v 8 X 8 E 1 / 9 w u X h P G q W c p 7 N U c g c 4 D n a i t 9 t A 1 Z Z N N l s h 5 q 1 R 0 h q F l r a u G s g U Q n b v y w g V 0 u Z z Y y + t w 4 Z q j Q 4 O 1 M B a c S M 1 Q z L 8 O j 9 Q W V X I s 7 3 E 0 n Q P L g a 9 x N v l J b L q x t G f C 5 x p 4 Q r o R s X K p J 9 7 t g n 0 Y 1 h z M J G w G l o y V G D y l Q e W g 7 O o h L k z 3 k L K Y 8 + T / E E H Q e 2 Y y n r / X k Y Q T k 8 I E D v G S o y B C m F O g 3 4 t N 3 u T I n g i c 8 G 5 4 J N H o R G I u b p n U k A d 6 3 8 Q 7 E z t x y 7 z i T e a C m T h c f I o c 9 V P W E k 1 D m U T X w w F r V + 6 3 U v B C O 0 a e N Y y M 2 G Q c Z o 9 l h j 7 k p R B R D N 7 / G d R + + k + w O F r R F 3 0 f V n 0 1 q k 0 L y D c 5 E y 6 z B U u + I c 0 J 7 b v z A j L 5 E l h 6 z T 8 l f 9 V Y h z d u v h y 2 8 A H Y a 9 u w 7 J v P 0 1 k 8 H q R R / n Y k X V 2 D r m Q N c a I d R 5 F 5 F q z 5 L L r / x b t L A g u + X j L P p J q o Z b x 3 8 w W o S p G / x b f x t p P 0 z 4 u J Y e 5 R 1 2 e f F 3 7 N e 3 + 4 G I 1 i T V o S 8 7 7 2 i v R D B a y a S 0 L e f d F 1 a N I f J X / i i K R q H J I k n E z N 8 g c S m h M h O K v L z x N W A p u 8 S n p a J R S 1 S I m i H Q r 8 0 K x V e O A t V i P M Z B 4 Y T X q Y z G T e G W X n k U w 1 N u v Y b O M E z w L p S e 9 4 b Q n v 5 s 7 n K l D e M i P x J 8 F M D F k P a 3 K q h 6 E B Z 6 b h B P y c / H 2 W p D r X j B P H i b A V f 4 o n / x R m E t c V G o o u w Z Q o T i l c d 3 u w F x u G 9 s q f J P x f 1 2 M 4 f 9 v N 2 D D S I x / h U s L S t b m T i y B P P V Q E Z x / M A B Y + 5 c C M p G Y m R i Z g R z w l 9 0 1 K y t U r h g Z x / 6 C w G J i Z G K 2 2 k w Q z c Q a 7 W c 9 a l 9 r P W p D N Q R I u V Y s v R N 5 M j j + n J 1 E n 6 a m 9 / I x c l 4 G 3 C G U k 4 1 H 0 o w 1 r R s l S I Q H W + L l b E G u 7 D u / d c R X 1 e R a N 5 / 5 Y n F c E Y i a u k c / g c / L g + x E B O u o x R g x l 0 E n 7 d r V 8 9 l 9 T Q Q K x R I R o s m q p n O m i 7 m t m J l 5 t o M I U M 9 G 4 F p h J t o k V Z m J z h 2 A i M 7 a S / 8 l r y H h x Z i m Y m f w H p H n J A 2 P U F 3 x / t g p 4 7 o / e s 9 A r Y i g p i l a 4 S Y H M q B N J 7 b L 0 V I 7 9 5 C c / F s z C g 8 B n J n j Z p 4 B 0 B m s P f h j O F O d w I 2 s y K e 9 O y h 5 P p s n f I t + M F 3 0 p U K 4 t M V K J Y 0 v g K K T Q T m z + U U d z 2 J K t N q X s G D 8 w M x V D 1 F S T + 5 K 3 f S l A u Y s E S T s V M B d E J K E U u n y F 8 P k r E z v Q G R 7 G D 1 6 9 S z q Q G C Z N t l u 6 d 8 n 1 R M E S 2 X 9 S g / c D 5 s I s S q q P o n G 4 J o I y s O w D 8 q Y L h w I v B m Q Y q + O w y E t A x O 6 G a o E o M 2 7 3 6 g d F O 3 l 5 t h q a 1 O k k + e 3 Q t 5 6 G d N 6 I q G + c x i i L + t O l n D s F H g u Z Y R Y n G k 7 4 j J i H C i c 0 2 P j Q j 0 X 4 O K u 3 I k c m o N M x R z y D l p d J E A 3 V a T f K v y 4 G z 2 c x 3 v / D h a h K j o h 9 u 3 Q G M 5 I H u + E h P 5 i b q b N K j v / 7 t 1 0 h V v O y z P e e e h 3 9 m B h B 9 v 1 4 K x w B r Y m e Q 9 o A X G g s A j O S T t b w w m Q u J n E 6 q B f L V p i h D r w n V Z Q q B a 8 h a 7 A U o p k M T t t i a B v y C B 7 M Y X 4 t t Z a j h V o r N 1 q 8 Z 4 E 3 d b d E I i b W d y R I + k h / I x g b H 8 X o y B C G h w f p + y g i 4 R A 2 b t o o J N T I W A + G x z s x G e w n p 7 s X s c w w H U / Q K y 5 + y 3 l O C X r l S f p x e k Y 6 O s r k T u 9 J E q V D 5 J P w / E + S z o l j s i u A Y V 8 P E j H p v s q r f y y G g f E Y h i Z j G P V F 0 b l t L b q 3 v 4 + e X Z u x a / 1 b G O r c T d c N 0 j 2 D G O 3 t x M C + X U j H k u j f t x 1 7 1 r 2 F 0 K Q P g d F J + l 5 5 t j I v e q 5 4 N D z 1 + f L W E 7 n 3 c P W T h c l H x 2 Q W 8 6 J O h F i K E 4 Z h x J 3 j T 0 5 L j V L 8 j 5 T W j l P k Q i Y c B m d c s O 1 W n L r 2 Z + I 9 Q 9 E 2 x 2 7 6 E Q 2 y e I u h 8 E 4 E w l L 0 r h j y h W W I x Y C j a Z h d x i l z b y J + A I P R z a Q F i J m Z m Y h x R 4 M H 4 B / Y j B Q n v h m L 6 0 u 0 V m W x 7 P p V W H j R 9 0 W 0 a t v z f y H 5 o y M B Q 4 I o E 8 R Y R C e y + Z d d / y y O / t / 3 U X e 8 t M y C t + o 8 4 b M 3 Q r f w E j Q 4 2 A + V / D b W J j V 2 y T q J t v K U B 1 m C Q 3 d i P F G 8 P R K D W Y + f i F / 6 Z i k D h N 2 6 u n M k z T Y Z 1 S K Z 4 H 3 G M L X t a C 7 t x 0 B s K y Z j C V j y 4 x i M b R b H 8 2 S W c i i c t X C R i U d X z 5 s L J p 4 a 9 z z 8 K t a u / w D j 2 h G 8 + 9 o G b N q y A 7 v 3 S v m X l c A b V z B c d i s S t X r y r c t b I l M + l A I N S T I O c c 4 E j u b 5 u K p n C b Q k J X K k i r X U E 2 5 d L Q 0 O c 3 B B 4 p a 7 9 s T + O C J 1 g 2 g X U + a H R i q S R m x Y I / L g e n 2 8 p C O P R l s E 4 X 4 b z H X k f 1 g K 2 m j P u 5 1 Y c h y Z g O Y m + Y g E L m g S S P e T F J K 2 k g w c y N H 1 S L Z Q u 9 P Z B D 7 6 / E 8 A X w J r v n S H + H 4 o 5 s M V b / 4 W q d E Q N l w j b R x W D k y A L M U Z B y a 2 Y 3 6 1 t N J U f b w U G 4 a 3 4 7 i G I 4 g Z M + i P r S M G 0 S M 8 Y M W S B d J v R e p T S b Y G T 7 a u e W c 9 v L V V W L 9 h P S 6 9 5 G J k S V C 5 P d U Y H e o n 6 e t E l d u J h x 9 9 A k v H / k 4 C J Y 3 6 z 9 y P 5 q Z i k 1 E B a 8 v N T 9 x O g 7 E T 2 U + 8 g q O a S 9 O P i q E h f y h P J h w v J p x 7 2 W / g c N n x x l + + g z p r C r U n X Y v q l Y q J R k 2 P 7 E f G P l + W G R r s W 3 U z M j s f E v U X T d 4 O D I U 0 a H R K p v 8 c e b H h j s d v B E b f I 1 / P j L n y s f H 4 X l G P g x v m 1 D f D Y + b s c y Z d u a G q R X 6 z B U c W e U + u 3 i 0 D 6 D i q F f 2 R 9 d Q O 9 s 0 1 c p G Y m R G Z T C B l s c I j m 6 g M a Z h V 6 2 P K M Z M / U C w 1 / Q m p P n Y p m J m k v x r 4 c m R i l G S O l 1 4 7 P B J E 9 Q L L r J g p m 2 Q T L 4 / u m A X m D j 3 2 9 B N T k e a Y I C 3 G B O d o z w l m 0 k R 2 i P O 3 P L M X i 0 + b N 4 2 Z G F y H U G E m X i D G z M T b R 7 K v Z t B b O C 2 X 9 H 6 h 7 Y 1 W M g P p 3 j x H N h k j b U j S u x T d x N x Z 8 j G Y M B g K M z F G Z B O N o X w f T k p 9 9 b P R l 3 D K J k l z t d l O o Q H R F p i J U S b 1 i d O B T j z 5 a L T U t e L q K 8 4 g k 0 s q P t o b f A / 1 N X a Y b C 7 S d g M 4 4 Z w j S U C Q / 2 S z T z E T S / + u S b 2 I U v V z y l J 0 r 9 C W K z / 7 a 6 z 8 9 i o c 0 z I z M 9 H d B T M x j v j m K m h r l s H o e w u 8 5 S b 7 r G p m Y m I P 6 z u w e 9 c e Y Z l M T A b R / c G L 5 N N K v g 8 H w U S R S X p v 7 S h U X f J 1 b a Q x M s P S J I 0 R m 9 A 1 l k V o d 5 6 C d v v J c O m U M Z U b y q a d m p l m W O / 1 + J P P Y M 1 7 6 0 k r b U d 3 d x 9 e f f U t P P n W 0 + g f G M a r j + 7 H j t V h O I y l N C M P W g m y A d M U M / G 4 9 g e o P 0 s 1 V D m M j o 2 J N S Q M 1 j I T + U J i p 5 4 4 O i N 8 r 2 I w l 3 t M h X C m g I h / 6 0 X H c 1 + U z Q i Q W x P o C 0 G X 8 9 B H s l 3 1 E T i b p Q 5 T S 3 s + V e z o o T G i k 4 i k 1 U 1 t o d O 7 X h / F s v P k p d 3 C C a U f Z a J k w 7 v I N 5 L M p B Z 3 p k h r p P w 9 M L h b q U 1 a 9 E X G 8 Z l X f 4 s l + V r 8 7 f L v i + 9 P W S X 9 N Y 9 n 8 P q X b h E E K Y q Y y C h a 0 i 6 D b X g 2 O 7 a T u 7 S o h k P E x T P 0 j M t f / i W C y S h e u 1 g y M X l 2 / 1 D 1 / b i g Y s h H z + c h Q W K S 7 s m D 2 U L P L 8 C m q Y g 0 q h 5 w B v S E O s l 8 J U 1 h b x U Z J A L l m I q D F 6 p l O G y p s F / L w 7 n n j r O E A C 3 N I u d y Y + z r s j D k Q N G 7 v 7 9 U R P e s t X M Q t C y A K 7 p P n O c 5 9 x G 4 2 2 z o W / s 4 w p v u o 7 4 i o V R m e T y D / f F C 3 m g B m s S g x O z U f 8 O x 7 W i w q g T T D B g d 6 i O z P 4 j 2 u f O w 5 f l h r L y o p G g p + 0 9 l a J y R j m d I k B f G q 0 K P F x N G n Z e k p O y U s Z b h P C 4 F o a g 8 i C p w J 0 9 j J k L w o H Q 7 U W S j A j N F R i U / x d 3 q J K 2 T g b O d s 5 s L 0 i d G h K v 4 K p z 2 o 4 9 I E b l 5 3 o x Y A 2 T J 9 W P B R 1 W T d 9 w R x H B h Y k 5 m l n k O U u + e Y m Z i G O 0 W 8 r + k Z 2 l 1 k C a l m + w e l V J w G F b 2 L Y g o Y i R p G c G k 9 F e B m p k 4 Z 4 2 h 2 P B O y 0 E M R Q a E N C 7 F E x / / v y l m Y k S j c f j 8 f j G R y W X Z S s F O + H h v P R y c F k P 3 C Z O w H w 5 r U G u n a 2 f V y a 8 V h l Z G X 6 y w a 2 G 7 c x 5 M 5 F h r F W Z i F J O A Q D x R 8 D N 4 z k t K V Q P e v f X T 4 D p 4 j a d / R X x W g w M d S t D l 3 V u u g D P Z S / c h E 4 / 6 N z x E 2 p G O a 8 0 O 2 G o k Y d P 1 z r 9 E K F 1 r d k v j n P Y h l S 1 o f k Z a 2 T h B R j S p E X X n h T V C d J o m v 0 4 w E / d 3 a k w + q z L q G l v R 3 t F C N 7 X g x U g t X t + W x 8 u b V G N V g Z k Y a m Z i l O / 1 k s 6 M p e h H 8 k U T u Y D I N F Z g t a s d Q Q k 8 + 6 0 g G U o h P i k 5 c K 7 2 6 d n O j A l 5 o E L d e d j r Z o p y E X O R U 8 w a x k / E x J 2 c c S y X v 5 O w + z U b j B Z q k x z V 0 t A A M j j L n w d m O E m d n l F l I i j Q u W C 0 G R A a j I n r v n X Z 7 / D 7 z 3 w H V + y U / K j H z v w h a U M y Z c l h 7 w w O 4 u I d P 8 f w w T 3 o 2 f E B d q 1 5 G V 1 b C 1 n 5 n P f V G 3 l P b P m p R l 9 Q Y t D B o D x A N P i j 4 e I h 4 A l u T 1 U V X E 4 H v Z e i Y l M g v 8 P X 7 y Q z 2 Y g U a U g m O L E h t C M P v Y Y 0 s b x t D u e X H Q o t 1 h P R G 1 t D P S q N l c P E m 0 P P D I t V X o F M M G i t m E h K z 5 e M h U W f e R a e T m 0 s I R 4 V e K E g 0 x b X O I 8 Z 6 1 F l C A l S q / / k 3 d C b u Q T z K 6 L C L G P u F + 4 X 4 w y D R w h K t f z l e h / q u 9 h I S z v 1 7 J a Q x q T x m d r Y m 1 0 Q V R E a s X I 6 P T 1 D R W y T J G 9 M 9 3 + f c a D F q 4 E 9 N k 7 0 U p m R 1 A j 2 F J b 4 a A V x 8 S I 0 A o c T B e Q 1 P Q q 4 3 o O U r k M m j 9 Z N Z l e x d C 6 F M j 8 c 6 g v C 5 D T C 4 m U C H x W N 1 s S n + 1 / 6 f k m b O T t K h l Q O / R Z Q + J 5 N P 3 v e R 2 0 m e 0 r O E O D 1 M I s + L h E V R 7 W 4 N C 7 k c l p i F T E N T L 2 D q K 3 c 0 m v Z 3 + O 1 P j m 6 T s q f x o 9 6 H s d Q 0 k 8 E m o H b a J N 8 B E M V O p w N W H P 8 z 1 D X v g A t C 1 a g 4 4 i T M e d I y Y l l X 4 r R R r Z + d d E 2 m 6 Q J 3 H P h i 1 G X K w R P Q q p c H f E p p D j s K 4 X T u X h L M p q H r o H G g q i p c 0 K D t q o C 5 7 D U Z 4 3 N M B i k Z x m W m Z W n O 3 h + i 5 m H 6 / U x + m N r x Y p i 1 l T J X E T k E I r + q o Q y k r 7 a J D 2 f W B N F b c o b e a K U i D 8 1 X W D 1 v v c Q X J l B Y R n o X Y 3 w j Q / D b C U i p j E 2 2 2 z w 7 Y 9 i 7 4 u 3 g + W z w S F n N 8 g R x H I Q T 6 p e + y U y U 0 j I q h m o F H o n 0 o p P q l r n J s x c J f x O 1 1 t I h s U p p 9 Z h Z E + f f G x m u N o t C A 9 I b p B W E J e 8 C G 2 q M W U c Y b X N a i 2 T X 6 a G r k + y Q Z 2 t S r F G G n i j v J z Z U m w K x s a T c M 8 n D l S L H I a w W 9 U m S I F 4 W A j W 2 H L Q R X u p z Y 3 E U C T 5 c k n s f S U M v V J P j s B 7 z U r z M 8 y Y M u H G J G 0 4 Q K c N J b b Q t e h 4 y b w R T w L b v G Y 8 Z i O / a S i C K x 6 R a 3 l z G 6 s t u P r R X 4 t d Q H i C m O f Y k o k o o m S m M d i c L A U z E r 8 Y r L 3 a 5 D S V m a B J k 6 A w S i a j z U r m 3 Y B d L J I k y x S R R B p L R J E W p m K 6 F g k 4 r u D K g Y E p 0 P E G Y l Z p n k 4 r 5 g z Z R F P q 9 d U Z T y Y N 0 Y 4 G 8 w q Y e H U 2 Q d o w o Q J m 2 A u L g x M r 5 A I s E S 4 K a q y C f f z P 4 r O C n j U P U p N 4 k p h Y w e I V B S 4 Z 8 7 7 2 k v i b i Y d g 4 a I u 9 L 7 j c 3 K 9 d E X T l A W d W W n t 1 w w 1 P F i z C p T Q O P t 3 p W h d 1 o Q U T 8 P s U E x / a n 2 C L B 6 e x E 1 N i P d Z 9 i u J I C 1 e y S 0 p t j c U H K K o i E N X T x K x j D r s k S R L t r W L B l C P v t 2 b c H D b e k z 0 U y O I c L U 6 L S a H u r F 3 / R s Y 7 d 2 H o f 2 7 0 d v 5 L n i X 9 m l Q X 5 8 1 o v x Z 2 N V y H x o S b I P T A Z I 8 4 U A a S 8 / n n d J V z C 7 / J p 3 j 6 0 u P q t F L D 9 5 M A q 3 R v F I Q m 5 J 3 V w r P A i I w o s i R S S n K u Z i X D t D 9 e v y S 5 t g 9 a o A / 6 y R L q x E 2 M t P K Q b R X B T Z j p k w + R g k z C 4 u J m C H P + X o y w r 1 W u D o k R t g 3 n C a f z C C b s n Q x f k Z Z u 5 r N J h r g H E K T Z O 5 m p e v y X B k v 8 2 Y N x Y s x F U T i a c S z Q R i 1 s k Y n S J P x F T A j c R d g 5 w 2 z C Z G a b y C Z I R N + m E z m 2 A G 4 y V T n B F t j d T s G h i f g I t O O n / X J Z 1 Z h w h f E u s e v h C 4 T x c h E C C + / 8 g b 2 H + j G 2 H i Z O b m p j J A y j K R A Z K O X d P w h E C V R z K 6 M 2 p 1 h R P X D q J 6 X w e Y X 9 5 O F Q A L B 3 E b + o o m E R r V 4 L z a r I 3 s 0 k U 0 i 7 k t X j v K x 8 y t p r P I N 5 8 L 0 7 P x p e 5 u R a 5 M I T A 1 t x I U q r x Q m D 5 N Z 5 m C i l T U h J 5 p G h s K y B u N B p H u I j I u Z E U n x R l 6 F 5 m p E 5 E 5 i k J 3 v 7 M S y 0 6 f X 7 2 Y w U Q t 7 v B I y N H B 6 D z 0 z F 6 Y v n q s 5 5 a n v i r 8 v n f B T p A 0 5 X P T u z z E 6 P o Y D X 7 t P L G F Q o m w z g c 1 T v n / F N n C Y V 6 0 B 5 E v 6 9 2 d h q c / C T G b z R F Q L k y 4 H O f c U w Q S d l N c K / 6 H S H J c a H C q f 4 y 3 W n o F 0 H 9 y G V s R i c V i t N D Z M r E o y K U N p b + n x w 8 S 7 v z g R j i x Z D 9 R O U 8 1 c D A U y a C Q z c d 4 1 j 5 J U N J K o 0 + G d 3 1 6 A W g c d + + q z M I 2 / h 7 x 7 D l k z 0 6 c 8 D g l 2 V w 6 j b H Y k M 4 Y U l + U m I a Z j Q c Z i h Y W s C v 6 I G 4 m U E c s a n N j x 4 h C W n k M K h a W D j M H B Y T Q 1 N Y A T b y s O B c 9 A l 2 O m c D / 5 F 8 S p h p B X U K q a m V h h h w O S 3 a s w E 5 K D x E w e O p f U Z N q H w P 4 U C V U N n E 1 s z h F R s D a U m Y n n S D i K p 0 T J S s H M N C T 7 B d p o 3 x Q z D e 4 b L G I m n u V H u p B q M x x W a Q S 1 f 6 h k Z 8 v F Y 0 q Z i X F 5 x 8 n U x j y s X h M 8 N S Q A S M X X p q 0 I d m W Q H y U z o Q I / j c S 3 y e + I V 6 n J 5 Z i J G Y 0 R T K u S N F P j C A / H k U l m U L V A J 5 i J U U 0 m r s J M D J b w L s v s m I n R X s Y U Z W Z i p D T S B m M a 9 q X L R C L / H W Z i 5 G j 8 + f q m q k Y M k a v R 4 J Q C S l o j R x b 1 e P 3 X F 6 D a q o H R 0 y Z q L + Y a T h X M p A v u h 2 H i X e k i D J F K d A g o J h 1 j y i + q D C 6 m w 8 z E M J D r o G Y m I 5 t z h C p 7 A A 2 e M d J e B 7 H 8 v E b B T F u f 7 h V x h R F 6 H m Y m B h 8 v O x z Z Z F K s / w h 1 p Z B L + U S h w c B B y Y l z t O h g s O o Q s / V P o x J e p u F w S w + U 5 9 3 H G S Y O Z e Y R G n B S x 1 b B 1 h 4 g W z + E a G w 3 f U m / V 5 l b X i I a K z E N + x k S y l C r z H x 5 6 v i B i B R Z G 9 t b C F 5 w n l e t n T r I U E M a V D 5 X f R k D C Q K F a J T O l x l K o G R S 8 I a V l 2 L N F X 8 Q a S 3 2 3 l v J p C L m r C U C b D C S h m V 1 T + M c S A h t w q t b e d 6 F U W 9 a J P 4 y w v 1 p M t s S S I a S y K b S x J N S e x V m c J n l 9 t D A h s Z c c D R Y i N j 0 W N d n F H N E y o s f I 5 E r z A F W Q r d P F i C q I E M l 7 T g 0 M i r 6 m 7 / O 6 5 y i L r t U J 5 3 u x j f k M m S H g h y C E + Z z C Y a 2 v g I H + R p s e r K p p E l I O Y w t F / 1 C / F W Q p X G b e + W f x H t R P Z e Q d S 1 A u v o 0 I c T 0 k d 3 Q k / D V B z b A N n Q X t H F i l j J + T 5 F p y k p B T h k q B + E u y N i 1 c R S h h I P M N g t S Y T K p i d F T q j k 3 U 5 b v l R d M x a + W 8 0 i g k j u w e 8 N q 9 A + M C B + 1 t 2 9 Q K s W c C K Q Q H d R B m + u m 9 r j A l Y X M V W R i V H F u F w 0 u c Z 6 Z y 2 Q J p z U P X 2 p 6 2 h F D C W 2 y p s p k 4 z A R 8 Q Y O 5 G G u N s D k l u a e d D o b m V a T M N g k g t N k J o u l S h E K V H B w U k c D L 4 X N B U P w m h x 5 1 4 m h / U N o X C j Z 7 r v I r 6 l 3 s D S m e 8 n j q 1 S C D S c 6 Y d J 7 6 f 5 c u I W + 5 O R G h i i 1 R U z F t 2 P N J m z w A m w 9 d y D t P h 5 b M x 5 0 + p L o 9 X V h S c i G t e s 2 i g W U k 6 E A 2 h b X 4 o 4 7 / w q T 2 Y L O g 7 3 Y t X s / j C Q r B k M 1 a G 7 S Y E v Q i g a v F t H u C E y k 7 T i g w X X 4 1 J P D b H r G x i w Y y B O z U p s 5 i u c 2 e c R L k z H D b D S A 9 x c W 0 S 1 q L 5 u c 0 0 p G E 6 q o n w R U u 8 + P k G b n j Z U V J I l x O n s G 0 d F a W P K / Z c d + a r 8 Z g w N j q K 2 q Q 3 9 s A 9 2 7 m f p F I q w N G z f j 3 n v v F 2 W 7 t + / Y i a f J / z n l 5 J O E E H n o k c c w O j Z B / S F V k H r w o Y f x w Q e b k N 9 + L x E j + W p 2 D / w 5 N 2 p I z W r T k 0 g d 9 0 0 S J C b S T h e S x q K x M l e j 5 p h L x H 3 U T C G W r B t c y B l r p J e 5 C W n H M e R j 2 q F b d R V 0 e x 9 D b p F U j 0 L 4 o 9 z W f I a E d g z W w f v J o X C Q D K b n l h N z 1 f A R Y z A 0 J H E b a u m 6 6 R z 0 b E I b t E i G j d C b C w y b l Q W l 1 9 A C K w l r K 2 l d 5 o u 5 8 z v w 2 I N P o q r a g 2 S K r K / Z Z E p o y G z L k 6 a J Z S f E i s 2 Z U J o 5 U Z 1 J I W 9 b I n 1 g i V K 0 V o h u z f X k 2 C Q s i 5 y Y C + B w 9 7 Z h A + a S D 8 A F V j I g K U I 8 w w m e m u Q A N r 0 5 g a P O L c 4 O l s C P J j H l W E Q r T X 4 W g W V U D v n Y f u L p x c q p Q i I q G Q G n b / 4 F e B 3 W g / O + g m i i B U v q i k 0 n n g 8 y E l N E S c J y g Z L Z I N S l h 6 G V / C M 1 M 5 F m 5 G K f q V w N D G a 9 m E t i 0 5 U z M v i 5 8 + T 0 c m 4 k m x l 5 6 l O d U W X / E X h e r m p K s x 8 a c T I p 9 + 7 d Q w J O i 8 7 O g 5 i 3 c B m W z a 8 h 6 5 Y E Q l c 3 M c N G X P 2 5 K 6 f 6 R G Q 6 q C e D Z g F O m F 3 z 6 7 P h y I z C V N 0 h i m G y 7 2 S p X Y C O C 3 9 I T n 0 1 X v v l + S L s 3 n L x Y 3 C 1 s B 9 H A k 2 k q M m 0 I e + y X o r x 3 W 9 i + P V b c V S z H p k L H 6 D z y P x n 0 0 0 d z F L B M P o O s o 4 5 y F l Z C J N 7 U R J 8 m A a 6 / c R o B H X O d v K f k j C 4 2 Q c 0 w 2 V o h p a T c U 3 1 o k / 4 9 d J G Y M V 8 C 3 p H k p V 9 K A W a 9 I h g J k Y 5 Z s r E 9 R j s j M v q X k O c T I S Y s Y C 3 o j T 0 z y c b c a k Y F C 7 S X y i u Q e C x Y c I t x 0 z C p q U B J E k 2 G Z O a u L A m I 3 y o W s 2 I m E t i Z m I k 9 C 1 F e w k V T 9 x J B M B R t S J m m v K j O E G K N D N L Y Z Z q P K f F f 4 l l e V m S f m w 1 8 p E J p M M J 7 J j Q T j H T m M o n Y 2 Y S u 8 O X Y a Z K E 6 y 6 5 q z w F 1 l 7 M / r I R M v n d R g / 4 C S p K D 0 L Z w s 0 u b K o o 2 f l d U g a S N K S p y + G 0 7 u m R Q 8 r M R P P L R V F F Q m h J B E 1 q b a V K 5 b j i G V L 8 Y l L L s I R i + e Q W c j 5 i n o s W T h f H G N i U S J f v h S b O t J 7 3 q J n N n j z N x f B L P s x x j m n S 9 n o 9 L 7 9 k 3 + g T j B j c n R Q H M u Q a c 7 M F D h I 5 p l g J g a N n W A m o g M S 6 K V z k g d e u A V V 5 H e J m o L M T I w K z M R I 1 5 0 u M x P 5 w z 2 3 S g f L g L O A x M s 8 D w v b j o S 7 y o 3 6 u j p x z J q X 2 i b K W h M v S A t r t T j / O B L W z g w 6 6 p T c k R m Q N z A n 5 i p y t H 8 8 h Z a W d q x 6 9 H 2 M d K f w / G P r Y C T T 5 M 9 / e A A H Q p t x 1 1 3 3 k A n U g 7 / 8 7 U H 8 4 c 8 P Y e / + T t z 0 8 1 9 j 5 + 5 9 J J V L w / N M F N T l o m P I c D R U w 2 v l T Y c L e X O a d H G 2 h Y m 0 1 9 w l b C L Q 9 2 y u s Y + k Q L 6 + U / F R O J r H 5 6 m i Q J z U I e U D 6 i E 2 P 6 O / o 5 N k r p L P F H G f h P a R a q R H w / i f x / 8 L 6 z / Y j G e e f R 6 1 P D m s Q i l x K 9 h M d F A O n K b U T M z i m k d E Q 1 r J H e c i J R Z U L 7 U g H U m T Z C 9 c k I W I X k u N V J l v z e Y F Z X 2 i L J k c p c j r X I I x 1 X C W 2 c 1 e g H y o S F T y O b h 4 f m W N d E i y E R A / p 5 f R 2 4 H u L W 8 L n 1 F Z u 8 Y m m 7 e 2 A U d + 8 X Y c + W 1 l 4 7 b p u Y 5 8 A S H Q y Z R T k g L W / / l z Q u B w N 9 n 1 Z K Y 9 d S l d c P q z l 4 c G / Q 0 X i n f m 2 A h a R w v 5 g i 3 j b z N 1 V A T X Q m G M j 5 P Q Z t 9 f 5 I l K M O q y a P Q Q 8 1 c 0 + V S h 0 t m Y e r w e h Z f B K 8 i T f V / t l C Y z B 8 J r h Q n V o q 2 m j m S C 5 1 v S S z i V 9 B v W a h x s y C e p 1 Y q E k s C z / 7 x Z t d 2 Y E x 1 o H H 8 P m d q T 5 W 8 L C E + G 4 P C S 7 y P m 0 M g U p A 4 W D y Z v a s Z F P 7 h O g Q D 7 Y K R R Q 9 R G p + J X F J p O 3 2 e h i x w k E 2 E B P V c G r f d / E c a x F A 5 + 9 1 G J S M q A h P m 0 7 9 b 1 m H B C e / G q 0 l L s G 9 N j Y a 0 0 M B r S 2 L y U P 8 3 z H S S U 4 m T u q Y v 3 z w Q 1 M + n K z e u V w U F f F F 7 7 B B F l P R G 7 T M w c T J L n k g J c R M V a n D X D M J D p w 1 k W v H b O b J G 1 Q w m 6 V j + E 8 d d + J e r 7 W e o W Y N C f F N E 9 T p 4 d I N + s W e w S I o O e O 5 H l z d S k c g o z g i y Q N b d d T Q J J i 9 7 u g 2 I J S J M z i 5 p z f w 5 z y z H y S e X A / a h B P L I D M U P x p K 4 a r b 6 3 4 P d e L V a Z z w R e K M v z e w I i G V k y w c u L G l 6 q r A q V H o q Z G M x M O j k 9 i a E d k m x V T m 1 q s B 2 N Z h s 5 k r y 0 W u 8 Q O 6 a L 3 C k m c N Y W J E U T k D / L O D j J H Z u H h U y p H p + U 2 s L 8 m v E e J Q i + F A f X y N p O 7 8 R E 0 o u s v o 5 4 h u 4 j p 0 l N M R N D j k Y J Z l J J G Y a 1 9 0 / o n D Q J Z m J w u e P T a 4 7 H p 4 8 6 n Q i + J G L E j E n E 0 D W p m 2 I m D v l z f t 7 e M c M h m Y n B z M T + E Y O Z i Q t m T m T M S A z H 4 C a T R p P 1 T Y X X l S h a I j t 9 2 H T E g N J r d s z E s F j 3 I 5 j p L 2 S Y M 5 i Z + L n I / H W 7 S Q o T o Z c i T X 3 K F k s l Z m I c X P 2 g I G F j V T P G 0 3 b B T A q Y m Q b j G 0 l Q 0 n N T / x s m 1 i M x E M W 2 2 y + G / u G P Q v / 4 e f K Z 0 7 H 6 1 q t R Z y c h T 5 r U 4 O k Q P h m X P J i Z m R j S A M 3 E T I w + z 0 d h S R 0 6 5 U h h J t 7 D j J k p E 5 X M k a m n 1 M R 7 6 O F k K a e K i F Q y 9 c q B d 7 x g G O I Z W B Z G p d / q q 6 T Z Z O 5 e 2 c b V q g I T X L q X I e 3 n W s i v m u v l 4 S C C S g 9 j W T 0 v a S A t R B q F U 0 Z 0 o Q P S S V M g 5 5 C k O a P L p x e p / 3 w + m z u K 5 K g I 2 Q R h G P r u R a z t e s y r L m a y B 8 + 7 H r 8 6 4 z p s H Q u L J e C 9 k T V S T p y I F B o w x 1 t g 8 K p 8 p 8 j P W 1 R b b P P P h H g + C p 1 P m g J w m 1 q F m e t s s Y I 3 r X 7 x 9 c 3 Y v G U L g u E Y 7 r z r b u i N Z m z b s h F 9 A 0 P Y t H W H K O X F L + 4 r 6 V V A T F F a 7 B u W A W e K 1 G i O m m L U K f B n e e 9 f r 7 W V e 1 e 8 L w W P b z n 6 4 H k d W 2 J A a C f o D E i G J 8 U V l n 7 j W f E 9 C 7 k m y z H E y K Q V q f / T t a d A m 3 M g k p Q k h y Z S P q c w N i k t W e e t P C e C M T T J R V 1 a V X v 9 z o S 8 M P m L I V Z O y F M x D M 4 A I l k o 8 h 9 n A 6 7 B z 9 D b y C x N B y S G 0 s S 7 k L f w b h Z M X I X O S 2 Q P r Z k U s A N r I G l t 5 6 X t U S s N p h Q c C M X 3 I p / g j i g 0 m m f 9 l U T O + U y 8 y t x P m c L 2 e T k F h 6 N 0 Z m o 7 Z 4 z n 7 K q d N 4 S f p I G l N i L a M M e T E T 7 C k G p R X 0 W o N K 9 t 4 A 6 E G 7 8 o / L X y y O H I h n q Y j B G 0 2 U + Z y o k r R d 6 q W k v D k p 7 A 4 V m u p a c G E 3 G G H L i h o E 6 E Y C e C k j D Z 2 G c X g Q 5 G Z t i G c 8 8 5 E 8 c d v R I u h x V f + 8 o 1 o o 7 7 8 c c c h d b m R h x 9 5 H I 4 b R Y 4 L T S M Z S Y x O V 8 u w t M S a r 9 S h U g k C q t F C l G P x n d h Q g 4 A j V J f T 4 H 6 l E M i X D V K Q X 8 3 M Q j b u D I U x u I X + 9 t v / O Y S M r l p X I k 4 5 3 / m L 6 g n S 5 z z + B T L Q C 3 k o p k x 4 T P u f v x Y t H q 0 2 N c 3 g a 6 s N O F c i o 1 3 f w W N T g 3 6 e n q g s 3 m 5 a a j + y H f k b y u D r Q w 9 a e / u n f t h j F d R 3 x d o g 5 / D a 5 4 7 F Y y o M n a I v / a J Z + Q z Z o 8 c + a A 0 q k F i J p k I x A M T Q X H s n x D N T L e f K 4 F t X 3 0 6 h d j A P K Q 9 S f h i U h Z C m p M 2 z c U d x L P + X P u a o e G M 6 h k S L x X w y k g u 8 c u v Y M Y i N v U S Y G e d z K R F p y 7 E r r c K y y V K S 3 w N E O F O 7 Z C h g B 1 L 0 o r 2 w T s Q b f 4 m P U O e p K S U Y 6 a i F x n U N 9 n Y r P b I m o J M Q L w 2 r E 7 L T m x B k 4 X C U b L D c 0 j 6 e u k 0 I 1 5 a N 4 5 9 + 7 t w R H 0 M 2 3 b s o o 6 b Q C J G D E 9 W g 4 b 8 m l S S B A d b E E y o s i X B z y T A / g 9 P Y s q a i I W P A r u e m E k 9 c a 2 C 3 S 4 9 C 9 d 9 4 I y B a n n 1 a Z 0 c E Y 2 T u T m Z k g I B e b l 6 L K O l w 4 u M t J v A N P A c Z S o b F 1 r E W N 0 B k 6 c F y 7 7 + N J Z / W 0 q C L Y V N X 0 t W c 5 a I s R q + Q R L s 1 O 9 N V z 8 m f 1 v A p n u + R s J M J 8 J W e k + b 2 J + X N a d t / k e k E 2 Y A + 8 G Z V B r O h R 6 k L F y r Q h q H D N 2 3 k s + W b P g k t D G i T V V W + q H A E T + t s g 6 k C K Z 6 c j i L 1 / K U w 3 1 3 v Q R D 3 g U H a T a P x o a g h o h b T 0 x F j T f p T P B H 6 5 D O 6 E W I W C X g B D i j Q a x p k j O q y 0 G T L k h d J a u A 6 Z x 9 H 3 1 a K e l F H W I m t U 3 n Z o O F E D y b T T m u E y y D C 5 G o l m l N w T z 6 P C J N 3 x T v u T i S y B q g S / J r 6 2 A J I f K E I 2 l h T i o 9 X P C u g S L 8 y 8 i E 4 b B k Y T b p 4 W 1 o h X 3 y d h z 7 k d O x c M E c E c 4 + k g a e f U s 9 E z g x A 2 f N j 8 S q y G K Q T K Q I E T / P 1 n O k s A h s p u X T 0 + b b c i g 2 Y d k f 5 f k s Z S 1 W j X k x q s 2 S z 6 g g T 8 w Z I 4 Z S k C 7 x H 9 k p Z 3 A e X C l a W x t h X 3 w q l n 9 D k v I a P f d j e c J l v H f z p W J y l 7 c 3 N X j n k B W t 0 v 4 8 i U 1 c F h 4 b Q J W F z O 2 u b v G X G a / j K 7 M z 9 b h Q D m v P 0 q 2 K u F I X W w n J V E a 8 S p G z E m 2 S i 2 E a e V E + c m i U j f J x y S R / q r B a t R y Y s 9 M h J 9 5 / f y 3 a O 9 r w / H M v i Z h 9 M 5 k i / f 2 D o l r q O e d 9 F B m d X 6 j Q c W I q X n L B H d H D V U K d 1 H k 6 G p S 0 j 8 y D R F n G 4 q X e e f I p 2 F z K p J e T h i l U 6 L T 3 3 o Z I W / E + s K O d 5 L + 0 c n i Z T t R z E I L O L T E j O R t b R x 3 L i b W G y f V I 1 X 1 s p r E W T O h L j C C a i p L k 9 o q I J + d 4 O S y L 5 T M O A 3 J 0 c S D y A Z r t x 4 p D v H S + b v x W Y m r p W X h R I q 8 z C n Z F 4 Z p T r A 1 5 L Z W 6 I A i D 1 1 + x s J j G X C X Q J P u p L 1 s w O e k T W 1 7 2 0 O / K 5 f f l 0 y P w 5 Y v T r 8 q B F 5 H y p P B M 8 B j n V t Q A C t h E X P O b C 1 C L f s F I 8 7 9 b s u 0 m + S V v / v 6 z I q g R 9 P u Q M l a J 8 m L 2 + a e j 7 g w p c b k c y v l 2 t n Q c 0 T J B C Q / R Z 4 o Y i g N r B i V y V w L 7 + N 8 Q q Z m + I r k U 0 x i K b d r E t P m h 6 T C S T Z z i r f d V 4 M C A Q U f q V W W j M r y 8 H D 4 x h H u v 4 Y R V D Z L 1 / f j q 7 y 8 g 8 a b M i h d D k u T E f E Q A f Z G 1 q L c e h e 1 D D h z T X A g N O y b + j A H 7 9 S J 9 x x + J Y 0 W z p E 2 2 P D m I l Z d J E 9 F T Y C d 5 4 C / I k 9 O b q j 4 N G d c R J H F J 0 h M x V + n H q A 0 z Z y d P 0 O A Q C w o T Q w E X c n G Z p B r v 5 a A O h 0 + h Q m U e + 8 H f I N j 8 H W j 1 e i R y f m R 9 V t h r L Q h 3 m + B Q 7 e w w E / Z P 6 L F A H U x h 7 S 5 P G T A 4 r K 4 l B 5 o J n J d y B J O G a c w Z I C G a Z S F E M J B p m V Y F b G Y H 7 h + p n 9 j v Y r A w D a b 6 4 R J p Y t P x 7 q / P R 3 O V B i l f D y w N y z D / / G v F p m 0 C m R B C B 9 Z h 4 z N / F N G 8 k U A K z R 5 p n O d V q D e h I J t L i W z 6 2 Y K Z K p f l w q w z C A D S B u b B R 5 F o / r T 8 k a 2 Z Y q F S 9 I m d Z 2 a m S R + Z S l k b 1 m / j z a n S J B l y i E W Z S e h m O Q P S S T O G 5 c L p 4 + M Z + A M 5 s v f N S P j d 8 I V 0 S C V M 8 v k K N A g F m G i l x g 5 2 T S I T 7 S / L T A y e y G N m 4 o B D q / 1 E x F O W I m Z i Z B N G M U f T a h s T z M Q T v t a e O 3 H U i X s R H z 5 A v p k P O v 9 O c e 5 Q 2 I B o y z c R 6 / g C 1 k e O o 2 b o h F Q X 2 Q V k W i k B k n e 7 5 L k Y A p t F r E 1 H 4 9 2 i 1 a W R r g w R H k t B v 6 r O g h r T m I l / X 8 J M S u W j a N v 1 I v l W o y V y D p p h I Q J j M D M F e g o m F Q d z K q G 9 q v h + e f J N B g e l q B g z E 4 f U F W 3 B i Z y l z D R C z 6 k w E 4 N L X B 8 + p O s r z G T V 1 m H H 7 r 0 k e F q F z 8 h a Q H x L 7 e A X 7 8 n E t f S T k z 1 i Y r v t i 4 8 g 7 V y J U E J 6 l v f / e B W M 7 3 w P p 1 U P k q n X B T 0 J B B 6 F Q z E T I 5 2 X V x L M A H V g h Q N w M z I T g 9 r M z K R J + m A e f n I a M z G 0 v E 5 G S Z G R i E a D a p I C W v K F j l 8 x H + 4 a E 6 r o s 0 2 2 y 3 X a N I z m N G o 4 w Z M u W F d r h t d l g N W W h q U m A r d b B 5 M p R 5 9 V J g i Z E V a P H v 7 0 s H g x f n b V m + L v j M h M C M L m J R 2 l y M q l p C z j L w j m y R s c i L V / H f n G M 7 B / v Z 1 M S A 9 y N m n R X y O Z l w I 6 F 1 Y 2 q c K h c g o S z 3 U x T p u T F G k 6 4 / E + M n k 5 3 a a T f L e Z T S l O 9 4 9 H J c Z V s H 9 c k u x s L q a m f j 7 9 G R z U T 9 E E E O x 1 I j Q Q B g f C L A 7 S + l x 3 X Q Z X A g r I N Q s 4 m F M J 6 U Q U 4 U h Y V K J l M M E 2 N b W I s g A x O s b b v p S G z / P Z M P z J / Z i k 5 2 T z O 8 2 l h W W U r g n 6 M L C Z 3 O g 6 2 C V 2 3 2 C H / c W X X h F b 0 K x 6 4 W U 8 9 / z L e P m m s 6 E j T c p P Z Z t z k v h N 3 u x F 4 8 g d J E S p D b k s R n V t 6 E w 0 i F z A W r s G e r s 0 6 V w J o j 4 E w a x z i 7 8 M D k o w b Y e T h W X 8 I T + n y x X G J H Y Y A b i 8 y Y N E w 2 X i v W X 8 M W g j v b D 3 3 w L T + E s F k y + c G a L B L 3 C 1 O Z t C g i v 9 E D K k I d 7 d t A 4 O m x 3 B a A j z 2 x a K O m t j / k l y 5 p I 4 / e j l M I 7 M R b q p / J w V B 9 x c 5 n l 4 4 d a t 2 L 9 W i i D 6 q S P 5 e W 5 6 8 m r c + z l p 7 V B P Y h t u f O L z 4 r 2 A v P C O / S 8 h z e k 6 Y p E c q X P H 0 B 0 I N / + 3 C G 5 w k q m q b 4 T k 2 b e 2 E 4 u P T C E v F x b J p s e Q 1 n q o o / V i f V Q D p w 8 p W Q H T a b 2 s D R 5 J k i l m K i / 5 z C T R b a Y 5 8 g Q 0 k Q i Z T L t H D F h S P U n v 6 X O Z W g e 8 l a c r E I e r Q w 5 + U L t 5 e U e 5 y d n A w S Q s t R q Y H N O / Y x N O l M V W g Y X k V D l 3 B S J C m K Q / Q f j A x W h Y U 0 j C h B H i g v 4 E F 7 V V m V O c C R z Y i I Y T c L i s w l X g i J 0 a b O 5 V Q m h o H z b e 8 1 / k O / X B 5 G 3 H / K / z R g S s K Y K w R Y b w x p 3 f Q 4 t Y o Q A c H J h E a 4 M U + l 9 4 3 a G 1 k 4 J y Y 8 i 0 Y S A X Y N y f R J W 8 b F 0 B a 9 Z y 1 b o O B 0 I M c Q B C z U w M h Z k Y T q 0 f H z t x B Y 4 9 Y i 7 O P H E l 2 h q t m N v m w Y l H L s D 5 R 8 1 F f s B T k Z k Y H K 1 m 0 + i C 6 x t l w s / D Q u Y P a 9 w / 3 S B P 9 h E 4 f W n r 2 6 o i L n I 4 n T c G X p B b i 2 X Z e 2 E e e Z x a b U T A c b n 4 z k r a h e s m q M G S J 5 3 I g j e n V q A j x s m R u c r n 1 i j a U 0 6 x K Y U / p U Q Q i 1 G O m Z J p K S K V E H K W m U n 8 S 4 0 w Y k k D f e B M E C J Q T Z L 9 x w I 4 G C F O z R T 6 m Q M M m g q Z D s 4 5 J s F M k / u m B w x Y + p d C Y a a i O S X 2 i b Q 2 w U z i o 4 q Z e J W A 0 1 Q n X k x w a u w 8 6 M d X 7 / J h U G x u X Q D f l 5 l J I F 1 u e U T 5 Z T 6 M z f d 9 B y 5 t X N B A x 9 X 3 S w d T E y T w X B h a + 0 c S T N K 4 d v c O g e u d 8 3 k L v l 6 g l Q 8 L p o 2 M V l + U u a G A t Z i 6 z W q T c L b Q M h c r h d A V K C s V F c T 0 5 S c x b Z k 4 I u M N 0 L a p M 7 z L o 8 o 8 R 4 R / 3 f o G Z I b s S K S D i I a i G O s d I 2 0 1 R E R M 9 j 5 J 0 K f + + J b 8 C w K r Y d J G K 7 z r k f A c i 4 3 5 L 2 C 8 6 l N C c 9 m j a + h 8 y b z h b O V S L P / Y I m x 7 R m 6 X X E q M m Y / n o p Q Q P C P M U S 3 y H b k f l B e X R Z 4 t T I Z C n Q a x W 0 Q F 5 E 0 q f 5 H 6 l x N k W z h j X m Z S X q b R 4 S X P R X 4 U Z j g 1 l O P e h X a E u o u D Q Y r p w l t j l k K Z U 1 L g T 5 V m m U j g Q B K H E 6 z Z J F J E c G r 8 7 l / b q c v H M e Y r P G s p b P I E s R q i S G k Z R C d 6 h d I 2 Z M e F d t L L G w S I 4 F B y C D s 3 b E G 9 g y e + 6 Z i 9 H t W O F D Q m 3 g O a B k 6 9 4 n o G 8 B z a T E h w t C 9 a z t o o M J E 2 U V k g V I L W q a + D X V e H 1 G C S G q y D P m y B N l V D 4 + x C 9 5 u b i A G a k R s y Q N f b h l y P H b l J I / T 9 8 0 V E L 0 s D q W k I w J D w o 2 3 s G V j C k h P M j a o b e w v N I 8 9 D S w N U D e 5 s a Z D Y h z L W D L F 4 I 2 n k I O f e A B 8 v E Y E O V W I x m x 4 / u f S f E p P r q 8 l R N 8 B G 2 p N 3 D + f l E + x 3 s O b S Z M j e l y c s z Q Y V 0 R C T Z Z J + + p v E X X 2 k y c h M u + E f h Q W D z F T v q j Y Z z m c D d O / D l 0 Q K x k K F C O E k a T Z F w j F j B m R G n g a R i i X B J v N Z 0 U J D Q m k V W j W c 7 c U C T 0 F b a 2 H q o V i 6 k i C J 7 R K + k r Q 2 t z w 4 N s d j W g q t 3 k T j n c L K e d M j l D O j / L 3 W / + 0 6 k M c r t M 6 8 a 8 n i k H c i E T A 1 Y t G S Z e Q D u 8 i f z Q h N o o c J i z 7 7 S + l 7 1 U o B R Q A G O B u H l / r I n / k V K 5 N m N A 0 2 K y y k F B i c c s Q m q t r k m 6 r Q x b S o L B 8 R f m a x k F J D G 8 q M I p I d h b G J 9 8 v J I u O I I 2 E M I D 1 u Q 9 s R p y K Q G Y C 2 M Y 1 s W y + 0 7 R F o v S m M W 8 g X G p 9 D Z q F E m A m D F 5 2 e y x F 3 K K F R D U Z r P 4 q B + g u I S V q h J X / L N v o 3 W A Y e x v f u r E H O 4 I L b 0 E C q n I h / k J i S x J W f l 2 s T 8 3 n I J N H m I n j n v t f o I T J k q h H T e E 6 n a x Y T m E i w n Y J q 4 I j J 9 C a S e B o T b r i i G i P j Q X z 6 h A I D M U 4 r 3 m T 4 3 0 K t s y A x 2 Y T i B Y t d f s n 5 J T d f / C 0 F l 0 1 m 8 G b I O p P 0 H F x G W B q s 8 l A i k Q L 0 N j R Y e Q a f t V u W + i 4 W Z y Y 6 I L I d I m X K Q J e C x + E L d 0 f w z b 8 X 6 u o F w k n i f w t p l G I i U v y t c k g X I j H T M L z j d R i 0 5 C e m x 2 H 0 t J D 1 T p q i p J Z H 0 + X / Q P a I k 6 l B U q 7 e o q 8 9 W c j m k a F s W 8 T I k k b 1 5 Q p t P h z E u Y Z 6 N g G X o X x Y X 4 C n g b h U H U N k 5 R P V T N W w p P u K y W d m u p I i L S w x c j 4 a Y D q a a x u C t r q c S p R I e 2 F D w d f R 6 X I w 6 D P 0 k I X L 8 e C I e m + k h b L 2 O Y j W f Q X x p i u R 8 R y N Y y + R 5 m + q j E 3 g a s X B f m o M a a x Y M o M c a x 9 9 F d 5 8 d o Q u o k c m n Q Y X 9 F c E r v I 3 0 f w Z 2 A d v k z 5 U w I K G L B b X D E L f J Q V C y i H 9 H 4 h m l c J l l e b x K j n l X I M 8 l 8 k j O h S b m r 0 X Z Y S V J R Q 0 O O o s E Q Y H X 9 R w N l k Q 7 C m Y Y G J x J C + u T A 0 i m 9 u D v p B f 7 O x I 3 0 g n z A C b n F 7 z 9 u Y R Z E I j M B K z m G S z / y d / W k d 9 n s F n z m y g K x W u x b 6 W g D w e a h i 4 T C 8 d r z L S u M v r q x T s X H U r 8 j E O 1 A C L r 6 + c g R B 8 9 w l h 9 m V J P 7 G G L A V v i l Y O X G g l o 6 5 P e A h w C l V c Z 0 Y y X t 4 U n k J p r U o l y G Q g 4 c 0 Z N M x 0 R E t T 1 G S M U Q d m 6 I D n 0 I 1 x V U k X L / U 1 d B z d I u h J 0 x i 0 L t g N J d V y e D z o d f K V 8 2 A w s / T J w 0 7 M 4 2 o 1 I j Q Z R U I v p f Q 4 O P + M u v L H n + C t K a X f K C 9 R w U h + H 2 m + A f a R 2 4 u + 7 x k c k 5 b J 8 w / p / 7 y 5 H a 1 H G U Q k T H 2 e e J E 2 + U + E h w s o U N d M a z f 9 n U l i q B S c b R V y G L n A P u f m c f t 5 i U P W D 0 u e z S I a I 1 X 7 u V a f b 3 8 C 8 U C S f L Q G 9 E V r M I k 4 Y u R T O v V h 0 k r T s w J K Y S Q f N U 6 M z P 7 T G + v 6 h G n 3 w y v b k J T N 0 h s + f x Q J C B 3 O P L a W z u D x L e E g a g d v X 8 Q v K x E y E 3 S V x k r C p I P M K C 1 s t o K Z 2 P X e o y J t y I o k L E 1 c Q p s f p D x O / f 4 b W H b t v Z j 3 1 f J J q q J / u S k l L 5 6 M 5 q X q W t K o 3 K Z y 5 y g v r i V R a 5 O S Y s 2 8 X I m 1 T T n M Y D m U Q n N w + P 2 8 d q A F u W b F / 5 k d J s J O Y i g N v L Y Q a S h u o Q T u U K e l U P F n J t x y h Z Q w y S H 0 P E l g j f C F 8 m Q O S o w Y o O M 1 z W 5 8 6 4 5 L x e e + w V G 8 + 8 7 b u O y y T + D t t 9 / B h g 0 f Y O H C h W j y 5 r B 1 7 6 S o B V 5 f V 4 9 l b U c j Z Y 5 g 3 9 7 d Y j J w N L E S D p s O F o c V Z x + t E / N E C 2 o 4 h J w l c 2 j m F K t K 2 P D W Q R x 7 8 g p k U j l R 7 a j K 6 0 C a B A k H R w 0 a B 1 L p O E x 6 G x x 2 N 5 l 2 p H l J W + j 1 B g w N T u D t d 9 / A B R d d O j X / N V t w 1 I s r O b G / l e c l 2 C U F O i f i B 5 E f J G G k z W D c r k e d q 2 C O p k m g G F S h d d Y 2 i e E o z D Y n Y t E Q M r E Y f v 7 E f o z F d P j j 5 + a Q s C W z M Z W m 0 c i j Z m m 7 y D x Q w J o v W 0 Y Q M V N y x g G / K 4 d 3 / n g V z J N b i V 7 0 O O a n W + S j l a E 7 e D + y c 6 + S P x W D 5 5 s q + q h l I B h + a n m Q B h F Z 4 z j 1 X L p M H e T h M V G 1 n 0 0 5 1 j 4 z g P f X U k r Q a V K 7 f 5 Z P J g w Y a 2 A / p R h c M k t X M r E 5 3 B 9 A Q 0 v x Q K r h o d 9 o L J V T c k q h Z q r E g A 4 m n n h N 6 1 F l k 5 z P Q H o E N z 3 5 R W w e N O G 4 9 r x Y o s 0 p I r z A i 5 e p i 5 A x P X Q u t B e + d D 2 e + g b 5 e s j g / F v a o U 2 Z U N O Y x Q u b 7 Q j G M h h 6 e R B H e v O w X L 4 Y p 8 w h q U N E M n k Y 6 S k K g u M Z W I x u U d W n s a k e / X 1 D 8 P t 8 O P f 8 s + C o 0 u J f d z + L L 1 / 7 Z f z 9 7 3 / H a R 8 5 D S 6 n C 6 0 t T U g H 8 t h y Y A u G h o Z w y d k r 0 R d v F m u n u A g N Y + + Y D o t q s y K L X M n N 2 z Z o Q J 1 + Q N Q 1 m A 5 5 8 O U N m d k Z V 5 A d M 0 N X K 1 k b E 6 N h a B 1 6 W I i h L F O 7 / O V h J l 8 2 n Y n B a H C Q m R Q X e 2 N l S S A a y Q R C K k H 6 0 E n m R h j J N G 8 G c G j m d 2 j m k E a y I p M h v 4 v u x f s / K X t B 8 T j x v F X f 8 7 + A r q o V z a d c j c c e f x q f / v Q n B f l m e S M B g v o + t r 5 b E W 3 9 L / n T d I j n P X S z Z o Q 5 X w + b p Y y l k A n T s 3 N e 6 O F B a C i x w X N R N a L K K F 3 q X o q Z J v P K g d f C 3 P J p i a l 8 q V H E h 3 K w N W n g 0 t e K c D B r K c Y n b v 8 q V r a w y c O l y P T I y p n k f A 4 P g j a 4 F z n X I m L Q l 8 k P N C E V o e s c H c K 3 / y x p t 4 1 P 7 s e u Z 6 R N w T o z O / G L R 6 V d 3 n 3 J A z Q m l Z / n w 0 L d D 6 H + G O x N Z I b I / h K D d 4 n g / a r K Y S w C 1 F a w B i u C p G 8 w M 0 G m b l L 4 R F G S w N m Q A T q n 1 E 8 D v T 4 S L g 5 Y S B C Z a b x j z D R l Y C E t G 5 e D T b O F h U w i v a k d e o 0 N q 5 5 / E d F I F D X V X u w 7 0 I l L L 7 k I 6 9 Z / g C s + y a W + s t i 7 e y + q y Y r w u J 0 Y G B p G K B Q S 2 8 h O i K R d L 1 Y e W S h Y q q 4 M X A o O S g g / q g J D + e K S / + 8 p E 8 5 X I x k 2 o 7 F m e m L 2 F D h a W L E q l w r s c 5 K Z r P v 2 d 6 + 5 k V W a P h 1 D r i T Z t R Q 8 K 2 7 i V X 4 E g 8 a O N 1 / c h A U L O + A f y + D l V a t x y p H H k A P J E 7 a z F x v M E E z O / b t 9 M G k t y N v j C P u o L a Y k z D q 7 e C V z U b x 1 5 + s 4 5 9 q T 8 f D D j 6 C 1 r Q 0 H u 3 r w 6 G N P k M a K Y / W a 9 7 H 8 2 I 9 g I m Y k 8 0 6 P w I Y Q S c c 8 / K k R n P G Z l e I + e m s W Y 6 M + D J P Z G E v 5 c c a n p R 3 D z d R Z y j 6 4 a q f 7 3 w U v G m T 4 9 6 X h n m M W z 8 k I J a R a e h o O B B D R D 4 2 H Y L c a p 7 5 n 2 G T Z x r X I e T d 9 B d y r 5 V r I / c 3 h / 2 Q u R D 6 n F n o y y X j y U m / I I B v R Q 2 P K w + m 2 Q E 9 a g z M g e I 1 a J f D 3 f A 0 F D i L q F A l b j o T x N c v B Z V 5 E / j M / A 7 B o 4 X w s X 7 4 U c + d 2 4 L h j j 4 a T z P C F C + Z h b G w U J j K / D c F q u B u Z h q h N D h s x n g f 1 9 X W Y M 6 c d D f X s 6 B e e M k f X d E z 8 B S m b l J m v B o e 5 K 8 0 1 h Z L U 1 q w e d i P R t V x P r x K i s R C q H H W 4 5 d Y 7 0 N 4 x B x 9 s 3 I z u n j 7 B 4 J u 3 b E M 0 k S e B s A G L F x X v p C J B D v q k m e k k C S g x F K F x + A W E n D P 7 P k Z V V c X 7 / / 4 C j j 7 q a O z a v h 8 f b N i G j 3 3 s T J J S D r z 6 6 u t Y Q B 1 4 O G h Z 6 s W 6 J w / w a I q t V Q w 0 g B r y E x L 0 P j x A 9 j p J 2 l g 2 h I P 7 A j j 6 0 5 / G 3 F r O I a x B a 0 M r b B k r 3 M l m R P 0 R j M d G Y G h o Q d f 6 H c T 8 A U z 6 x 7 H z / R 6 c e u l y 2 N w 2 N C 6 2 Y e P z X d Q P F p x 0 6 T z o E C T G s 5 B Z y 8 X 0 o 7 C a 6 5 C J W j D Y G 8 T Y Q A S v v 7 Q e K 4 5 c h H 1 b 6 T p b e j D Y E 0 B t F U n i v A P / / N s T W D j n S H z w / m 5 U 2 Z t I C G S x 6 q m 3 o O O d 1 W G D p 8 q D w e E 0 a t v 1 6 C c m 1 l L f c P d N d S E T J x G F w 2 a C P x C A x T I 9 g K A w 0 3 B I K 2 q o 8 8 Z i v L w / E M 2 S E y 0 R f Z 4 n O k m K + n I x w Q w M h f D 5 c y 5 q g N a c h S 6 W 5 7 z m I s Y t B z U z M Z i Z G H x N H W + e V v K 9 l 7 P I D 5 G V z p q Z g x P 8 N z Y Z h s V b r A F F C l O E T E 9 h j h b a x 0 0 N Y R H 0 c r W h U r D Q i i Z H U P P K d 6 E P D S D Z K A l J E / W b d R b M x N D q u D 5 9 N U 4 8 8 X h i c A f a 2 1 o w p 6 M N L d U Z L J g / F 4 3 N 7 Z g 3 b 1 4 F q 0 w + x v 4 Y z 6 W R i S h M P u k o M O i v x X G p e z F Y N 7 1 I h j X S B 3 e q E 0 O e j 4 n P m 9 / v F R L v 6 O M X 4 o 2 X N u E T n 7 i I R o M k 5 S y 0 U + e E X t R t 4 C K R n P W t j P H v r 3 h B / A 2 S m R c j f 8 r S T M 4 8 + c L Z c S s x V J A k U h j X 3 f h p e D q 0 a F 5 U R z S p F d U 7 G b w 0 3 j b 2 F t L 1 p y I f G 8 I P P / o e m Q V 0 D 2 s A f 3 z n e k S j M a x 9 c Q s S o y b s e K s X P 3 z y M o w n 9 q N G R 0 6 8 v E S c i S 2 a H U e C z T H V c / A M P X / W E 3 G l y V H X y p O w W l L x P H e n Z J p k i W L 1 2 o x U R 4 9 c B 5 e + B U n 6 z 2 E v Y 7 + p n F 1 O o k 2 T r x E K h + g v m W O J F O a T h J 8 J w W A I Y w e 3 o m X h c p g d T i S S Y c Q R Q K Q r I C q 7 R g I T c C + W / C 5 D / w I k j H 0 w J p u Q q t s N n a k 8 g b I W 4 h B y J Z i 0 D m j T 4 1 P n 2 D X 1 M B o t R F a H J t x y 4 G i s W d U W X o Z f Z y l s 6 s b b x e T 1 b p h H n k S i + U v y 0 Q I 4 g X b z 3 6 / F K X X D Q q 8 N n / M X s S z H Z q w 8 R 1 c K H u Z q y 3 Q F 0 B d e S 2 N p R a N N 3 u d 3 l i h i K I 7 a c b H D p v 5 V Z C b o S L K R i R C I o L / 1 M r F c W 8 8 5 O 9 Q C z / g 2 / O s t c l r T a W H 3 e j x e n H 3 W W S T l 0 1 O + z U z g y k C F + u U S O F K S M z X g D 1 d I S Z J q p s q Q T 5 S N a u H P D A k l + 6 t 3 f 4 B 6 Z x a x W A x W q 2 I j 8 2 M U p M g t n 1 + F 0 b 1 h c q z J p 2 j J 4 + d P f g k 7 n v F h + S U l 9 j B P y q l K / 4 b S Q 7 A b S F P l 6 P m y E d K S h T q A f S + G s O n x D M b M u / H V O 0 + R j 0 5 H f N Q B c 0 1 Y D F S C u o O r I i 2 p L w 7 u q H G 4 V V 8 Z y e h 2 R M i 8 z m Q y I k C j o O A D c V 9 M D a 1 A O k l t m H T C U B 8 l a S A f l M H h c 0 U b z R a W D D G g S E v T k s 9 Y s i 9 t G f g P x l A 1 d 2 a f h t u c z 3 C d Q o e Y 6 o i R f 1 U V 3 4 5 M z U m S 4 C F h x W U Q l L W N n O 7 l 2 7 6 K b E 1 m R G n 8 m a k M J N j K I R S 3 w 2 7 m u T G m d a n P u a j l d B T T 0 2 x R x F C V U L o 6 k / 2 t j E H q G M X 5 l q T 4 o Y l i 6 5 A B R z Z O Z z p N r A d 5 a z s y q S x u / c z L w g f i g M R Y n x / u O g c w I U n 5 8 e Q Q q p o 8 u O X F a 4 S p V M W l r g j 2 7 t 8 g 0 v E D 8 V 7 B b z / 1 H L Q 5 L T n r I 7 j p 8 S 9 h 6 6 v b c P R 5 k k 8 1 B S I k X 7 o f e 4 f n 4 I Q 2 r q 5 U 3 o / k O Z i J L h / u / / 5 q + L K T + D / S c E n S Z K w F 1 d D 3 z U W m V Z r 0 z m T 0 s O j b y Q S J k b Q z I J I e R k a e 4 e d M b 4 + p j Q Y / L n w f D q u 7 K y z C K 0 U i v h t R F f E P 9 f v R 2 F J + f 6 q y 4 B H v J U e 8 X c r 9 4 0 L 4 S V U y 9 E x g 3 0 S v y 9 B v S P e W B C 8 8 p g 4 i w c r a K r C f n n F B C S c r y C W R T / Z A I y c 0 j 4 y O o b 5 O l b x M v h w q B C i i X H 8 j O 3 N B o a S f a O m x m 7 C y W Y + J 8 2 + X j 9 L x D P l p h r a p b Y m 4 V I M 6 1 / N w w E p h V j / 1 j R d n O D M z t U 4 8 D 7 s q M 2 I 2 z M Q o x 0 w M Z i a G n m z f j 1 y 9 S N j V 2 Z A O N U 1 u c c z Q J G U m e w 2 N C A 5 N I h F L w u 0 q R M l i N V L U T o 3 v P 0 p m K F G P S 1 + H H 1 / + D x q w M s x C h M n 5 W y f S 7 S s x E 4 M n E m v m V C N H j O H U V c O s q S I G K F R f y v X U w p h I T j E T Q 6 / P k I b s R I Q 0 a 1 9 4 g 2 A m r r E x H q o T U x K c 1 R 7 J j C K a 4 i y T 2 U 0 e R m L F z M R g Z h o Z L O + g l w U L X m I m T X 8 j D W b + k M z E p q A C N m m 5 u l U p M z F 8 y W 4 E K m T q 8 z g 4 O m a Q 3 T y 5 L D M T m 9 c K M 6 X z U W p i A r a B v y F M g l G d r 6 e 8 e N / n m R C f G M L e e 2 8 U S 1 o O T u R Q / c K 3 x I t h 0 q e m m I m h Z i Y u j j p b 5 J K j Y i 6 q L E N x y a j A Z C H t K F e i P V c 9 u g 5 D 3 v P g i u 0 A l 4 t 6 + t l V Y s c F E b G j V 3 4 W f M q L x 8 q h c 1 0 v D K S K 2 T / y k D n J b g b P T z E 0 T l 4 U x k F u L b 5 + 0 m 0 I J 6 X j 9 3 5 m I + 7 5 q g / R Y G H g h 0 b G B N 2 c / 3 + n C O 3 C A x p T t n k p w d p 1 H 2 B s f B I + f x B h c o 5 9 g S C G h k f I 3 E i Q n 1 c Q F G v + 1 i / 8 p V A 4 g j W r N 5 D Z Q d + l 9 M j 3 k m / R P o a U u b x v I k E y w W I p D o I k h Z R n 5 E i D G v W S k K m 0 b G Q K r M 1 K i D 9 O 2 p J R T 1 p b Q b k s b 5 7 u K E W + Z Y j M X Q 0 y A w U f j z W n P + o W a 7 8 U s M + k r E D g T c n S J F R M m u I d S h S w x m Y i L 4 W / M y 6 2 W i 2 P 4 r a p A y d a G B B M D W D M c R T 5 y d O X r s w G e x 7 + P U w k K 2 0 m D X r 9 W Q w E Z i f 8 i 3 b D n A E Z G p e + R A Q 9 w Y M F y l c 7 4 T o i Z r d X 6 l D e l a 2 u u d B 5 x m w d I p E I O v c k s D t 4 F A b 2 v I R l y 5 b j 1 l t v x 8 b N 2 / H k 0 8 / h X / + S 1 7 d U Q D Q 1 Q c T T T a Z k Y f a 9 8 4 N O 9 O 3 o x 7 w T 2 n D k B f P x 3 U c u E P 3 M 2 s X S k k W U r B O 9 k w 6 Q K e g m H 4 f Z 9 k c f l 3 L 5 o o l + k v Q + / O Y L j 4 j P D A 7 B p j M a L D 6 S 1 9 K k 4 D L U 4 K n 7 3 x D P y X 6 H A s 6 l a 2 l p J l + w G p s 2 b c b B g 1 3 Y v H k L 3 n 5 n N d x u D 9 5 6 q 7 C c p G d t A J Z U N U n N J P l v Y d z / 0 F P Q m U m I t J X f 3 Z 7 B z C w l k u Y F o T o t E R r Y g r B K Z g p a k V O 5 m B i Z g B j j 6 r V M h M n 0 I J L p Y q a 1 c F B F B U 5 i T e d i 0 0 x R L p l V F k S 7 u q Y I s n F Z a J H A q r I F p t Z + K e l l e v p r I 7 N L 2 d Y l m T 9 U 3 Z E S B u a K T W W Q F 3 1 T Y K B S c D i e k b A 3 o d U v B a 2 4 T e F Z b K a m Y M n n f g C 7 x Y R + f 4 b G H 4 i k 8 h g 5 o X K B l w I q t 0 s N r j e i Q P P u u h f y T W 2 S / T 0 S 9 K D e V W w 6 x C I p W H l r b h l p s q E b H X N F w u o U S G o 5 h u 9 A M t W I n L 0 N W X p 4 k e x Z p k F c a l i B 4 g x u f 3 0 n j j h z G d m g v N N H P e 7 9 r L S C N 9 s + D N 9 + i e k C m T F E Q 3 F Y H W a k B t k R z p P v M 4 T r b / 0 E + j a E 0 b V x B H 4 6 h 5 e Q X / f X z 4 H 3 f R s O U l u N B 8 k k a M S t V 6 / C k L 8 X t 7 9 R P P M e i 9 I 1 b d N D 1 s M j o 8 S U d c L 0 1 B v 0 + N v f 7 s F X v n I N 4 l F i E L 8 f z 7 / 6 P C 6 / 7 D J U e Z z C l 0 v p i p e X q 5 H K h E k L T Z 9 1 5 x S e D P k c T M T l o S E f V V p C M B m l f p s 5 O i 1 g z C R J a Z p I w I z A o q 0 m b a g X 9 R U i P m K U k h W q a u Q S R B a 8 8 r l k G c m H R 6 H t j P B B H R x z K z D 1 I a D W e O 0 T z 2 K H 8 3 j x n m u s m 9 X p V 4 d o + g e / / x o a X T r U X f F T 6 F 0 F / 6 x 8 U E K C 2 C a 2 a G K X + i g T I O 1 F g m z K R e A b E 6 2 T f 6 + F s z B h V c p M D G Y m t b l Q R + q / i J k Y Z J e F G 2 9 A q v 0 K Z K q P J 2 b i m W e Z m V S a r x w + e H K v Y C Y G M 5 M a v b t H 8 V 8 P n i + a a 9 b a Y X U S I 9 H 1 j I 3 k T 9 E x T d 6 A O 2 5 4 E p f 8 z 9 H g g q 8 u Q y 2 Z q h G Y 5 G T G B h d J J E s b T D Y D j j y 7 F R 8 7 m x M y i z H F T C U 7 3 T E z M b j s W D y Z F X + 7 O v v g D 4 1 j 9 b o 1 O O X k U 7 B l y 2 a E Q z E 8 8 v D j 4 t x K K M d M D D 3 Z 0 m p m G v Z L 9 + S i k x J I q y U P Y j z e N S t m E p C z M R I h L e K 5 C a G t y A M V W d U z Q W v O I R e u 7 E O W Q q n d U I o w b z I h U D z u G n t B K x 8 O W D C o 0 V N 9 M T w k 1 I 2 Z N D 3 b 7 L P K G c d + 9 6 9 o + v K f i 5 h p O n n m o E m Q f x n b j 3 i M a I J d E 1 4 F M P U y I 8 + J t E X + t k z r X H t x N l E + B W 5 D M w a H J t H a 3 E T a R K r z d i g Y R 1 4 h U a x F q u Y s 8 X k y Q X a m R k 9 q O 4 3 e 5 4 0 4 6 v L p Z X f v v e F d + I e i 8 K f H a F j y W L x s H g b 2 T o J T a 9 j 0 s z T R Q 4 a N S I U 0 m E y R V C C i v G f r / + L m K 1 Y h k o i S j R / G r 5 6 5 l q 6 k E b l / Z j K g 9 6 / u w 5 L T 2 6 h D i o m G r 9 9 z Y B d s D i d q 6 8 u X A G b 4 D y R R N V 8 y W 0 b G R l F f W 5 x b V 8 5 v O B R K 0 3 x 8 E T c 8 9 g B i 6 U l Y S 8 o n K 9 G 1 Q 4 F N 4 U I q l R A 7 0 l s Z z G D p P G l l Y S p O / z 4 3 6 I S 2 6 d B l 5 N R I c T 6 g X n I R 1 K W 1 j D o b H P o G u U 4 G S 4 T i e 4 F L d P M G E j L Y H F f 7 T 7 y S m p + m H C J k 8 j U H B x C o O V o + Q p g 1 J R e Q T K Z J a y 2 m 3 1 L f c v K s a t s g C d P 7 q B w 0 i T 5 S J K 0 F H + p Q 8 B r n E l + Y B T M x S p l p O F 4 + e z h V f 7 Z g J n P / g 9 D 7 N 4 k 6 0 l 0 v p a D f + h 5 O O + 4 J a d t 9 B e R b M b 5 w 2 2 l E + B p i Y J Y k e e z Z u R 9 a P e f 3 e W E l Z o o P 0 A M 6 k q K z P c Y G M R f x 4 r 1 r c c n 3 j i H / x E I W a A o / u v w f 4 l o m c o T Z r 4 i N k + 0 v M x O H N x k j w w N k w i V Q 1 z g X s Z A P Q 8 O S X a 7 V 0 e D T w C b J l A t 2 J d D f P Q H P 3 A x 6 u / a I l B T O a C / F T D m M 4 X h 5 D c X M p F 5 D x s z E Y G a a D B e H w S s x U z p s h k n j J f P H R i Y k L x M 3 g D e 7 C 9 A j m g w u v P z U R h i V D c k I B q 1 V C D P 2 7 T j U r F 6 o x 2 B m 0 v S X z 2 1 T V r c q i G f 8 Q i N x 2 D 8 j W w U K M z F S s t Y P D 7 E 2 K y F K J m A V M z G 4 Q p M a M x V M s R v r E F P X u P + Q M B K j s 0 Y S 2 R 4 l z K Q p q c l f F p x 2 x L m w r L X o r z Y n 1 4 Z T I 5 s o m A e c 3 y a I R Z Y c 7 F O U 2 8 j Y o i r b x B j t 7 c e W 5 / Z g 2 7 N D 2 P x E P 9 Z t P R 7 b t r g x t q 8 T x 5 x X A 9 c J V y P S + h 1 E G r 4 J a 8 9 f 6 R c k C V Q F J / / r k Y + L Q X f r P K L m X i S 6 m y R Y F i 6 t E 7 Z a H 5 L B C Z j r 6 G F I q j k M 1 X j s 1 j d R t 7 Q G i V g c 2 k g V U v G U z C B 5 6 L K T a D j S S G Y P P T h J U A 5 v s u / k d H q R J X N u p K c b z c 3 z 8 N b b 7 + D + B x / B h g 0 b y S 8 K 4 8 D Q C K o 6 d J i z s B H 3 P 7 I K 7 f O X 4 9 n n n s e / 7 n t A J L f y S 9 0 X l Z j K Y S k O W g x M k q a U w W H 0 c m i x V P b J 1 E i T z z T Y N 4 n X X 1 y P 0 Y E I H r j 7 J U S p W 8 b H / H j m 0 T d h s V r I s S / W y j a 9 N H G d Q 7 Z s y D l b V f 7 e c d X 6 K g 4 K K E z E Y O Y q h 1 Q u r C S E T C H P A q 0 k X Y n n n d h X L c V M g i p l 8 a J 1 8 G l B A w K H V i T T I K L S w k W Z D t 5 + q d S s Z M u s C L z L I k 9 j y C 9 N 9 4 a + f C r K J W h t m O g L w d W o h X Z O P 3 0 n t a 7 0 g W 5 + P I I l H X Y E Q m m s m G N A Q 3 Y f B g / G k Q m 7 Y N J V Q e e d w L w T 2 s t 2 z o z I p W H p u 5 e Y y o S U / T j k b B 3 I k w T / / R X P E 0 v k R e b E + d e c i H f + J R W W D P I S Z D L 1 u H Z i b s R E 3 w / i l 8 9 8 D Q 0 d 1 e j c F 8 E 7 f 1 u L q 3 9 z O k n t B I a 7 I n B X u 5 C O E 4 v G D N Q 2 O 8 a T 6 9 E + d y 4 9 p z y X x f N o J X l q D F 1 g N x H Y U t W g U b + U G t 7 M V I Z i g c J t V j Z F L o U 9 6 0 V E J 4 W 7 A z E H 3 N Z i h u N 5 H g 5 N / 7 s w k c R M 0 i B z + W g l W s f M V R o Z L A d d 7 x x k 2 6 Y X K a l K h + A 3 O O U 5 t S j R s E 7 M E 7 H w c 6 j 2 F F N D 1 z c P 7 v k 0 T t S G f C 4 K n a 5 8 l n 0 p K p n R L F j V O 2 g w d O k o 6 s b f w l D D B f K R 2 W P G o A S Z c r C 0 Q p M N I 6 e V N J h g w l I a k K E Z 6 u n J W 5 2 F O Y f I a A z W a j P 2 r N m H 0 E i c a I z n l r R k c p j h a r X i L + s d S K S Y X P K 4 7 S s 2 m K w F H + D f A k m 7 4 X E / q p x u m C 2 F f L J E I o k 7 r n p V J M p G a T C v + / U n 8 N B P V 2 M s N o 7 M u B a 2 p h y s e T f 5 7 E n 8 7 6 o v w L L / 9 8 i S W Z m q P w N 5 v R 2 9 4 b X w v d I K 5 0 f b Y d H n 0 K D f D 4 2 t g i n B 2 9 u o o k a W v b / F Q M d l s B l q i D G N Z E p N j w a q k S X J q 5 M X m i l g s 0 q 9 i 4 n H 2 C z W e C k E n k i Z Y D Y W T + o W + 0 H / O S S y f j G W J m 0 x Q b P j z 7 s Y l s K 4 L 4 q Y p Q G 6 Z t I y W o m A e D 4 q N U t m 5 x g m l 1 j R 9 n n J / y y f y c F b 6 i i 7 g K g R z / h I E E w P k h 0 K h r g f a X P 5 e 8 W j K V j k V H 6 p h 6 U + 5 r 8 e o h n G H X / 6 K 7 7 8 l W v x 9 N P P 4 M g j V 2 D N m v f x l W u / g J d f f Q M j I 6 O w W i w 4 9 b R T 8 c 4 7 7 2 D F i h V 4 9 9 1 3 6 f s v i t 8 y y m 4 W w J s p s 0 T h W x W D G h H v R d L Y D l N a c s L + I 6 B r + p O u q T S i U n R t H s V D N 6 3 G S K i f n P M U F i 9 Y h u 5 9 f d C 7 c k g O 6 W F t z 8 C 0 f B J H H 3 M s w s F J f P J T V 4 K 3 + p + Y m B A r e 5 d 7 l 2 P Z m f L u E i T d p t k g C k i i C 9 V N s A / d h l 6 v J O 3 y u Q x i O d + 0 Q o 4 M t Q b f N 6 b D w q p x u j 7 b 4 3 b 6 W 9 B 4 w f Q A n I Z G a H n + h P y m J B F o i u z v B P k 0 G k 3 B P + K J T J P O O T V h O 1 u w F r L q p k 9 E 8 v x R i J i a i b s c 0 y h g E 5 B 9 o e J n z M O Q D J K 2 z C J L z 5 M d d s O G Z t L 0 U e i r R 5 B x 5 k Q C a T 6 t R 9 b A W l Y i J Z 4 7 k q K A 9 J l z 7 8 D z b 5 J W Z M G e J r N C W b m Q T K b E Q t F S z B T k Y b + t k j b s i L 6 E b u u 5 8 q c C S g M e C k Y G A 6 h v c k s B F C 4 c p O e A W Y a 0 q F H 4 3 p z y l O O 9 w O i 3 / H t + Z T M k K H g p D H 1 f q q n K M 1 R f F O 7 W E q n B E Z D S D d H Y o Z U n 3 j 4 0 i I g P d g 9 h 7 t y Z H c w H f v Q u B v f 5 M J k Y R j K r Q 6 O 9 B t k s r 3 k a x N d u v U S s h q i t c c G i T S C Q M K G q q k o k V + Y 5 r Y f + m u 0 F r V c J v D G c h u x m 8 9 D D G P Q W r 8 F R S z Q 1 1 A z F B T n n V h P D l u s r G X 3 R 9 8 W y g 2 r T I h o o A + 7 5 x 9 8 x M D C I i y 6 6 A I O D Q 7 j w / I + T C c V b r E S x 9 v 3 N m J y Y R E t r I x Y e W W n W P k / n J 0 s 2 g M u L l C Z u r 1 v r m Z X 5 q I S n z d o q Y p K C 1 W G K j i I m 6 u a R c V f i i z G / b H 5 v A M 1 N 1 G d k q j / x 9 J M i W Z l L E V x y / i W 4 8 R c 3 4 d e / / A U + 2 L Q B D Q 3 N G B k Y x s D o E D x u j 1 g l s H f f H q w 4 Y g V O O O E E s o C K y X A m h o q m x 4 X V U A n 6 V A Q Z M u v V G B 8 N o 4 Z z Q k u g p b 5 W 6 o r w c / O m B r 3 R N f S s J j R b p 6 / D O h Q 0 D z x w f / 4 j p 5 8 K B 6 n d 5 1 a 9 R A N 7 P u L + G P Q O g 3 D O T z 5 u C Q 2 Y T Q Q j e C 6 G Q 9 D / O X A n z t 6 0 + d 2 n n g F n b v h S 4 / j 1 U 9 e i c x M 5 x t k I l p 7 E 2 i c v Q v K l 9 v C m V T t x 9 I X S P B d H b c Q + v z M h 0 U t U 1 T a r M L i O t J n b U N D S f X 4 t W q t I q v H u I b x z e S l I 8 v F / C v E r W f e K T Z 7 O k X 7 i d C Z C O E d m Y T Y t R + T I l M k m q a f y w i d S g x n H r l e H 8 K U + l Z J u g + J e 6 j r f H w Y N 4 6 + j y 7 O y r O 8 l T Y G Q R C d m 4 y C H l n w q T s / i B Y C c r c F 1 g D i V z W A 0 i l J d / K w D k Y 1 o s B 9 B Z 0 o l D D L p D D a v 2 Y O j T + M t g g r 0 8 G G m I h j u y e 1 I k Z 8 X c x Q L 6 V g 0 C a u t 2 E W x Z u O I l Z j y D m M j j H I 0 l P M 7 Z 0 U 3 M r R e j x d / u / s f 2 L h p q 3 j Y V I o G M W P C 3 X f f g x 0 7 d m D M l 8 Y 4 S c n x S d I O P l U k R y 4 9 p Y D N h c N C N i Y 0 z O H g + 4 9 e Q r Y 1 Y N M 5 M J Y Y w Y L j G g Q z c a G U B 7 6 + G b v e n F 5 o x p Q v + D S z 6 R T L 5 G o i S Y m o D w U 1 M + 0 a 0 U v M x K D B K A d N a q x I k 7 j k J R u K 2 S C Y S d R 7 Y 3 O Q p C z 5 l Z y F z p F J 9 l t K m Y l R z E w 8 D h G h b Z i Z 2 M T j g E H p 5 O j h Y r j m T C z y v y 9 / K o b i C 7 K J x + 0 U f 5 m 1 Z J O P m c t j b S W m l t L X + F l Z 6 G n z v J Y s L 6 w H 9 t O X H z 9 P 0 E O o c 3 p g 6 H A R 8 B w h m K l p 8 m V o e Q c G G W p m Y u F k p v 4 t Z S Z G O D U k M n r 8 y T 4 5 i l s w y W c C k 7 M w + T i x V V n H x P U a J v Z F U D W v 2 E R K Z 1 I w i J 3 o Z K j 8 j c O F J t Y N X 7 w K V d 7 Z S 0 4 u 3 s i b A v S F p c i Z g Q i s y S E R 9 N q 7 d m P v O 0 l U L X s H l / x v 8 S Z s e 9 b s x e J T Z l e F i W E d u A c D N R + Z J V O x N O V K P z M v W 5 g C l 6 n i O m 6 H A B c 5 C W a n C w f G T A G L y Y g b X n k u S 2 2 i R k m L c a j 8 3 4 X d v x + R q u K d D h k z + T S M 6 a F v S Y u q w R a Q U n M j H U 8 j z O U i 2 m d f 1 a g I J X K 6 I / 0 a R q y X I 5 4 O o v / A E F r m N 8 r f c L k B D 9 G W D y Z e f 8 W a F i Z y K Q I w a j x I 5 X 3 U 9 j Z q 6 u y t M v E E 6 k W B X H 1 G V 7 J 3 E E P N T J p c 7 E M z E w c F e i f 0 h 8 V M H / Q b R W l i u b 8 F G u 0 F b X P S 1 V 5 8 + b c D U 8 w U o w 5 i T A 5 P S s w k S 9 F Z g e 4 x W w 2 l j F x p I m p F l O m z 0 g K W j E r M x G A 2 M Z P 5 V w 4 K M z H U F o O R C 4 6 W A T 9 n a W a 6 o n H K I S t n Q 5 R i J m b K x c o J m u n P r C 5 g k z c l B T P F D 5 A f n y k v P G Z E y U + 6 D W d h 0 / p O 7 N l w E H Z H C 1 5 + e h O e f P B d 8 r c 9 + P m N t y M w r M P z T 6 3 B I / 9 6 B Y m w F s 8 + 8 j 7 p C / I J 7 3 9 X L F c 5 H J Q N S g R 7 4 n C 1 z x w i / r A I h c N i 7 f 5 s w U v b l T J b a k z G x u G 1 y o 4 p L y 0 o 4 3 h v e W I I K y 9 h T U v f V c i n K 4 V t 4 E 7 0 y W l S s 4 V Z 7 y I z t L K T P I U K O z Y K Z M M 0 G k b h I I / F B + G L V K H O N f v 1 O L G k B V Z T s R l e Q L F G 4 H k c n t B V 8 v E s u i o R 3 m c t l i U z S K c K S p S i P f o y e m w f l z 8 d G j n e C t Z z 6 N W 8 p V D 8 p 0 Q 0 A 9 N E I z R t c u n j C u B s + m A g A Z f b D D 0 v E 6 F H 1 t H z 9 f W F 0 d T m Q T z n g 1 s / F / m c H 9 p Y R o T W 2 Z z W 6 J M w a y 3 U F + T 7 a V L k M 2 m R T G T w 3 J N v 4 u J P n 0 J 9 w 5 W i Z j G 2 M l Q y v 4 C c a g 1 Q W c g 2 f y p Z a Q A r 4 3 C Y i V G p K Q o z 2 c b + U Z a Z O N K W z v O 8 k m f W z M R g 7 c u O N o P 3 P J o N L F r y D 3 I J 8 p F G o e E a e X T v T C 6 K e K p X E E Y s t h M B 3 k S g H D O R R h j i g r k 0 c M H s G P z 0 G 0 4 z O h x m Y l R m J k a x y O Z J U X W A g a s + s Y n I 2 i m Z j / I 7 + R v + b p J M o M I m 3 c x M p r F N 4 n y O t h 0 S u b I k N m u Y b X r B T L r e m f 1 f Z i K n w k y E f D q F L J l q z E w M 1 k Y x 6 l 9 O t E p Y 9 a i d e B p 5 X V Q 8 c 4 y E W Z I E T J r 8 + m Q m Q h d L 4 K J P n S R 8 Q q 5 j c k j Q e Y b x t + E Y v K U 8 Q z n b L E g R F 1 c E z + U Q u B g I O 5 a K U 8 2 Y m J g s + s z Q y I X l O U p 4 O F j T Z R K 7 Z c y E l K a w e T Q T N I 0 g R q P D 6 A 4 M Y s U F l X P B K k F D v 6 8 y t o u J R W V O R h 1 G L o c Q O f 2 T 6 Q F M 5 M O Y Q E K s W w q m h x G T N Q A v 0 M v K R J p X 7 6 K X o O 4 n 5 m 1 w S d u L T u X D i X / / M + B K v p X A A Q 1 m L h Y g H M D g v 1 a d p 2 j 8 T F q 3 S K Z V Q 2 u V 6 p z P F L p W U E I K A m X W O k 6 D q I t P S M o E n W 3 r R 9 + m m Q W 4 Q e R t k m t A B E 6 c J R 8 t Q D 3 t M V x 7 J t q D 0 v o q h r J C o R S e k k l w N e w D f 4 R p 8 G l o y A R P k 9 8 d b v p O e Y b S G U j t j R Q H J d T Q 5 I L o 7 J T S U p T J L g X V 1 V 7 p M w c t 6 M H G x s b R O S B 1 B O + + P l v w j u e i u u s M 0 J C T m a 6 R t p K M R I N S P X B 6 p H g m h v H N Q Z g s M z N C O e T l B X T N t u O E M 8 0 v D v c 6 D X X w G g o 5 X x w c 0 B G x 8 k Z l W X k 1 6 6 G Q J c 2 l M R U m T p 2 6 C U w k e A u c D 1 c O e j b I q C a X p 4 O Y g k z V 0 g l h D n k z W H r z U J Z O C M f t j b B E e G P x W Y D X 1 Z S g U p 1 U j i Y r 4 L r 4 3 P c m V c J q 6 9 E W j G y r 7 L s z 8 1 o 5 R 5 G f W c s b t h U L E 8 X y U L D X c Q o J 4 Q j a / S 9 U L l B T k v U v w G l y P f 9 A p P n b S D Z d i r w q x 7 F i b z v m p B H k U n n l p E l i G P P m z W A X Z 0 J I s 6 1 G D 1 Z b W 3 P I S d t S v N 1 p m r a p c j n w F j k K 7 D Y X N H F p C X m 1 x Q 1 9 4 M N F t V h D q c G Z I b y r h V 5 r E 1 p I A Q c H e B u V 0 h 3 v Z 0 J U r s U t w r G E Q H a C C P b w n N 5 S c M F 7 R t l x I p T W 0 T s c x M j c S 5 d M j y j Q c a n i 2 S B b / v 7 h x H S u 4 m q z p d Z N a Y S w f k U K I 1 v l D y W I T E 5 O J f B y m Q R d C Q O p w b m I Z t I + e a M d P V X n o 2 V M q r a l R u n G g 6 w g 7 A N k 1 q U C i L d f I x 8 s x g y 9 r Y F r P m m K f W H B W L z D Q y Z B 0 j h D x o t N q p 0 m E g d V B K h J D k l v u A Z B n q S N y N S t M N J l w G W i J q I 6 f G T e z J p p C n K l W 5 4 Q Z e Q t x L h k 1 9 u N 3 i k p e 7 j I c w B D B V 6 g y F J q p u 0 t Z w u l Y m s 0 P Y r + o K 9 s w f 3 D B R e z N J A k T q R N Y k f J / y S k O a 7 y 4 x d x L 0 L 7 5 H P i P a e D V U Q F h n K Y y 1 + X r R t m K q 7 e K m H 6 e f V H 0 m V H y C R U y T 5 D J g E H M e R s o S / J 8 B n 3 n o 0 a 3 z r 5 k w T 1 G Q b / Z h h G 3 i a t 9 B 3 k z J V N X a 2 f T K u Z 4 F 3 k E I x l c Z u g N + s Q 6 C T n W z b x p F w + L T E S p / u T L 2 W S 4 / v U 2 D x n C o h N 0 c g k 5 H U x J W n w p e j x 6 8 k k 5 J 3 O i 8 O 4 R a D 7 a B L E t J z E S t B 6 p P Q o J b t A Q L b r k 2 Q O f j i o 7 i / 7 Q O X A V Y p 4 5 / A M T y E c B j i 6 1 m w / F j Z T I W H 2 3 w V v 4 V K l C 2 E 8 K 8 1 x 8 Y b j / y k Y S 9 Y I q d H j v R C G 6 C E C N 8 R Q 7 B + W y 3 q I J M v b f k x f z U 0 N x F j s W 5 b P 2 N f V R 8 j y 0 k H f 1 4 F M M o d 0 u W 1 r K 5 i W a n C O I 5 d 0 5 h q M k 8 4 V R Z r e J C 9 9 t w 3 8 C W n n U q Q b p C K v M 0 F b N Q v T q g i 5 6 W p U 2 s q j c u v z O i J 8 Z i 4 5 m F E O 7 V U V T B 9 R 6 U Z + S r p P 3 k x M y x n h p H 4 j m e L w r b o z j C V L r v k 7 / l r 9 U s A Z 6 Y O R b f B F i a P l X S A E 5 A m 9 c p t 7 8 U Q u p / T w o s v Z l g B j 5 O I D C M X 2 F J l i p U s R P g y k 3 S S l M e A N x 7 l u H j v n / L K R T 8 l z V 7 w J 3 n 8 W G t T H P o B + p j J k u c K z l T K V 3 U R + T o U m 5 X U J + F K S V Z B K Z p B M c C a G e t T o 7 s Y s 4 v U H U R X Y C 1 3 / X B j 9 h / 9 8 n A 1 v 0 X m Q I a s m R + Z i k + 8 N + R s C W S a O / l s Q b b 6 e O H h 2 / r i W q / 7 w Q k n O l j g U t u / c D V 9 u H G O j k 4 j R A 4 Z D U c Q T h y E N B e E U d w p j x 3 C Z e 3 N Q g 8 F Z 2 2 W Y 1 T z w O J m e x a F U V p w j Y b 3 o e F t t 8 c Q x f 8 d X U b 8 U t N i P Q Z N 9 B T w 2 n u h U d Z z s P 5 S b 6 G U H l 1 + S r T 6 9 s 1 9 7 b g v + d t s z 5 E 6 6 8 d 5 r + 2 D R 1 i I X 8 W L v g Q x e W L U L L z / 9 A d a 9 e Q C b 3 u v G P X 9 6 F m 5 r C 0 a 6 / z 3 N o v A L V 3 T l u n n s n P O L 0 5 a Y 4 U r 9 K W Y 2 E 5 m J m r S P N O 3 h 1 W d Q M G o 7 T n 5 X H h X r z 8 h Q 1 U 8 t Q p j M Y m W U O D O d N 6 k Q l p H q e v x x f u h 5 h O u W I N t y E E F H E L n e e m g P N e 0 z A 4 a 8 Z 6 B 1 / H n Y J 3 b B M L 4 W 4 Z b v y N / M D r p z z v n 4 j S + 8 8 A K S y a S o T f f K q 6 8 i E o l j 4 6 b N W L Z s S Z F U e O S R x + H 2 O L B j 9 y 6 s X L E c G 7 d s F a W Y z W X S 7 y u C z T X e Z Y M u + + Y B M 7 p 9 e p z Q V o a Q D i G 1 L a k 3 k L K d I H 8 q w G 4 i p s i R + Z n o h s 0 r m 6 B M L B z x 4 b 9 l o j l 9 k Q 8 w c D A K h 0 W H k U w H e v p H 0 N D A q f x m s e q 3 c 1 8 / G h s a e X 2 r / I t D 4 8 j l R 4 l C L j k S D D w 3 M j 4 W F P X L 9 + 3 b h 1 S K C D 6 Z R m 1 t N Y 5 a e R Q 2 b d q C t u Y O + I K T 8 N R + + A n 1 R M Y C l z a M R I n 5 k 6 v Q l + x / Z X k O T 2 e Z i o B Z i R l n 2 p 2 j F F m D D e b I I J z + P Y j b p 6 9 8 z Q X p 2 q 5 C v y m 7 k h w K 8 S y b 9 W W 4 U S U J N b k M I v p G 0 i z S 8 / J a r 6 R t E H H e c K J 7 L j T e 4 s I 7 s 0 U s c C G S s V a Y 2 q V p F y 4 T M F u f X G R K R O M 8 6 B Y Y d D l S 3 z p R F o s X f e n K x D c D P V G 4 2 6 c v C D s c M D N p u L K P v n y x x E M j T 3 6 b j 0 z N 8 k 5 o N B A V i y C 9 M 2 y y l C e / T s O m K C G b j m P d x u 3 Y v n 0 b X C 4 3 r r 7 q c t x 1 9 w P 4 0 p e + g H f f X Y O T T j o e Y x N D M L k q m 3 Z a G l w j S f w U E a O y H E A N L t P F l Y U Y S l Y D 1 2 h Q N M l / A n Y y 7 S b z b p g M 0 w U U h / c P J y J 5 q I 0 D y q F u 9 C 2 M 1 n 1 U / i T B O L g Y q a Y 9 8 i e 6 r r 5 K L h B T A J t 9 5 T R V O b 9 L j f b Q i + h x T t / Y Q s l 2 j w 3 l 4 M Z S p B o K 9 5 8 R R J f 6 g b l w z Z f o n o N x H D 8 I p c l M T w + h 2 T q z N m Y U p R 7 l c m T A y C s z K y H Q H 4 G 7 g e 9 8 e B k P a n z Q Z 8 S x r f K g l 6 b j s N 1 C B J Y h m z + Y l n L a S p d k 2 I f / j E j D N + R P J c g E s e f 9 M S w 6 Z Z 7 I Y j 4 U x M Z n 5 K c Z f H u Q a z l H Z D 8 r g l G r 1 y F H 9 n A + O Y S A J i X m Z U p R b o M y L Q 0 o a w W u u 2 f O p h H U W E l Q S f 5 j l J j J V i a r Q W E u 1 h q V k l 8 P B d 5 o 2 p d 2 l r 3 + T E m 1 M + F w l + M 3 j 7 + M g Z q C b 5 s Z s k D f W N y e 6 c m y p F 3 T G p h L J v E 5 s l o p r 7 L d t w o 9 n g v l T z N D 3 z c P m R a J O V m L v f b c Z t T V 1 a J j T h 2 q G 6 p E 1 S Y 9 a I z 8 t b A 2 S j v P 5 z k L n s Y i c I C Y c r 7 E 7 Q O x D Y d k q i K 5 c C h m Y u h z E / 8 W M z G m m I m h M J M S U a M H F j W y m Z l 4 / O m V U 7 a L z J H k i f Z X Z i b e K 0 n v Q n i I S I e Y i T P U S z E Q 2 S S / k y B 2 E T Q 1 Y e O A F c l M i H z C B O 5 / 4 G E 8 / + L L 5 A g n c d + D D 0 J v r h P Z E 6 V g J i i 3 2 5 9 i Y m X p b 5 S + V 5 i p Z 6 J J E H u m T G C H 5 0 9 Y U 1 U i e o 5 4 K W D W K A f e a J q v z + W U S 8 H X 5 e D E 4 U J h J i U h V 9 q g W g p 2 8 E u N V D a G g 5 4 T h a Z S U G 4 T d N Y 8 4 c w o P S 8 9 k z z G Z m O e + k V 6 r 7 w 8 5 v J b + r S O P z d r Z m K E m z Z A 1 z 9 H X J P 7 7 u P n n o F k K o W x s Q j u / 8 c q 3 H P n c 3 A Z W / H P Z + 5 G J B T H Y 4 8 9 B d 9 k E M G e J N E R 0 e N e r o V B f r m + R j D V T C i b H D s T Y u N x W G s + v J 3 P m y 7 z n l C V w A / c F x y C 3 R y H Q 9 t Q V A K L Y e 2 + E 8 m q U 5 B 1 l x S t T E + K q A y X B R v v G k f r 8 t k t C F N g G n 0 N g 7 p j U V P r R C K R Q 1 9 f P 5 m 9 D i S S M X Q 0 e x D K k Q / E K 3 F l 2 D N R s Z 1 M J S i L 0 z 4 s T J k k k v o C s 3 L 2 u E n r n L a 2 q T S L g X 2 g W L k Q 8 v 9 H W E m w x F T Z A l J 0 R F A v c R R z x 8 z g 0 n I S F 9 F P 6 D c c b G C o q w x L y K N 5 + A U c q D l Z P l t P / m g W T m v l l Q v R p J W E T E w w u z l p h m Z i A T F J H q n 8 J M y 6 e i S N I 8 j o E w h G w q h p N s F j m o N 4 M o F s R g O 7 v H 5 q I N w F Q 9 Y E w 4 Q T n n k O a k U W E 8 n 9 c O q b 5 E w O j b B e B s g X P 2 z j X W c m B z u i R a y M 9 J 8 N N v Q W i I z X 5 A f l r A E G S y 6 u F N R i J 4 1 g m D u N m c z 9 9 y H W 8 X V k n Y v J B 1 N J W y 7 n J a e I H H g 1 P I 2 Z R k K H f s x U 1 X F o T r 5 O b d L C Z N R j / r w O N N R X o 6 O t V Q y e u m Q W Y y Z m Y i Q q J F X G E r M T R s x M a o 3 C z M R E U Y p S b c X M x L / L V k h K Z Q 3 z n 0 Y R M z F I 0 z Z N v A 5 j t K B V Z w K v t P Y l l F Q 2 8 W c a O O T f 1 L s K A w 0 X C D / M L F 4 O w U y D / Z W T d J U 6 8 k a d F T m r F t n W T m S a D y J h j U H b Q H 6 8 J Q + r w 4 6 D e / f B g i b s 3 d + J Z 5 5 5 b o q Z G L y j Z l q X F M w U 6 S G m h A 4 1 p s W i 9 k c s 4 x P + F T M T Q / R 6 M F 7 8 F E F y o L s m y j i w x I U 8 u V t j z 8 F K K v r D 4 K Q 5 B X O P 1 a n L V F j 1 q u T O c a H J o i 0 Y 6 b 7 G k d e Q a P m 8 9 J k c f 9 s w 1 / I j i E p F U g L j 5 m f 2 Y f n F 0 w M V b u u h 2 5 o 3 u p C s L i w s 7 A u v F 3 8 F 0 j 5 U 8 a b M M y S a K s i T Z m L t p E S z + H p J 1 a 4 R V t K 8 h 4 L S B m m F L s v D t L h G q q h A P 9 d 4 M I p K R q W I 6 q 3 k g 5 a P 1 P 3 n 5 6 K K o Z i G y b Q Z q f D s L R l + Z t Z I G d F / 9 H v S E N U a L + r 7 X 0 Z 7 6 H l 4 R 9 Z h s I 2 3 J y p G O D 2 C p p Y a U Q r g c O C o z s P M D J b N 4 a k n n k P H g g X Y u m U t 9 h J j e T 3 V 5 F c V I o R 1 N i l 6 y Z r K 3 p 6 A f 3 + C f C y J p q x 6 z s r h X R P Z d S H D u m d w I l + 6 m 2 A l 5 N K 8 f q Q 4 G f b D g D v L N M u i 9 L r g P i K C J D L u I + Q j M r g A / 8 j b S D V f i O 3 9 e s R i K f z z h Q D u + s 7 0 s O x k V A u v 7 d D P a B l 4 E L H m z x C p F j + f q C m g M 2 O S z L 5 D I Z E N E l F I T M M V j F i D m H R 2 p H J R G D R m k n a V N R s X W 1 E Y R D H l t L k 0 I r n J C q 4 5 S W D e L b + M o c H L u x M V s u T t a T J X S 7 T / f x q c B 5 f r c i I z 7 9 A C R A E z u 3 N i O 1 y a f v h 0 i x G p k o I X h Z 0 S J R T K n v E 4 f T j B r s C e j l F f F B Z O 1 o e H k P Y c S / 3 N 9 S 5 0 Z O b H a M x Y M B T T R C q S Q S q U g r 2 R f y s J v W w u h f 8 H R v a o D 5 / 2 N W k A A A A A S U V O R K 5 C Y I I = < / I m a g e > < / T o u r > < T o u r   N a m e = " S a f e   A v o n   S t a t i c "   I d = " { 2 C 6 6 E 8 C 1 - 3 E A B - 4 E A 9 - A 2 1 D - 4 5 A 2 3 F 0 C 8 F F 1 } "   T o u r I d = " 0 2 1 7 c 6 c 5 - 0 3 e 5 - 4 8 4 5 - a 2 6 0 - 5 c 2 e 6 e 2 d 7 6 f c "   X m l V e r = " 6 "   M i n X m l V e r = " 3 " > < D e s c r i p t i o n > S o m e   d e s c r i p t i o n   f o r   t h e   t o u r   g o e s   h e r e < / D e s c r i p t i o n > < I m a g e > i V B O R w 0 K G g o A A A A N S U h E U g A A A N Q A A A B 1 C A Y A A A A 2 n s 9 T A A A A A X N S R 0 I A r s 4 c 6 Q A A A A R n Q U 1 B A A C x j w v 8 Y Q U A A A A J c E h Z c w A A A m I A A A J i A W y J d J c A A D V G S U R B V H h e 7 X 1 n e x t H l u 4 B Q B B g z k k k J Y o S l S M l 2 7 J s K 1 i S F Z z t 8 X j C z m y c n b t 7 / 8 T + j f v t 3 n 3 u 3 m d 3 x x 5 H Z U u i Z G W J y p G k S A X m n E k Q g f e 8 p 7 q A B g g w S b L Y J F + y U K G B R q O r 3 j 6 n T p 2 q s v 3 w 8 5 V R m s d z I T l / M 3 k 8 o + T 3 + y k Q C N D o 6 G h Y 0 D C n g c i 8 G R m J A T 4 X U W L 8 K K 3 O 9 x q l 4 R g e H q b m 5 h b K z s 6 m 5 O Q k K e v s 7 K S U l B S K j 4 + n w c F B a m x s o i V L S s l u t 8 v x x 4 + f U F J S E u X k Z F N c X B x 1 d 3 d T Y k I C x b v i 6 c z t O h r x + u R 9 8 5 g e b D + e n S f U d B D n S i J n 6 k o a G Q l E J R J g J s x 4 5 B k P u 5 c N G 6 m x w H d e v X q N F h Y X U V / / A L W 0 t F B G R h q T q J n 2 7 N k l 7 + n r 7 S N n v J P c b r e Q p 7 O z i 0 p L F w v B b D Y b + X w + a m 1 t p b S 0 d E p P T y M H k + x a 1 T N q 7 e q R z 8 9 j a p g n 1 D T g z t 7 M R P K P I R L w P C S K 9 f 7 x S P X w 4 U N a s K C Q y d L D c Q F L H Y e U 3 7 h + g 1 J S U 2 m A p V R m R j o V F R V J O X D i Z A U t K S 1 h A q X T s 2 f 1 t H 7 9 O i E X Q k 9 P L z n 5 H F k 5 O V R x / S E N D n u M T 8 1 j M p g n 1 C S B x u b O 3 s S q n S I S G r 8 m E z A V I k 1 0 3 A x 3 3 C i 9 X R q 7 U e N c h w 8 f p f g l H 9 P 6 Q h / l J P u l / K e H L r n m V a w u N t V c F b X O y 9 J o 1 e q V 1 M u k y c z M l O M a f X 1 9 l M o E R J m W X j h 3 A q u H h y / c k t 8 6 j 4 n B h L o 6 T 6 g J k J y / i Y a G Q q p d N C J N R J J Y x 9 M S A r S 5 y B P W u C M x N D Q k / a W a 6 k c U 5 4 y j x 8 N F l J J Z a B w N w c X k 8 w V s t K O M z 2 e U C b E 4 z h m t p r U r i u l R T S 2 V l S 2 V / t W j R 7 W 0 d u 0 a e R + + / 6 e f T l J Z O a u K t j h a n O U X Y o F o a W l p 3 M d K o E M X b s p 7 5 x E b t o P n 5 g k V C 6 7 k X A o 4 i 8 n L H X W z e g d M h k g T k U w w G q B 3 y 4 a p v 7 9 f i J O X l 2 c c C A f O d K P B S R 3 9 y r g Q D b k p A W r t U 8 c d z K K d y 5 R k q 2 m L o / o e B / l Y e P W 1 1 l D i 4 A N 6 7 b V N Y d K o t a 2 N V T 0 m q 7 e M / K M O K d u 6 e I Q u P H b R u o I h K s h w k c / r o Z Y + L z 1 8 2 i D n n c d Y z B M q B h J y N r F U G N t P m o h I k y K R C Z u K R y j d 7 a d j R 4 / T 3 n 3 v G a V j 8 V O V 2 0 i x x H Q F m B w 2 G v a F S z X 0 t U C A g Z H w 8 t w U P 5 P C S 1 7 + z O l H L L H 4 G r c u 7 B Z D B U i M a 4 b l D y S 6 + j S O u o c U o Q D E C H t W j L C q 2 E 3 J K a l M b j v 9 f O e R H J 9 H O O Y J F Y G 0 5 C Q a d K 6 g k R F v m H r 3 o o k E L E j 1 S x / H 4 / F I Q B 8 m G g J 8 6 t M 1 T C h u 4 / 5 x u j J Q + T w R J D N j 2 x I P n W F C O V i I 4 X q 9 t Q d p 7 9 7 d d K 8 5 n l o H 7 J R o H 6 K S p D Z K y c i n 8 3 X x 8 h k z s e w c t p X 2 U U J C o p T d e 9 Z G T e 1 d k p 6 H A h O q c p 5 Q B l I K y m l g g J / + 3 H n X Z A L M h I r E d I h k B q T K y V M V 9 O 7 O H U Z J O O 4 1 O 6 m x V 1 n u p g M Q F u e I 5 1 M s y v R S d Z v T O K K w N M d H J R m + o A Q E c X B N I C 6 I p 4 H y k 1 U u l k 4 2 y k 7 y 0 9 r 8 Y b r X k U 4 Z a f F U W 3 P N e N c 8 b A f P z x M K c G e V i w V P k 8 l M o m i k e V 4 i R Q K C 4 N 2 l w 3 S i O q T a a U B G J L t G W a L 5 K D 8 1 Q E 5 H 9 O 8 + d v w E E 3 O 7 D N h 2 D d q p s l 5 J G W A n n / s U p F w U g E C X n s R T e s I o P e t 2 8 P m J d i w d a 1 n U 0 u p 8 n Y s G P a P 0 d k m v S C u 7 K 5 U q r s 0 b L A D b o X l C k T O j n F U 8 n 5 B J E y k W m V 4 0 k T T Q V H d J w 3 Z R H B P G x r K g v q m D d q 9 P E 2 + J y a C t r Y 2 y s r L E 0 N D W b 6 e b j S F C T Y T M p A B 1 s t p n B o i m S Q T 0 e W y U a n A S 5 Q j 3 7 j 8 g t 8 t N 3 v T 1 1 N Z 0 k 9 X T u d 2 c + A 7 i h s 3 N 4 E x I J U c a J J M 3 T M 2 L J J X G y y I T J A L I B L y x y E O b i k a o v M h L 7 y z 1 k 2 M 0 9 q B u J O A 1 o d H S P z U 1 M Z J M A K R l d V v o P C k s J c 3 3 B v d q 5 Y r l L B H t t D K 7 j + w p 6 y k 9 B S 5 Q 0 e / 3 X A j 2 K G V z I j j i k 8 j v X M K S a S R M z Q M i i a M b 0 I t G Z m K A 1 i 8 Y o e 1 L o p M G q h u u b 7 K A R R L S C V i e 4 6 X 4 u O l d c 6 o 7 I I T G T 3 7 c G U f H H 7 o k 6 H 7 W Z V Y P + w c 9 w X t W U F h M V V X V l D F w i X p t y 8 g 2 6 o 9 6 z + d C G P t Y m g P I L V l H o + 4 y 8 n q 9 Q a 8 H T Z h I 4 r w M I g H 5 K X 5 u t C O U k x z d b N f Q 0 E D V 1 Y / o x x 8 P G S U T 4 4 M P D t C R I 8 e k o U P q v V H Y S 6 u S 6 4 S 0 G / m 7 J o v e Y T t d q w 8 3 X g C 4 F 5 X P n E x U o k v P k m X Q F 2 b 3 p o Z 6 q n l U S 0 l p W V S e 0 8 S M L K c t y 4 q N T 8 0 t 2 A 5 f u P Z y W s w M R U 7 J W m r v c E x I J k m 9 J D I B 6 J 9 E A 6 7 h + v W b t G 7 d G p F Q 0 8 G p U 6 d p 2 b I y S k x M o I y M D K M 0 B P O Y l k Y e E 3 x N g Z c a e x x 0 v y W c T B g k 9 p t v B f p P i A c a a P f G L O l L t b a 2 U V 5 e r n i 7 5 + T k U k V t E m 0 p 7 K J L V c / k I 3 M F c 6 o P 5 Y h P j k o m H T Q k b c q / a J S x O h Y N A w M D d A L u P 2 V L p k 0 m 4 P X X N 4 u U w h S O a A C Z N x S O k B 2 3 x c C K X J / c p c I 0 v x x f y + S y B Z S l L 4 x M g H G / 7 E n 5 d P b c e U l j O g g c a + E j e P 3 6 d d q 5 Z I A u 1 q d S S g L I G 1 4 P s z n M m T 6 U M y G F A q 6 l U c l k R m T + Z S D Z s N r h O u 7 c u U s n T 5 y i g w c P S / 9 n 9 5 5 d M p / p e Z C Y m E g 1 N Y / E + y E W s p O U y x P I g z 5 T x 2 C 4 9 g + J t d B R L c c 3 M v m i w T 9 q p 4 7 2 D h m U P n T o q M z J w v 1 b t 2 6 t / D a Y 6 j e V F V J a M p M q S p 3 M x m A 7 f P H 6 y 2 9 B M w D 2 l A 3 S w f + l y Z T C j b W P + y Q A J A I a M f D 0 6 V N y u V w x f f e e F 5 j 7 h P M n J C Q Y J V N H T 0 + P k F s b O s w Y 9 M J N y U W O 5 l P 0 1 l t v U n / / A F 2 / d o O 2 b X 9 b V E A Y e i A h H Q 6 H S M s z d x 8 b n 5 z d E K k / 2 0 N c 2 g a R T N o q 9 T L J B J X J Y V f n S n S O C p n i u D 3 u 4 K e 1 J h N w 7 v y l l 0 Y m A F I K D r f P A 3 i Z o z 8 W D f h t 2 5 Y M U 3 n 5 B r p 0 6 Q q 5 3 S 4 h E + 4 x P O O h s i J G H g R 7 Y / n C q H U z 2 8 K s 7 0 M 5 M y C Z x n q L m / G i y A Q 0 c K f e H 8 B 3 E 7 m 5 0 Z V k + o R M I J U Z k B 6 1 t X U v 9 L v N w H l 7 e / u M 3 P Q B r 3 T c t 2 j A p U M C D j F x 8 H 0 n W H W F N M N v g 2 E F E k r f 8 3 i H j b Y s w y T H s X U 0 m 4 L t y K U b L 6 d G Z w C S c t d T X 5 8 / T D o B 5 k Z s T r 9 o l O X 4 a F G G I j P M y 4 j 9 f v U E H + T 8 o o X F d P r 0 z 2 L R y 8 3 N N T 7 1 Y o C 1 J N D Y M z L S j Z L p A + t Q l J Q s M n L h w L S Q I p b K W h K Z 1 c O a m h o q K y u T B w f m Y E E N 7 O r q p g d t A 8 Y 7 Z h / G K s e z B K 6 k d F Z 5 l K M r S P N L k + m t x R 4 h E / D w Y Z U 8 r Z O T k 2 X d h v z 8 P F q 6 p J S c T i f t 3 L l d Y h g l Y H J + U c B 0 + L N n z x m 5 5 8 O z + n o j N R Y g E 6 a M n K x J F E K Z 7 + n S p U v p y Z O n V F C Q T 6 c q n w r Z 4 F G f k j B 5 l y i r Y d Y S y m t f N K 4 H x M s k E 5 D A 6 p 4 G Z s b q D j o a l f k p 3 t f X L + V 7 9 + 6 R B V J + / O G g S L M X g Z 0 7 d 8 g s X B g X n g c b N 6 y X e x k L b 5 Y o 8 3 q F 4 X x r v r c L W Q p D U u a 4 + + l E l Z t / u 4 2 W 5 T + / 1 J y p 4 J 8 3 + / 5 c m e u 5 3 x T b C P G S u R T 0 y 9 M A U W J D L T + G T n w a P 7 3 f / + A A d X R 0 0 M 0 b N 8 O u e T q A G X v 3 7 n d l I u G l S 5 e N 0 q k D 5 v c G V i H H A 8 z r P u 5 q n W d p F Q n 8 D v j 8 b S z o o 8 v P m F Q s y V b l p Z h q b P b 8 z b p x q P j k L H 7 C h 8 + y H Y u X x y g 0 L F w K A E k D 1 6 G d O 7 Y Z J W M B d c 8 M q E 1 Y o W j 1 m t V 0 5 s x Z J t f z q Y H o P 9 6 6 d U c k x a N H j + i b b 7 6 X c S O Y 1 W H B u 3 X z 9 o T E x T V V V 1 c b u d j A u N P g i I 1 a + h x R z 5 m R H E c D H h t 5 / A 6 x C q a 5 H W F 1 N x u C 7 e j l m y + v d b 0 C 2 J L X c Y O J P d 4 0 U e N 5 H p R m + S R o X L l S K V a y 8 Q D v C I R Y R g n 4 y x 0 9 e p z 2 7 d s b X M x y M s A D p a 7 u M b W z t N t U v j H M 8 6 K 9 v Y O P + 6 U / A + n V 3 N x M X d 0 9 t G L 5 M i F P N D Q 0 N E q / L N Z x j E v B l A 6 3 J V g 6 8 W A B z O / X a S w c s 6 G g n 9 x 2 D 9 1 u n F 3 r / 8 2 q P l R C 9 j p + I o d P E P y l y L Q o f Y S D R w a P h 4 a w 6 M o A t b W 2 G k d j A 4 1 s v O v C w O r n n 3 9 K b W 2 t L G H q j N L x 0 d b W T o c O H a G C g g J 6 4 / X X x r g x Z W d n y W q z z + r V Y i v 5 + f m i k t X X 1 1 P V w y o p i w T 8 9 L D 2 X y x g u T N g Z Z 5 y q 4 K / I E q i 3 X + M x 1 X W u + n C E z e V Z Y 3 1 K 7 Q y H H / 8 0 7 / + m 1 k H t P L f C O W G W f X G a 6 g v E v i e l t p r l B i n 3 J p 8 P j + r c n G y B P J E P n n 4 b H N L K 2 V n Z R k l Y w H S w c l 1 e H i I b t y 4 T T k 5 W W N U R Q C / / d D B I 1 R S s l A W r 4 z 2 H g 2 c c 5 h V U o w Z 6 W v E Q G 5 m V i b d v H V b 8 r B K a s C Q 8 v P Z s 2 T j X v f D h 9 X i M g U J O D g w K A 8 R j y + O 3 P H K 4 J K d 6 K W G X i f V d c S J x D Z L K Q C G i d G h N m o b T q S 8 5 A D 1 D I 2 Y a t H i f 8 e u 3 P p l W t 1 L R l z a W h o c V A 0 6 W v / p Z Z I L 6 h M 3 U X p v x e S n S G i g j 4 P G u X H j B q N k f G D 8 q p Y l V X V 1 D X 3 0 0 f t i I c R v g 2 p Y U f E z 7 d / / 3 r h E i s R X f / k r / e q L z 4 x c C C D n q Z M V 9 N r r m 2 W F W e A k 9 7 k w x T 4 S + H 6 8 H 1 K 5 q a m J O j o 7 q a u z m x J X f E 6 p 7 l F 6 f W H 4 u o N I o 5 6 O X u + l X N t j y s w p o F Z P 9 M F j q 8 H x h 3 / + l 3 8 z 0 p a G 1 5 b z S s g E 2 G x q b T t z / 2 m y w B P 9 6 d N 6 K i o a u 3 B l N I A s u b k 5 r F Y O i n q G s S b 8 u t T U F N q w Y Z 0 Q b C r A G N n K l S u M X A i 4 L k h Y A I 6 v s P T B m F F Y u E D K z M B v x / c m J L h Z e u b Q o o U L a T n 3 x z A 5 E U u d 6 f s S K a k W 5 c T J M t G X n 7 o p y R V 9 O o v V M C v 6 U I 5 U 5 d 0 M M r 0 q m F c I m i p g c Z s q y s s 3 0 r b t 7 1 B x c R F t Y P U u 2 r y n y c A t 0 y t i A 0 Y L S E L M r d q 0 a a N R O j l o 3 8 X I + V U A C A v z O R 5 2 5 f n d 1 N L 9 f B 7 2 M w W z Y h w K O 2 C 8 C k O E G c / D 5 b b 2 d i M 1 N e C J P z j 4 f I P A k x 1 E R v + q f Z r X C a v f w 1 Z n W F 2 g v n D 9 6 L + h r w b P E n O d W v X P 8 u N Q j r Q 1 r 1 w 6 A d j P a T p A o 3 L F m A g 4 G Y w / a D w x 4 J U + G U C l a 2 w Y f 3 A 3 G u B F g Z V u s T w Z F u w 0 A 7 8 d Q Y w U n G / s s P 6 8 K c u r f B 7 u z L 4 M 6 Z Q 0 y a W 7 N E Z b L 9 O 5 c x f o 8 J F j 4 u k w F Y J D b e v t 7 T V y k w f 6 N K W L S 4 z c 1 I E N A + z 2 y f e 5 s P X N V I H 7 G G 9 X f a i T 1 e 4 x d a J J 9 e D B Q 0 p x T 7 + + Z g q Y U F F o Z p E Q n / H y p F P k + u D j w T k 6 Q K t X r Z C J d v v 2 7 p H r u X v 3 n h x D / w h q F Q Z v 4 f X w 5 M k T i U E 6 j B f B K x z j V j B f T w T 8 V l j z 4 L H d 2 N h I F y 5 e l s H W 6 Q D X e P D g E d q 5 M 7 Y X R y T W r F 1 t p C Y P E K j + + v d c W 4 o s H Q M O + R 0 g E e o Q 0 z y w s A w 8 O U q z / N Q g K 9 u G 1 7 O V g u 3 4 1 T u W f S w E E l b L U x q N A + F F S a e p A k t u Z S a q f Z k 0 s K w W P M s r K 6 + T n 6 / t 7 b e 3 S i c c V j r 9 V N Y B i D R 1 4 / o x Q f A i k w b 7 O f U P D j B 5 F t B r m z e x + q W s i n C 4 R Z g O 1 P Q O 9 6 S N G X D w x Y z c z z 7 / R A w K U w E e K m n p 6 Y a E I i q N u y / 3 B 1 b J x q Y m W r l i J b W 2 t l B S U j K d r i J a m B 9 + L 6 0 E 2 0 + V 1 i S U M z G b B r z Z Y 2 b i a v x S h C p I 9 c f c A x f j O F v e f E O 8 r a c C N M A b N 2 7 R i h X L Z C V Y d N y / / f Z 7 + u S T j 4 I E N A O / F f d g s i Z z j B k d P 3 6 C 9 u / f a 5 S M D 5 w f 0 0 v e f 3 9 / 1 O + f C J j o C L M + F s 5 E t Q z 0 t N M n r 6 f I N Y N Q W Z m Z N D z s k Q 3 h T l f Z K I v v a U q S J Z u l d f t Q P n t e V C I B v x S Z g K Z e B z 1 p 7 p f 9 l X 4 8 e I j V s a 7 g 1 H O M x a D x T h b Y I x f L K Z 9 k I m 7 f / o 6 4 B G m J t m P H N v r h + x + l 4 Z l x / v x F + v 6 7 H + n 2 n T v 0 3 b c / S F 8 M f a N h l t w a 8 N z A 5 1 A O g L D t b R 2 S n g z w G 0 b 5 X k + H T A A 8 P G C N 3 F W G p Z 2 J 0 j O z p Y 5 w v v y 8 P I m x l e k l 8 a y y U X v 3 q z U w P Q 8 c f / z z / / w 3 s w 5 o l e C z Z U t F g 1 T A L 0 m i M P i H a b i x U g Z I 3 9 y y h S 5 f v i q D n z L / i R s J f O o w c D p R Y 4 S k v c D k y M v P k z G m S L U K U g 6 b T 9 f X N 8 i O 7 W 7 u c 6 F v 9 u T p U 9 q 3 7 z 0 h H w i M f h X K u z o 7 6 d a t 2 / K 9 2 G 8 X 5 w O p I J n y 8 n J E 3 b p w 4 a J 4 t k + k w q H P 8 z y z f 0 + f + Z m a m p v E W X j j k l R q 9 a T T Y r g k 8 b F A A A 9 E p b L X d G D K v J / J 6 6 e M V F x T e J 1 b I b D K d 9 d y s j U l f x W 1 t 6 v F / a N J q V + S X G 7 b I O U E a q S P k Z S c T M l J S W K A a G l u k c b R x + k P 3 j 8 g / m 5 V 1 T V U V F g o q p w Z a L A w U L i Y K B P 1 a S D 9 / u M / / l M 8 F 2 A d 3 L L l 9 Z g G D T g K + 3 x e G Z y N R u i v v / q G y e m i D z 8 8 Y J R E R z P / l g Y m 8 q b N 5 U b J 1 H D w x 8 O 0 b / 9 7 o p L i t 9 Y 3 d 1 H d U K H s 8 I E 8 J O j P N T Y a G P L x N X O Z b 4 T i y E + L i p 5 v S O B V A P 1 k v t n W C t C o N I l e J Z m A Q X 8 8 1 f q W 0 9 q t B 2 j d x t d p 4 c I i K i 0 t o S 9 + / T l 9 + Z t f 0 6 8 + / 1 S I j 6 f 7 l j d e o 7 t 3 7 7 K k C H e z u X H j J q t 2 c T H J p K U w S I n P w r 3 n i y 8 + p 6 b G 5 n G N E j g n J E s s 6 b j / w F 4 m Z a F I r v G A K f t p 6 W l i A J o s M M F T w + F 0 B P t 3 i L P T E 2 R 7 U k A k a I O T h n 0 s k e Q y 1 b V 6 x R I Y q n P L h B P X r C e h f K 5 V U r l 4 u r 1 q Q m k k x f u p 9 u p B + m T / W + M u M A k T M d Q t q G j o 0 4 B s x 4 6 d o M 8 / / 4 Q r h G u E g b E s z 1 C I d E 6 x 5 j n F u / t 3 v / t S J A 4 M F d U 1 j y g v N y f m z o f j A V I U E w y 3 b t 0 i / b S J F t e E G o n 3 H z i w z y i J D U z r x x w u S D 7 M T Y P k b R 1 K p O L 0 k P X u D K u B t g X b m E h O r k c l S f 0 c s I + v z z v C a Q 8 t X z z x U M J M g / F Y s F b Q R J p J G B j h J + + q / W F k k m k N E U / 1 b d v e p t u 3 7 t C h g 4 e F O C d P n p b f g n U f Q C 5 5 U H D 8 0 c c f 0 C e f f i Q B Y 0 U w W E C C 4 Q m v p 1 t g Y u B 0 7 w P M 1 l g g B h I O 8 6 D G A 4 i P v h d u P 9 R I w N x / j U R K S j J t 3 K j W o Y B B A i q p m U w A r n t k P H v N 6 N h 6 t 0 I Y v z c 6 A x G X t j L Y b 4 r E q y a Z I 8 4 Z 3 I G w s v I a X b 9 + g y 5 f v h L m / I o G n J K W S u / t 3 U O f f v o x f f D B f p F O P 5 8 5 R z 9 y X w P j Q 6 2 t r W G / B W o b D A f 7 9 u 2 R a R s A + l J e V q u m I 5 3 Q 0 O H h j g U q 7 9 y 9 x 2 T u C 1 o A I 4 H r u H j h E u 3 a t Z P 2 7 9 t L P / 9 8 V s q O H j s e t j N I M x M e v x M D z w g g / 9 l z F + j C h e h r W U B C D z 8 6 R K x f S B 7 N 0 b z 9 D l J V j 5 5 v o c 5 X A c v 1 o b y s m u v G h t j c 8 G Y C c D n f H L 0 s l r 4 3 3 n i d t m x 5 g y o q z g S v E 9 I F B g t I L 9 x 8 5 E G W D z 9 6 n z 5 m q b R 4 c Q k t K 1 N b 7 W h A F V y 2 f B l L p z h Z s x z n Q m N + g / t k s f p H 4 w G m e Z j l s e o r Z u 7 C s B H p 0 w c V D + + 7 d u 0 6 b e T 3 Q f L q 7 w I h d + 7 Y L q Z 8 j I / 9 9 a / f U S q r j H C 9 w o Y B x 1 m F z c z M o P f 2 7 J K 1 I 6 I B F s l 0 J h 3 W W I d j L B Y D f X M R 5 p P h O 4 z v C c C 0 H q p 7 K w T L S S j b a P S x p 5 m E / G V b 5 Q k M Q E X r 4 i f 3 V 1 / 9 V d y N I A m w p g M I F Q n d Y F e s X C 5 9 H A B 7 N W G / 3 M R M + P v 1 S H 8 K v z 2 F J d N 4 f b V Y g P S A + R r r U 2 D i Y G 5 O N p 1 n I k Q C i 7 f g 2 t e u X R N m L I H 6 h k V f Q E B I x 4 8 / / p A + + + x j y W P g F / O 6 4 E 0 B T E R 2 G G n W F X g o 3 q F V x / A 6 n c F V H B O W 6 k P Z b X b y e G c 2 m Y A B b 5 w s W g K A O N j i 5 a O P P h D n U v R X M M 6 k Z 8 F G A r / t x M k K m S 4 B d A 3 Z y c v t b c R n F 2 k G y x 0 Q N 8 H Y U S y g j w b p p P t h I E U h k w C L b O L a s E r s D z 8 c Z O m R L t c d a U W E v 2 J R 0 Q I 6 x i o f r n U 8 0 u B c 4 9 U V C A u p B o u g f l e S K 9 Q v w 2 f V x 8 P b w U w O l p J Q a x Y X x q y g 8 S r u V e D S Y x f 1 D n p l Y H f / v v e k D I 0 W 0 y 2 w / 1 M s o G 9 U t j S 0 P 9 S C V L / a 5 Z A l M z D i U Z L N N g V C w X v i 3 L m L o s Z h 6 e f I f p c 4 7 H Z 2 i 6 U v J z d H J A 1 U s l j A J g e v v b Z Z v E P G A 6 Q h L J r j Q e 3 c 0 U s d 7 e 1 S h 7 a I a n z W Y K 1 + l K X 6 U J k p r O d b Q O U D s E n Z + c d u W r j p U 3 n K Q 1 X a w f 2 O i + c v 0 U A M A w A A z / M l S 0 K E c z p G Z b G T k r w E e v C w S v o 8 W J y / Z 4 i o o d t B n R H 7 O k U C r l D w 3 l i / f o 2 s I v v O O 2 q 7 G Q 1 4 r s N b o m x p q U j F J F b d J v K c A L Q a C O t j L E B d h B Q C k a N B 1 2 F G R q a Q G b 8 L O 8 1 z 7 Q Y l V n e v c l e y S r C U h O o a H O U n g J F h z H R S x c U 5 q d v j C i 5 R j I b 6 2 9 9 9 S S 1 N z b L O X T T A A x x 7 R 5 m B N R n s r l T q T d p I / S k b 6 P y z d E p d t o / u t z r p W n 1 8 0 L I Y C Z j i 7 9 1 / S O + + u 0 N m x X 7 4 4 f u y H o U G 7 h / G i x Y t W m i U T A 1 5 u b l i K R x v w B e D 0 F d M u 9 N H Q h 6 O H O N e J b i N 3 4 E C D q j e w J j t E 2 c 2 m F B o o d Y I i X E + c r B O M N O J F A k s U Y x 1 6 l r 6 1 D J b i 0 s X y 5 Q O M 7 C Y S c e A X Y w Q d + / d D / 7 G 2 0 3 x 8 t n L T 1 0 U n 5 j B x E r n J 6 F d L H 4 a e O s l P h 4 J j N e t W F 4 W U + J A U m F X j V j j S T C D 4 x y R w P t h h c R G A O + 8 8 x Y d P n T U O B I d 5 R v X j 5 F S + H X B e u Q Y b l n I K n r p o F + j t 4 e Z G G y n b j x Q 1 2 w B b F 1 e S A + r a u j G Y w 8 l F 6 w J V Q j D K i T D P l F l y f X k d M b T / e 4 c 8 v p R E e H w j n j I G T 9 1 L 4 H t S 4 a Z a C A S 9 9 d Y F f z u x 5 / o H 3 + 9 X d S u W M D i l X B O j X R 7 g v 8 e + n N w s M U Y F C Q c y I W x p X b u O 2 G l W y y O i b 4 c L J J Q F + E R g X o w r + c H i O P v x c u 0 j c m n g f e B m D g n f P n g K Q F z / I k H d o 5 H x F s C X h N + D p v W K 4 u p F W A 7 d d M a h M L T N D M w w J 3 m b O n 4 X a x P 4 y d / q D F a h V A A C A O F G 6 R 6 2 U h P C M g e u b F W Z c J 9 + / r r b 8 X 0 j X s M X 0 G 4 I n 3 7 7 Q / 0 q 1 9 9 K s c x 2 A y T P 9 R U j D 2 h T x h J U h y D R R M L u a x Z s 1 r c o / B Z n A 8 u U s X c T 7 t 4 8 Z L a Z Y Q / C z U R 3 / f k 6 T O Z d e w z H H l B K D j H K k I h D N O m D f n y X i v A V m E R Q s F k n u c c k X G O w a F B u v 6 g h f p c Z X L M S m T 6 J e F 2 w o B j o 9 x k P y 3 P j e 3 n A 2 v c 1 c p r l J O d L V I D k u n B w 2 r 6 h 7 / / o / G O q e E v / / 0 1 x T E p M b M Y k w c h x e A z i F o 6 c v g Y l Z e v p 7 r H T 0 Q i Y Q Y y Y k w u f N I e o I f N o 0 w i S C s m E z 9 4 I K U 2 b y h g t V W d e 6 b D M n 2 o 1 E S X r A 0 H j A Z G q W z J 9 B c n m S s Y 9 t r J w 3 2 z 2 m Z l N M C D B + p X Z J 8 J F r a 1 L F X g 1 g T L H D w 8 z M a L q W L 3 n n f p k 0 8 + F C P I W 2 9 v l U F k 4 H F H n K x s i + / b v K m c P M M e u S Z 5 I H K o a Y 9 T a V B P x x z 6 + + E o H L 1 d z L R g q 7 j 1 E F c 9 4 1 G Y m U r O k T 5 x b Y G u n p V b S G c e K Z V p X k K N j 7 7 G 2 x R o v y N k y s 7 J F g k 0 0 D 8 g x g o 7 q 1 + y Q E p p i f S F S k t L R b 2 D W h Z r 8 H k i o I 7 u P B 2 k t 9 a q v k / Q K 8 T h I q d d z f w F q e G g C w s j J N Q I q 3 w V V Y 6 Q d D K p f I X 5 i a y Z Z K p z z H B Y R J B y v 0 N c / P 1 U W 1 s r n V 6 X y Z F y H u N j z 5 b F 9 D F L j F 2 7 d 8 r q r 1 i b Y u 2 6 1 b T 5 t U 2 0 2 y j D z F m M c Q E d n V 3 c B 5 r a O h h m 1 D X 1 0 I b S V G r u d c h 2 o S A Q S B P v U H U W 4 A c g H o I g t J Z Q Z x 6 5 j H R o n D G U l o 9 Z A p Z Z O X Z k c F B U v j 1 7 d t P w 4 I s Z P T d v 2 z m b 4 L C H f l f A 7 6 e L 5 y / Q m Z / P U W 3 d 4 6 A J H Z I I x o A L F y 6 J k Q H 7 4 G o P i n t 3 7 4 s W M B 3 A P B 4 g J y U l J V J + q p / K C 0 f o 6 p V K 8 Z j X g M o O o k B y I b 7 X r F Q 9 C S Z 1 T 5 e h y N w W Z v K f Z S R U a f E C c k B N Z W A Q E E + 8 5 8 W Q 4 W 8 3 2 + A 3 W T 9 d 8 Q 7 a t f M d 2 T U D e 0 V p H 0 F I e X h J w I U o E l g w R R r y N I C p / B u X 5 6 n 0 g J 1 u N z s p K y 9 y o z Z F F K i g i J v 7 I K n M k k k T S c U 9 v d b Z N d 4 y S z H 7 R 2 2 U Y H h X Z 2 b n S A V t W T T 5 K d l z F W i X s S z O M I 9 X V 4 V v s I Y G j K X L Y g 0 G T 4 S T N 7 u D 5 L n Z E E 9 d g z Z q 9 I T G k Y Q o R g y n 2 N p 2 J i + M J J w 3 k w h l K m + s t m S 0 g 5 k e L C O h e o c 8 1 D S g C I U b j E 4 z v A v e K c V 4 h h T P I w r e W B j 7 o Y N d C f 2 G + g V A 6 l e c O k 2 r V o 3 d 3 m a y y H U 0 0 L / / + 3 / Q 4 c N H 6 d 7 5 b 6 i q 8 g j F d V Y G v w M Q w n D A f K u 6 T m 6 C R j 4 k p c L j l O T o r l U z E f x r I i g 2 g 8 O i T D 9 h / Q E N T E 6 D c e L 1 h V P f 6 G y 2 I Z a R 5 n r j 2 K 1 k 4 P U O i x 7 6 M O Y V a 7 G A D D Z Y S 0 1 N o 7 t N Y z 8 3 E S B x V q 1 a K Y O 3 e 9 5 7 j 1 Z t / Z R e f 3 u v G D 2 + + + 6 H o J o O k s A I k r m o 3 C C O C v w S l E y h w H n 5 V P Q 2 M d O C + J p a I e D G I j b 7 s G m k u A L E a n / Q i j R b j Q 3 j A e N N 0 e D x 2 c l n u D f B z Q f r B 2 I q x 5 E j R + n / / O / / K w 8 o S H x Z y 8 I f k L 4 V J L 7 Z C 2 W y w G A t j B H f f P M d t Q 8 4 q C D F L + e B Q e K D D w 7 Q j w c P i + e E X o u v 3 Z f J F Q s C 6 W A i k c 7 z e 9 F I c T W W C G f u V F u i 9 a U k u G h 1 Y W b Q s x k 3 G 0 t R w a K F t C 5 r b q y n g s J i c S i d h w I I A j 8 / C v i k s W O y I 1 R m P c A L K x 8 a e l N T s 0 z B n y 6 w 5 D J m F V d X P 5 I F Y M x A 3 e D 7 8 P 0 g V 1 W L j e r a Y Y X 0 C a n 1 y k c Y e / I b Y 1 F w 0 c I 4 1 G v l J Z S c M n 0 z / i 8 J y / S h B o a N i X W m D l P P s I 2 6 O k O b g A 0 O 9 F N m l h r h 1 9 v 6 R 6 K E 1 c a 5 B j x v L j 1 x U U N L l 0 x V R 8 P G B E Y Q C Q H A Y C / W H 3 8 e w N S e n p 4 h 6 0 n E A i Y u Y s 5 X Y w 9 2 L w x Q Q A e o e o a 6 F 8 x D S n G c m D T f h 3 r h g S V / G J m A j A T c b K g o q r y n u 4 t c e k 4 N A 5 t 9 R e J x Z 2 z P 6 9 k M D B H c r i f a + e 6 7 0 i e B / x 4 8 I u 7 f f y D G A U x X h 3 X v e Q C v i x 8 O H R f 3 p U h o C V V W t p R O n z 4 r S 4 i h T I K h A q q 0 J l Y o V h b H 8 P Y w U 4 N l + l A S m D h m c y 5 4 1 N k e m o Y d O X c n M c 5 P 6 w t H q C z n + c e s Z g P c G c V 0 u s p O p 0 + d k Q 0 J 1 K p G N 2 T R m M 2 b N x n v m j 4 8 X q J 1 r + 8 e Y 3 L X Z N I E y l 6 5 W x H G R J o Q q U L l W m q N a Q c z O F h q S 1 B U B m C W V A U L i o x U K K 3 f 1 9 f X Q z l J A V q U M U 8 o D Q z a 4 l 7 C E l d S U i J L l 2 G S I V Z j 0 i s t T R d J b g c 9 b h 1 7 D k 0 m x A g u h y K W I p O J S M Z x H U Z H s a A p 9 / N M b W C m B 8 v 0 o Q C Y X T s j N 0 4 2 k U s 7 Y X Z 2 q P f A o 8 L D n W 1 0 d u 2 + P i m b 6 w j Y n N T U 1 i N b c G I O E 6 Q T 5 j B h V 8 W z Z 8 9 J Q 5 4 u Q I 6 0 + H A 1 W x E m X E K 1 9 4 d I p o i k y C V l U o 4 Y u 3 C o v J V g m T 4 U A l S 6 x K T Q g o x a U u l G k G h 4 U s C C 1 d H W I v 0 r r k o h 1 v q F U x 9 X m Y 3 A 6 r Y L t / y R N m x Y T 0 u W l I p 0 K i 4 u l p 0 8 0 P c x r w 8 B q x + I h 7 U p J i O 9 o O r V t / Q F V W 9 N J O 0 M K 2 k O y S 4 l e X R e 0 i C R D v I Z d U x t J T q 2 L c z U Y K k + V O 2 z R k p I V C u Y m t W + 7 s 7 w z c N G P M O U l a P 8 y b B c M X z G P I G 5 a Y y I B R h 5 I o E B 3 W d P n 0 k a B M C y y y A a 7 l + 0 x T C j 4 Y N 3 l l J 3 7 w C d q 1 P T 4 S U Y x N G h r Y 9 p w n G Q P E g b c T A w K b E d U H F x T t S 2 M F O D p f p Q v b Y E q S A A F j 2 N 5 N T U M I K 5 3 A k 0 N D R A D c + e U A o 3 E n g D J D q i b 9 s 5 V 3 G n e a z E x k T A b p Z G X 3 / 9 j b g O Y c 0 8 r E 6 L a R 0 e f j C N B 9 Q L F m s 5 d + Y 0 f X e w g j b k d s l C N E I W P o b B X E i q 4 A Z r h g S K J B X 6 T W r T N e T 9 t H z l o q h t Y a Y G 2 9 l 7 j 6 I 8 q 2 Y u S p I C M t Y E t U I / A Q G Q J 6 + g U N K d Q / G U k x x S O 3 p 7 u + l O Z / 6 s 9 S 6 f D u C 5 v 7 M s + l h d N P z l v 7 + i L 3 7 9 K y M 3 F l 9 9 d 5 w + + 3 C X q H 3 o 6 2 I t Q H e C W 9 a S g P c E 6 g v B x 6 G i K o 7 T P t l l R M X c x x 3 1 0 p B H D e x i 0 z V M f 8 c C L e 9 / s M X 4 B m v A U n 0 o h J T U d H m a m S U S k J G Z z b p + p / S f N J m A 1 u Z G r t C U e T J F 4 O 3 S 2 E 6 z k c B D K S F i M 4 F I u F k D A J n w X t T N a 6 9 t o q q H V X S t w S X 1 p Q M k j 3 3 g s S G N V B 7 S y u P T 7 1 H S S W 8 N G q 0 N z O R g K S s f M D g 0 H J R K 5 r 4 U 3 F Q y M 8 e u g 5 C d m 0 + 3 m s d v D H M R N 6 M 4 z c Y C 7 j H 2 C U Z f K h a w y A r q x R z g l T H K T U y T q a + / n 2 p r 6 6 g g N z N Y J s Y I x H 5 F I g n Q P j i O i 1 N 1 a y X Y z t 2 v t Z T K B 6 z K T Z J + E S o N r k d p 6 Z l i G o c 1 D 2 V m I H + i 2 h p + Y L 8 0 Y r l n R c O N G 7 d k V V v M n y r f p F Y q w l o U + n 7 D / J 6 V l S l 5 E A X q H c z y 3 1 X c p 6 L U Y T E O Y R M 2 z A r + u T Z e f P h Q Z x I z U f 1 + Q 9 0 b w T o S U P m G 6 c D 7 W 9 S 4 m Y V g O Q k F Y I t + V B r g d i d K h c A p M x p 8 A U v + x B m H p U t L x c y + e s 1 q 8 f / D v s B Y 1 x z O r t i M w G 6 3 y V h W U P J w c C c k 0 q 6 3 N 9 L u X e / S e + / t U j 5 + L H Q g f X A c k g n E Q 7 o 4 d c T 4 H C Q U d k f 0 W Y 5 M g O X 6 U A h Y e B 8 V g a e h O y F B 9 k z K 5 D 5 U N J x + Z L 1 9 W n 8 J p L u n N m C K a R 1 w q G 1 q a q H s 7 C x Z I g z T 6 f f s 2 U X n L 1 y S l W a b m 5 s M U g T o 8 O F j I t H y M p z B M r H 6 i W p n E I e D 7 i 9 l J k J a K T J J 3 X J Z t L q f 6 c G S j + 8 R 1 j K g z 6 N i z M Y J V E h H W 6 u R U 5 C B t n m E o T D N T w s i 9 r w d D 5 j a g T G p / / r P v w T 3 4 8 V 9 x 4 M N R N u x / R 2 Z s o G N A W A W B y E 2 l q 8 X z 5 U n j 5 8 Y 5 N F E M h N K x a v y h s n j V Z N H V f / J R 8 V F 0 1 8 X 8 F X C d v 5 B n e X 6 U E B J i p 3 c X K F 6 H y X o 9 K h k W J p g j o X n M 3 C r M Z 5 a + + f V P j O 2 L c G u g Z O v d r g m y d J t f L / 1 A 0 x 1 n U I G C N x / x C D f 1 a u V 1 N L a x p 9 J E b V t U / k G M Z f 7 f X 4 x X p x 9 5 D B M 5 l 5 y 2 U Z o W d Y g X X 3 M x G U C e r n v 5 O f w + R e 7 5 H u s B k u q f A h Y 3 x y 6 O 5 5 y q F w Q a 3 h I 7 b u k y Y Q n 5 b o F 8 9 P j z U h L C E y J T E A r k w P 9 J r M 2 I I O z h r T R 6 v e p i t P U x u T D S k r v 7 t w h 9 Q G n W 7 O q d 6 4 2 T t Q 8 q H Q u u 4 9 W 5 A 4 L 2 U a Y b N J 3 k n N Z U 9 1 D s O y j u 2 l w l O L 5 i d n X B 1 I p 9 c X l U n O h d M V j T G o e 4 c h k Q k 0 V z S 2 t I v k 1 t F T S h I J 0 q q 6 u J l / a W n r Q W 0 Q 9 Q 2 q z a S z D j L X / N J m a e v h z 8 h n V d 1 r F Z I L U q n x q F z I p l c 9 H b 7 6 5 3 v g m 6 8 G y h B r y j c r k u P h 4 F z 2 u q 5 E K w 3 a b 8 4 g N P G a w e d t U o b c h B T S Z Q q Q a l Z 0 R i 4 s X s j b g p e 6 7 X 1 N f R 6 O U f / / d j 7 R o 4 U I h 0 K A n Q F W t G J O C J M I C m I M i m S Q w q S D l l I T y U W G x d b a v i Y S l t g S N D J j P A 9 N t Y V H J m A 2 9 t J T y e u d V P g 2 s v 2 H c l i k B Q x J 4 Y E W S C Z L p f / 2 / o 7 J + B M z m s P o d O L B P b V X D e W x 9 4 2 c C n a m J o y t P H U I k C V w G A i H 0 D k I d V E R C S E l G P 2 1 s X V s m X H j 4 x J J G C Y 1 C l 4 + w M z r 6 U O j o m l 1 k U O n 1 T + v o 4 f B K m Q Q w 1 1 G U 5 q O y b I 9 M x 0 j l x h 9 n U o n N R I l U l f F + r J Y E z 3 O Q A J s I 4 I F 1 / N R 5 2 r 1 j q 5 I 6 T D g c g 2 U P E k e M Q 5 w / U 6 O I J D 5 7 B m l G / V 5 a m z 8 o l t r L d a Q G c o 3 B 3 C 9 / e 0 A a p l V h e U I l D L Z S Z k a m e E 6 A W G g Q e u E R p F G Z Q / 4 4 W b R + L g P 3 I q n r P G V n p l J B Q Q G d O l U h y 3 v B m x z W U j y I M G 4 E A 4 Q z 3 k l J s n W Q T X b S w A Y N m Z n q H m N x T M y N S k x O o 4 V F + U I k R S b V N 7 p 5 8 z a t X L V C y H T 1 i Y P 6 h 5 U E U o S C p c 9 L u Y k e D k M s n X x 0 p w H 7 Q X n E d W z U 7 6 H f / P 5 D d c E W h e U J B e T a B 6 U v B b V D m 3 Y h s d C I e r o 7 q d + W Q / d b 5 i c Y r s 7 3 U k H q x O N P 8 i B i k n z 7 z f e y Y w d 8 8 r D + R F Z W t h A D 2 9 B g s R U h E g h l k A m k u n T p M p W X b 6 Q L d Q 7 y j H A Z p J c m F E z l H N Y X D I h 0 u v I Y 0 o k l G k s m k O r L 3 + 4 P M 3 5 Y E Z b u Q + n Q 3 t 4 p q / j U 1 V S J u g G g U Q D w T s e 4 x j y I 7 k a Z A x U N e C C h Y R c v L J L N 0 Z D O z s F A q / I k f / a 0 X i S X S C W W O k I m J t a w Z 5 h W r F g u h g Y M 1 I o q i O O Q T E a 8 c c G g W P b 6 h p i M Q j D 4 8 U E N 9 L G q a Q + r V y s G y 4 5 D m c N o V r H 8 G G 9 A D f A i o G P c 1 P h M p F Z x z r x 0 0 r h e P / G 9 w M M I f S E 4 v w b V O Z A C 0 o j D t u 1 v 0 8 k T p x R h T M e v V V 4 X D Q E P N U g t k U 4 g m 0 E m G u W 6 4 d j H 5 L n f R I p M R v j 9 3 3 7 C 3 z y 2 b q 0 W r C 1 f T b D b H W K 6 R W X p 2 b w 5 u Q X 0 0 0 M 3 3 Z 7 C V I X Z j o 7 B 8 c f m Q B C E 7 u 5 u 8 Q x X e U U c J W n U Q H p + f p 5 s h y N k 4 u O P a u t o Y / k G I V F d B 3 Y o V C S S E F D G i G V Z Q / K w 6 x n g 8 x i S C d 4 S F J g 9 s 6 l n D a G 6 H K l i Q r 9 5 4 5 Z M g e / h B n H 8 g V M q u E X 2 H 5 q 3 8 w H w b Y w 2 2 V L 3 m 3 Q M 4 4 S y 1 C m C h Q I k l Z / W r F 1 N F y 9 e p m P H f 6 J D h 4 5 S c V G h H I c 0 6 u h T x i B F Q J B G S a k 4 m + p D P W i G F 4 u S T A E O f / N 3 n x t X Y X 1 Y a k 2 J i U J G Z i a V L F 4 k 6 l 6 8 2 2 1 U m n o 6 y m N 1 H r I 4 y 8 U n 4 R Z P k E g T C a G y 8 p p 4 l A c J J I R Q Z E E Y H h q m + v o G G X / a u W M 7 F R U t C D s + O I I 0 i I R 7 D 2 K p O o A f X + V T r F 6 F t c t V / y k x k a 8 l S l 1 a N f A D a / b 8 9 c V n k I N V P z Q I n 9 d H d t b Z g x Y m q B 3 c O H T j m Z P A 7 + b g 8 4 f G n D S J Q A T E / f 0 D s m E A 1 D 0 h i T 4 u k i l A f X 3 9 1 D / Q T w s W L J D 7 i c 8 1 N j W r 4 5 y + V O e Q + y 0 q n 5 T h / s M b g s n 0 B H v t 6 n 7 T C N f N C P 3 q y / d N N W j 9 v 1 m j 8 m k M J G T L K j 2 o u N e L + o 0 K 1 U 9 K V c m y l g G H u Q U m k P G a l a Q e L C E y q R g B 1 l K M T y k i q X s m x z k e G h w S t T o l O V m R R I 7 5 q Z Q J 2 D U Q o P O 1 c T Q C 6 5 6 U Q w I Z D z P R E j S R Q u F 3 f / h Y X d o s w q w j F J C Z n U t e l l B Q M V K c H q l Q q U S D W O L t b D y h 5 w z 0 T + W 4 v T + 0 z o M K e N A o K X X l y l V 5 q y Y S 1 o F A O b z G 8 R A q K l L e E j p g 3 K k 1 U E R 3 G k K S S d 3 n U I A 0 E s k U J N U I O R 2 2 4 A D 8 b M K s 6 k P p 4 E v L o 8 b G R l H 7 i l I G V K V K x S p S a W L p h j Q b i a U f G O G B y Q P p H C S Q I p E m E / J Z 3 H f q 7 u q S 9 I k T p 6 i 3 p 5 c q K k 6 L d w Q s q X i f l k y X m U w w k z c 2 t b B E w / 0 1 7 r P c a x U r I i G P N S N U C D C h f v 9 3 n 0 W t O 6 s H 2 + W a + l n 7 m L Z 1 P C W H 0 0 V X G 5 I I O x 9 i n h Q a h Q R J Y y D R C O h N c q y B + y O D W x Y E y M M v o t 5 p y S Q 5 g 1 j M K N q x Z E j S w Y U n O c b A L A i U k J j A Z L l C W 7 d u Y Q L y c R C O g 9 k j A i R s a W 0 l h z u N 7 j T F q Q e U E E 1 J J Q x f K G k E A w T H 8 I i Q M E x / 9 4 9 f z N q p N b N S 5 d O w M W G G h 1 h l M S o 2 2 h M 0 K K m M O L w x G q 3 R M j A I o + g j a S 2 V R B L j 9 3 G w k 5 Z K m i D q t 7 e 3 t a n P c 3 g T Z B I S q e M 6 a O k E w m S k p 9 O d R k 2 m 0 L 0 1 k 0 m C S C a Q y U M Z G W m z e p 7 a r C Z U I K O I h o Z 9 l O W v C 6 9 g q X i k Q 4 0 g S C q k o R a h X e E k 0 k B n N o L E C U o b k E c F I U X w t y m C e D n 2 e J W a h x W k t O q H p c J S 0 1 J F e p u J J C T y + e n J k 6 d 0 4 / p N 7 p v i 3 v n p f G 1 o Y m D w P i I 2 3 W t I J 2 z v C T I 5 u L V 9 9 s V + 4 6 p n J 2 y X H 8 1 e l U / j W d U T a u x z 8 Z P R q V Q 9 q H 9 B t c 9 Q / Q z 1 L 6 Q G K h U Q M b 8 Y e Z z t 1 a i B S v J I y o g V p B i E Q r n E R j 4 s B C L K F M k y B i q l b 4 R + U 1 1 t H W 3 b 9 j Z / G L t F h s i o V b 3 z 5 y / Q p k 3 l d P v 2 X f E m v / g Y k k l J e J A u S C x 5 S G k 1 z y D T i I f P 6 q d / + P N v c X W z G r Y r j x r C a 2 i W 4 u K V p z R q i z P 6 U h H 9 K Q 4 g 1 F h i g U w G u f g c 0 s d C k e R Q E H w x J Y 1 j L x A g g Z E C L y S W V 2 T k H y 8 h w k i J O R 9 M Q / I a a S Z K a d Y I F a R g c R W Q J 2 R G 1 y q i B F E L A z I 7 G l v f o K 9 5 s Q 5 r k z O J R P K B Q E Y s 0 k j F K q 3 I h F W M / v Q v v 5 d r n u 2 Y M 4 Q C z l 1 8 z A 2 C y R Q H C Q V y g U h m Y h m E 4 m D X R A o S C z T i P 8 R G H k B Z i E O S C y F 2 x g R 9 + y O P o + E b S S G M l J h i v B p 5 v N H I h x P I H J S U g p G B W 7 i U u e M w F d 1 j 6 m M h N o 1 P g T B I G 6 R q 6 i G q b Y O / H 0 u l o B o J C W W Q K E g q g 1 B M J o w / / d O f f 8 c P s F n d u w j C d q V 2 7 h A K b e n c h V p F K q 3 + g U g m a R U k k 0 E k U f s M C 6 D k 0 f B N p B I a B M v l a 1 R a w 5 S M i j F 3 n x u / i q K k O S H / e O F X X S 4 k U X H o W G Q w S S e k j f 7 W 1 p I h S Q t x p N w g k 0 E i S T N 5 b j x z y L o Q I p V A K D O Z d H / U k E 6 6 z w T z + J / + 5 W / m D J k A J l S j V M t c w d D Q C F 2 p f M o k c Z j 6 V J p M i K H u c T q S S E G C g S 4 g j 5 H m I B Q S 4 i j 2 q D I D p r S p N I i w m 8 + N X S J T G j m V N M f G + x B z w J / E p q D L g 2 V M D J U 2 E Y v L 3 j Q T y h S 0 p 4 T P F 6 D L T w x L n k G m E J G Q N s j E e S W Z l J q H 8 t / + 4 T N K T U u R a 5 0 r m H O E A g Y H Q a o 6 J o k h q U C k S C k l B A K p F J G U 1 G J K I B Y C G W R C j J N K j L x k k D U Q T C j o b N S 7 r g q 5 r Z v S x h t B g G D M K f z L M Y M c E W n J B 9 P h J N J l K S 4 f r c o d M f W Z R q l 3 K E C d A 0 T P u t Q u g 4 p E H G t C B Y k E U m k y q V h J p h F Z M + I 3 f / M Z p a X P L T I B t q t z k F A A G l X F m Q f E H S p l q O D Y J q R S E k o T C 6 T C J E U l q R S 5 g k T S a U 0 g 5 D V j J G 1 A D k 4 C a O h G E m m J h D l G K h g j o f K h t G Q k N g e U g T C I Q S I 9 U I u 0 j Q K 0 k g n V 2 G 2 j N r 2 R t J A I s U E k k 1 R C H D R A I A T J p A L U P H z u n / / 1 D 3 I f 5 y J s V + v m J q E A P J F P V d x j 4 k B C K V J B U o 1 V / T g N g g j B Q B 4 V g y i S B 3 W M t A L S K j b + D Y R S Y 8 E N X U X 6 x U g a a Y l B C s m p v P z j R e X N J F J p k 2 Q K p k E W R T J N r C C J O K 1 I h D I m D 4 d R S C I T o Z Q 1 b y y h Q C Z s M P 1 P 3 G f C V P a 5 C i Z U k 1 T R X M Z P P 9 3 k O 8 H k M Z E q S C i J t X R S 5 F K k Q j A R i 8 + j 0 8 B Y c g H B R B S o a u A 2 b w D E w L 9 R A D L o 2 H i T i l V e B 3 4 x 5 U E S U 5 q J p M p U 2 m y E U G R S j s N B y a R J Z K R D J A o N 4 K r x J o + s Y f 4 n l k x z H f O E M n D 8 + H V u m k w e J p W S U C A X C K T I F U 4 s g 0 x Q B U E S y a u g C G Q Q B 2 U q J W m J 5 D U c Y R U g G V X C z T + Y Z 0 5 E x D i G d 5 j S U Y N h L h f S q H w 4 o U A Y x F o y K a u e S K i g V F J k C l P 1 Q C R I J + 4 z u d 0 u + o c / / w 4 X N u d h q 5 w n V B A X L t y j 7 t 5 h J g r I B D U Q Z N J S K k L 9 0 8 T i v C I O y p g u c s w g j x G D R s G k I J J W o S r g N m 9 A J U A C I 6 F K J O a U k A N B C o 0 0 A g h j P q 7 y Q h i d B 3 E 4 N h N J p Q 0 C I W 8 m k + F J r q W S V v P w / s K i B f T x Z 3 t x E f N g 2 C o f z x P K D D S m I 0 c q + c 6 A U G Y p Z R D L I J W Z U B I L Y 1 Q c S u O M / C L / k p G 0 8 R I F I E I w J a R Q a Z T L q 4 p 1 O W I j L 3 + S N w i k A 4 j C c a j P p M q i S S e z e h d T M g m Z R s j B v / t P / 4 r + 0 u x 1 d J 0 O m F D N q n b m E Y b D h y 6 S f 5 R p o K W V m V i G u g d y c Y L L w B g Q i M t B F s k i p c o B R T I z j D y i Y A 2 E q g I N X 0 O l O c g / X g y y q I M q L W G s z 5 7 E Q i A j b 5 A n J K E U q U J E Q l r 5 6 C l C Q S I Z k o k J B T c i 7 B X 1 t / / 0 J b 5 9 H h G Y J 9 Q 4 w K z f I 4 c v 8 V 2 C d F I h S C w h F Q d N p K B p H Q x B G g F n U W m B E Z t f w 6 G q Q h F F v W j S q A g x i K H K 5 E + I w g V G H C R R k E w 6 r Q n E M f J C H M Q g k U E k Q z K Z T e M h N c 9 H z j g H / f 2 f f k v x r t k 3 0 / Z F w X Z t n l A T 4 t j R i z Q 4 5 C N m E x N J k w u S C Q T S x F J k 0 o F f V B r E Q Z 4 R J J a m l M 4 a A C 8 U Q l U i Z F G J I L m E K M j p t B F C e Y N M Q i I j b y K S J l N g V E m h S D U v q O I Z h I I 5 H K s g f f n 7 2 b c G x I u G 7 d q T e U J N F t / + t Y I b o S a Q J h X H I E 4 Y q V T M L y p m q B h 5 y e E l G I U h W B t M B B W p N A i D l C a O L h P i R A Y Q C s R R a Z F E m l R G k H I Q B v k g m U A i x E o i 8 Q d k w Z Z / / B / z F r z J g g n V o m p q H p P G X / / y E w W w H I e J W F p S i S o o Z F J x k F j 4 o M T I y 2 k Y K q G z 4 R U B s u D f K B W i S I J j l O K g k Q 4 L i j j m d J B A i C V v E A h p I Z P u M y m p B C K 5 3 W 4 Z p J 3 H 1 D B P q O f A V / 9 1 l J u 1 M k y I G i g E U s S K l F K K S D r G p x W N 8 B Y F J F R V M B d C A D G C 5 Q a J z G m Q R m I d Q B p d b i K R l J t J Z A R I K S M P I i m J N D f m L r 1 4 E P 1 / E t C 0 9 Z e 9 c L M A A A A A S U V O R K 5 C Y I I = < / I m a g e > < / T o u r > < / T o u r s > < C o l o r s / > < / V i s u a l i z a t i o n > 
</file>

<file path=customXml/itemProps1.xml><?xml version="1.0" encoding="utf-8"?>
<ds:datastoreItem xmlns:ds="http://schemas.openxmlformats.org/officeDocument/2006/customXml" ds:itemID="{4BA38C73-9C7E-40A4-BECB-ADE67688AF92}">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CD15A3C2-8E9E-4819-8A0E-7A081D690CFB}">
  <ds:schemaRefs>
    <ds:schemaRef ds:uri="http://www.w3.org/2001/XMLSchema"/>
    <ds:schemaRef ds:uri="http://microsoft.data.visualization.Client.Excel.CustomMapList/1.0"/>
  </ds:schemaRefs>
</ds:datastoreItem>
</file>

<file path=customXml/itemProps3.xml><?xml version="1.0" encoding="utf-8"?>
<ds:datastoreItem xmlns:ds="http://schemas.openxmlformats.org/officeDocument/2006/customXml" ds:itemID="{2C66E8C1-3EAB-4EA9-A21D-45A23F0C8FF1}">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661F2C36-C432-44AF-883F-6C23C6FB4FB3}">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F26423D5-85DC-4C41-A0A3-FD421333CC0E}">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All Data</vt:lpstr>
      <vt:lpstr>Sites</vt:lpstr>
      <vt:lpstr>Tables</vt:lpstr>
      <vt:lpstr>Code for MapCustomiser</vt:lpstr>
      <vt:lpstr>Charts</vt:lpstr>
      <vt:lpstr>Map</vt:lpstr>
      <vt:lpstr>Data for Excel 3D Map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Wetherill</dc:creator>
  <cp:keywords/>
  <dc:description/>
  <cp:lastModifiedBy>Michael Wetherill</cp:lastModifiedBy>
  <cp:revision/>
  <dcterms:created xsi:type="dcterms:W3CDTF">2015-06-05T18:17:20Z</dcterms:created>
  <dcterms:modified xsi:type="dcterms:W3CDTF">2024-09-06T08:38:26Z</dcterms:modified>
  <cp:category/>
  <cp:contentStatus/>
</cp:coreProperties>
</file>